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Rendelet módosítások\3. módosítés_felülvizsgálattal\Leadott\"/>
    </mc:Choice>
  </mc:AlternateContent>
  <bookViews>
    <workbookView xWindow="0" yWindow="0" windowWidth="28800" windowHeight="11535"/>
  </bookViews>
  <sheets>
    <sheet name="5.sz. melléklet" sheetId="20" r:id="rId1"/>
    <sheet name="6. sz. melléklet" sheetId="2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29_1" localSheetId="0">#REF!</definedName>
    <definedName name="Excel_BuiltIn_Print_Area_29_1">#REF!</definedName>
    <definedName name="Excel_BuiltIn_Print_Area_29_1_1" localSheetId="0">#REF!</definedName>
    <definedName name="Excel_BuiltIn_Print_Area_29_1_1">#REF!</definedName>
    <definedName name="Excel_BuiltIn_Print_Area_31_1" localSheetId="0">#REF!</definedName>
    <definedName name="Excel_BuiltIn_Print_Area_31_1">#REF!</definedName>
    <definedName name="Excel_BuiltIn_Print_Area_32_1" localSheetId="0">#REF!</definedName>
    <definedName name="Excel_BuiltIn_Print_Area_32_1">#REF!</definedName>
    <definedName name="Excel_BuiltIn_Print_Area_34_1" localSheetId="0">#REF!</definedName>
    <definedName name="Excel_BuiltIn_Print_Area_34_1">#REF!</definedName>
    <definedName name="Excel_BuiltIn_Print_Area_37_1" localSheetId="0">#REF!</definedName>
    <definedName name="Excel_BuiltIn_Print_Area_37_1">#REF!</definedName>
    <definedName name="Excel_BuiltIn_Print_Area_55_1" localSheetId="0">#REF!</definedName>
    <definedName name="Excel_BuiltIn_Print_Area_55_1">#REF!</definedName>
    <definedName name="mama">#REF!</definedName>
    <definedName name="_xlnm.Print_Area" localSheetId="0">'5.sz. melléklet'!$A$1:$M$52</definedName>
    <definedName name="_xlnm.Print_Area" localSheetId="1">'6. sz. melléklet'!$A$1:$O$52</definedName>
    <definedName name="pm" localSheetId="0">#REF!</definedName>
    <definedName name="pm">#REF!</definedName>
    <definedName name="teszt">#REF!</definedName>
  </definedNames>
  <calcPr calcId="152511"/>
</workbook>
</file>

<file path=xl/calcChain.xml><?xml version="1.0" encoding="utf-8"?>
<calcChain xmlns="http://schemas.openxmlformats.org/spreadsheetml/2006/main">
  <c r="K46" i="2" l="1"/>
  <c r="K31" i="2"/>
  <c r="K29" i="2"/>
  <c r="F46" i="20"/>
  <c r="F34" i="20"/>
  <c r="F33" i="20"/>
  <c r="F32" i="20"/>
  <c r="F31" i="20"/>
  <c r="F27" i="20"/>
  <c r="F23" i="20"/>
  <c r="F26" i="20"/>
  <c r="F42" i="20" l="1"/>
  <c r="E42" i="20"/>
  <c r="D42" i="20"/>
  <c r="F41" i="20"/>
  <c r="E41" i="20"/>
  <c r="D41" i="20"/>
  <c r="F40" i="20"/>
  <c r="E40" i="20"/>
  <c r="D40" i="20"/>
  <c r="F39" i="20"/>
  <c r="E39" i="20"/>
  <c r="D39" i="20"/>
  <c r="E34" i="20"/>
  <c r="D34" i="20"/>
  <c r="E32" i="20"/>
  <c r="D32" i="20"/>
  <c r="F30" i="20"/>
  <c r="E30" i="20"/>
  <c r="D30" i="20"/>
  <c r="F28" i="20"/>
  <c r="E28" i="20"/>
  <c r="D28" i="20"/>
  <c r="E26" i="20"/>
  <c r="D26" i="20"/>
  <c r="F25" i="20"/>
  <c r="E25" i="20"/>
  <c r="D25" i="20"/>
  <c r="F50" i="20" l="1"/>
  <c r="K50" i="2"/>
  <c r="K42" i="2"/>
  <c r="K41" i="2"/>
  <c r="K40" i="2"/>
  <c r="K39" i="2"/>
  <c r="K38" i="2"/>
  <c r="K19" i="2"/>
  <c r="D19" i="20"/>
  <c r="E38" i="20"/>
  <c r="D38" i="20"/>
  <c r="E19" i="20"/>
  <c r="C50" i="2"/>
  <c r="C38" i="2" l="1"/>
  <c r="C46" i="2"/>
  <c r="C39" i="2"/>
  <c r="C40" i="2"/>
  <c r="C41" i="2"/>
  <c r="C42" i="2"/>
  <c r="C24" i="2"/>
  <c r="C25" i="2"/>
  <c r="C26" i="2"/>
  <c r="C27" i="2"/>
  <c r="C28" i="2"/>
  <c r="C29" i="2"/>
  <c r="C30" i="2"/>
  <c r="C31" i="2"/>
  <c r="C32" i="2"/>
  <c r="C33" i="2"/>
  <c r="C34" i="2"/>
  <c r="C23" i="2"/>
  <c r="C19" i="2"/>
  <c r="C21" i="2" s="1"/>
  <c r="C31" i="20"/>
  <c r="C36" i="2" l="1"/>
  <c r="C46" i="20" l="1"/>
  <c r="C50" i="20"/>
  <c r="D44" i="2"/>
  <c r="E44" i="2"/>
  <c r="F44" i="2"/>
  <c r="G44" i="2"/>
  <c r="H44" i="2"/>
  <c r="I44" i="2"/>
  <c r="J44" i="2"/>
  <c r="K44" i="2"/>
  <c r="L44" i="2"/>
  <c r="M44" i="2"/>
  <c r="N44" i="2"/>
  <c r="O44" i="2"/>
  <c r="C44" i="2"/>
  <c r="E36" i="2"/>
  <c r="F36" i="2"/>
  <c r="G36" i="2"/>
  <c r="H36" i="2"/>
  <c r="I36" i="2"/>
  <c r="J36" i="2"/>
  <c r="K36" i="2"/>
  <c r="L36" i="2"/>
  <c r="M36" i="2"/>
  <c r="N36" i="2"/>
  <c r="O36" i="2"/>
  <c r="D36" i="2"/>
  <c r="E21" i="2"/>
  <c r="E48" i="2" s="1"/>
  <c r="E52" i="2" s="1"/>
  <c r="F21" i="2"/>
  <c r="F48" i="2" s="1"/>
  <c r="F52" i="2" s="1"/>
  <c r="G21" i="2"/>
  <c r="H21" i="2"/>
  <c r="I21" i="2"/>
  <c r="I48" i="2" s="1"/>
  <c r="I52" i="2" s="1"/>
  <c r="J21" i="2"/>
  <c r="K21" i="2"/>
  <c r="L21" i="2"/>
  <c r="M21" i="2"/>
  <c r="N21" i="2"/>
  <c r="O21" i="2"/>
  <c r="D21" i="2"/>
  <c r="D36" i="20"/>
  <c r="M44" i="20"/>
  <c r="L44" i="20"/>
  <c r="K44" i="20"/>
  <c r="J44" i="20"/>
  <c r="J48" i="20" s="1"/>
  <c r="J52" i="20" s="1"/>
  <c r="I44" i="20"/>
  <c r="H44" i="20"/>
  <c r="G44" i="20"/>
  <c r="F44" i="20"/>
  <c r="C42" i="20"/>
  <c r="C41" i="20"/>
  <c r="C40" i="20"/>
  <c r="E44" i="20"/>
  <c r="C39" i="20"/>
  <c r="D44" i="20"/>
  <c r="M36" i="20"/>
  <c r="L36" i="20"/>
  <c r="K36" i="20"/>
  <c r="J36" i="20"/>
  <c r="I36" i="20"/>
  <c r="H36" i="20"/>
  <c r="G36" i="20"/>
  <c r="F36" i="20"/>
  <c r="E36" i="20"/>
  <c r="C33" i="20"/>
  <c r="C32" i="20"/>
  <c r="C30" i="20"/>
  <c r="C29" i="20"/>
  <c r="C28" i="20"/>
  <c r="C27" i="20"/>
  <c r="C26" i="20"/>
  <c r="C25" i="20"/>
  <c r="C24" i="20"/>
  <c r="C23" i="20"/>
  <c r="M21" i="20"/>
  <c r="L21" i="20"/>
  <c r="K21" i="20"/>
  <c r="K48" i="20" s="1"/>
  <c r="K52" i="20" s="1"/>
  <c r="J21" i="20"/>
  <c r="I21" i="20"/>
  <c r="H21" i="20"/>
  <c r="G21" i="20"/>
  <c r="F21" i="20"/>
  <c r="E21" i="20"/>
  <c r="D21" i="20"/>
  <c r="D48" i="2" l="1"/>
  <c r="D52" i="2" s="1"/>
  <c r="O48" i="2"/>
  <c r="O52" i="2" s="1"/>
  <c r="G48" i="2"/>
  <c r="G52" i="2" s="1"/>
  <c r="N48" i="2"/>
  <c r="N52" i="2" s="1"/>
  <c r="H48" i="2"/>
  <c r="H52" i="2" s="1"/>
  <c r="M48" i="2"/>
  <c r="M52" i="2" s="1"/>
  <c r="L48" i="20"/>
  <c r="L52" i="20" s="1"/>
  <c r="M48" i="20"/>
  <c r="M52" i="20" s="1"/>
  <c r="L48" i="2"/>
  <c r="L52" i="2" s="1"/>
  <c r="J48" i="2"/>
  <c r="J52" i="2" s="1"/>
  <c r="I48" i="20"/>
  <c r="I52" i="20" s="1"/>
  <c r="H48" i="20"/>
  <c r="H52" i="20" s="1"/>
  <c r="G48" i="20"/>
  <c r="G52" i="20" s="1"/>
  <c r="E48" i="20"/>
  <c r="E52" i="20" s="1"/>
  <c r="F48" i="20"/>
  <c r="F52" i="20" s="1"/>
  <c r="D48" i="20"/>
  <c r="D52" i="20" s="1"/>
  <c r="C48" i="2"/>
  <c r="C52" i="2" s="1"/>
  <c r="K48" i="2"/>
  <c r="C34" i="20"/>
  <c r="C19" i="20"/>
  <c r="C38" i="20"/>
  <c r="C36" i="20" l="1"/>
  <c r="C44" i="20"/>
  <c r="C21" i="20"/>
  <c r="K52" i="2"/>
  <c r="C48" i="20" l="1"/>
  <c r="C52" i="20" s="1"/>
</calcChain>
</file>

<file path=xl/sharedStrings.xml><?xml version="1.0" encoding="utf-8"?>
<sst xmlns="http://schemas.openxmlformats.org/spreadsheetml/2006/main" count="195" uniqueCount="97">
  <si>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</si>
  <si>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</si>
  <si>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</si>
  <si>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</si>
  <si>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</si>
  <si>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</si>
  <si>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</si>
  <si>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</si>
  <si>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</si>
  <si>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</si>
  <si>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</si>
  <si>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</si>
  <si>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</si>
  <si>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</si>
  <si>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</si>
  <si>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</si>
  <si>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</si>
  <si>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</si>
  <si>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</si>
  <si>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</si>
  <si>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</si>
  <si>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</si>
  <si>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</si>
  <si>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</si>
  <si>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</si>
  <si>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</si>
  <si>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</si>
  <si>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</si>
  <si>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</si>
  <si>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</si>
  <si>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</si>
  <si>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</si>
  <si>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</si>
  <si>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</si>
  <si>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</si>
  <si>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</si>
  <si>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</si>
  <si>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</si>
  <si>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</si>
  <si>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</si>
  <si>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</si>
  <si>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</si>
  <si>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</si>
  <si>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</si>
  <si>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</si>
  <si>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</si>
  <si>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</si>
  <si>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</si>
  <si>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</si>
  <si>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</si>
  <si>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</si>
  <si>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</si>
  <si>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</si>
  <si>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</si>
  <si>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</si>
  <si>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</si>
  <si>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</si>
  <si>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</si>
  <si>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</si>
  <si>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</si>
  <si>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</si>
  <si>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</si>
  <si>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</si>
  <si>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</si>
  <si>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</si>
  <si>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</si>
  <si>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</si>
  <si>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</si>
  <si>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</si>
  <si>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</si>
  <si>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</si>
  <si>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</si>
  <si>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</si>
  <si>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</si>
  <si>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</si>
  <si>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</si>
  <si>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</si>
  <si>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</si>
  <si>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</si>
  <si>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</si>
  <si>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</si>
  <si>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</si>
  <si>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</si>
  <si>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</si>
  <si>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</si>
  <si>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</si>
  <si>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</si>
  <si>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</si>
  <si>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</si>
  <si>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</si>
  <si>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</si>
  <si>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EÜ</t>
  </si>
  <si>
    <t>6. sz. melléklet</t>
  </si>
  <si>
    <t>és finanszírozási</t>
  </si>
  <si>
    <t>Forintban</t>
  </si>
  <si>
    <t>5. sz. melléklet</t>
  </si>
  <si>
    <t>2022. július 1-től - szeptember 30-ig.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</si>
</sst>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0">
    <xf numFmtId="0" fontId="0" fillId="0" borderId="0" xfId="0"/>
    <xf numFmtId="164" fontId="20" fillId="0" borderId="0" xfId="43" applyNumberFormat="1" applyFont="1"/>
    <xf numFmtId="164" fontId="20" fillId="0" borderId="0" xfId="43" applyNumberFormat="1" applyFont="1" applyAlignment="1">
      <alignment horizontal="right"/>
    </xf>
    <xf numFmtId="164" fontId="22" fillId="0" borderId="0" xfId="43" applyNumberFormat="1" applyFont="1"/>
    <xf numFmtId="164" fontId="21" fillId="0" borderId="0" xfId="43" applyNumberFormat="1" applyFont="1" applyAlignment="1"/>
    <xf numFmtId="164" fontId="23" fillId="0" borderId="0" xfId="43" applyNumberFormat="1" applyFont="1"/>
    <xf numFmtId="164" fontId="24" fillId="0" borderId="0" xfId="43" applyNumberFormat="1" applyFont="1" applyAlignment="1"/>
    <xf numFmtId="164" fontId="21" fillId="0" borderId="0" xfId="43" applyNumberFormat="1" applyFont="1" applyAlignment="1">
      <alignment horizontal="center"/>
    </xf>
    <xf numFmtId="164" fontId="25" fillId="0" borderId="0" xfId="43" applyNumberFormat="1" applyFont="1" applyAlignment="1">
      <alignment horizontal="right"/>
    </xf>
    <xf numFmtId="164" fontId="22" fillId="0" borderId="10" xfId="43" applyNumberFormat="1" applyFont="1" applyBorder="1"/>
    <xf numFmtId="164" fontId="21" fillId="0" borderId="11" xfId="43" applyNumberFormat="1" applyFont="1" applyBorder="1" applyAlignment="1"/>
    <xf numFmtId="164" fontId="26" fillId="0" borderId="12" xfId="43" applyNumberFormat="1" applyFont="1" applyBorder="1"/>
    <xf numFmtId="164" fontId="26" fillId="0" borderId="13" xfId="43" applyNumberFormat="1" applyFont="1" applyBorder="1"/>
    <xf numFmtId="164" fontId="22" fillId="0" borderId="15" xfId="43" applyNumberFormat="1" applyFont="1" applyBorder="1"/>
    <xf numFmtId="164" fontId="22" fillId="0" borderId="17" xfId="43" applyNumberFormat="1" applyFont="1" applyBorder="1"/>
    <xf numFmtId="164" fontId="21" fillId="0" borderId="15" xfId="43" applyNumberFormat="1" applyFont="1" applyBorder="1" applyAlignment="1"/>
    <xf numFmtId="164" fontId="21" fillId="0" borderId="18" xfId="43" applyNumberFormat="1" applyFont="1" applyBorder="1" applyAlignment="1"/>
    <xf numFmtId="164" fontId="28" fillId="0" borderId="15" xfId="43" applyNumberFormat="1" applyFont="1" applyBorder="1" applyAlignment="1">
      <alignment horizontal="center"/>
    </xf>
    <xf numFmtId="164" fontId="29" fillId="0" borderId="17" xfId="43" applyNumberFormat="1" applyFont="1" applyBorder="1" applyAlignment="1">
      <alignment horizontal="center"/>
    </xf>
    <xf numFmtId="164" fontId="22" fillId="0" borderId="17" xfId="43" applyNumberFormat="1" applyFont="1" applyBorder="1" applyAlignment="1">
      <alignment horizontal="center"/>
    </xf>
    <xf numFmtId="164" fontId="22" fillId="0" borderId="0" xfId="43" applyNumberFormat="1" applyFont="1" applyBorder="1"/>
    <xf numFmtId="164" fontId="22" fillId="0" borderId="20" xfId="43" applyNumberFormat="1" applyFont="1" applyBorder="1" applyAlignment="1">
      <alignment horizontal="center"/>
    </xf>
    <xf numFmtId="164" fontId="22" fillId="0" borderId="16" xfId="43" applyNumberFormat="1" applyFont="1" applyBorder="1" applyAlignment="1">
      <alignment horizontal="center"/>
    </xf>
    <xf numFmtId="164" fontId="22" fillId="0" borderId="46" xfId="43" applyNumberFormat="1" applyFont="1" applyBorder="1"/>
    <xf numFmtId="164" fontId="22" fillId="0" borderId="18" xfId="43" applyNumberFormat="1" applyFont="1" applyBorder="1" applyAlignment="1">
      <alignment horizontal="center"/>
    </xf>
    <xf numFmtId="164" fontId="22" fillId="0" borderId="15" xfId="43" applyNumberFormat="1" applyFont="1" applyFill="1" applyBorder="1" applyAlignment="1">
      <alignment horizontal="center"/>
    </xf>
    <xf numFmtId="164" fontId="22" fillId="0" borderId="21" xfId="43" applyNumberFormat="1" applyFont="1" applyFill="1" applyBorder="1" applyAlignment="1">
      <alignment horizontal="center"/>
    </xf>
    <xf numFmtId="164" fontId="22" fillId="0" borderId="0" xfId="43" applyNumberFormat="1" applyFont="1" applyBorder="1" applyAlignment="1">
      <alignment horizontal="center"/>
    </xf>
    <xf numFmtId="164" fontId="22" fillId="0" borderId="20" xfId="43" applyNumberFormat="1" applyFont="1" applyFill="1" applyBorder="1" applyAlignment="1">
      <alignment horizontal="center"/>
    </xf>
    <xf numFmtId="164" fontId="22" fillId="0" borderId="21" xfId="43" applyNumberFormat="1" applyFont="1" applyBorder="1" applyAlignment="1">
      <alignment horizontal="center"/>
    </xf>
    <xf numFmtId="164" fontId="28" fillId="0" borderId="15" xfId="43" applyNumberFormat="1" applyFont="1" applyBorder="1" applyAlignment="1">
      <alignment horizontal="center" vertical="center"/>
    </xf>
    <xf numFmtId="164" fontId="22" fillId="0" borderId="15" xfId="43" applyNumberFormat="1" applyFont="1" applyBorder="1" applyAlignment="1">
      <alignment horizontal="center" vertical="center"/>
    </xf>
    <xf numFmtId="164" fontId="22" fillId="0" borderId="20" xfId="43" applyNumberFormat="1" applyFont="1" applyBorder="1"/>
    <xf numFmtId="164" fontId="27" fillId="0" borderId="15" xfId="43" applyNumberFormat="1" applyFont="1" applyBorder="1" applyAlignment="1">
      <alignment horizontal="center" vertical="center"/>
    </xf>
    <xf numFmtId="164" fontId="20" fillId="0" borderId="15" xfId="43" applyNumberFormat="1" applyFont="1" applyBorder="1"/>
    <xf numFmtId="164" fontId="20" fillId="0" borderId="20" xfId="43" applyNumberFormat="1" applyFont="1" applyBorder="1"/>
    <xf numFmtId="164" fontId="28" fillId="0" borderId="44" xfId="43" applyNumberFormat="1" applyFont="1" applyBorder="1" applyAlignment="1">
      <alignment horizontal="center"/>
    </xf>
    <xf numFmtId="164" fontId="28" fillId="0" borderId="17" xfId="43" applyNumberFormat="1" applyFont="1" applyBorder="1" applyAlignment="1">
      <alignment horizontal="center"/>
    </xf>
    <xf numFmtId="164" fontId="20" fillId="0" borderId="25" xfId="43" applyNumberFormat="1" applyFont="1" applyBorder="1"/>
    <xf numFmtId="164" fontId="22" fillId="0" borderId="21" xfId="43" applyNumberFormat="1" applyFont="1" applyBorder="1"/>
    <xf numFmtId="164" fontId="22" fillId="0" borderId="27" xfId="43" applyNumberFormat="1" applyFont="1" applyBorder="1"/>
    <xf numFmtId="164" fontId="22" fillId="0" borderId="34" xfId="43" applyNumberFormat="1" applyFont="1" applyBorder="1" applyAlignment="1">
      <alignment horizontal="center"/>
    </xf>
    <xf numFmtId="164" fontId="22" fillId="0" borderId="15" xfId="43" applyNumberFormat="1" applyFont="1" applyBorder="1" applyAlignment="1">
      <alignment horizontal="center"/>
    </xf>
    <xf numFmtId="164" fontId="30" fillId="0" borderId="17" xfId="43" applyNumberFormat="1" applyFont="1" applyBorder="1"/>
    <xf numFmtId="164" fontId="30" fillId="0" borderId="17" xfId="43" applyNumberFormat="1" applyFont="1" applyFill="1" applyBorder="1" applyAlignment="1">
      <alignment horizontal="left"/>
    </xf>
    <xf numFmtId="164" fontId="29" fillId="0" borderId="34" xfId="43" applyNumberFormat="1" applyFont="1" applyBorder="1" applyAlignment="1">
      <alignment horizontal="center"/>
    </xf>
    <xf numFmtId="164" fontId="29" fillId="0" borderId="30" xfId="43" applyNumberFormat="1" applyFont="1" applyFill="1" applyBorder="1"/>
    <xf numFmtId="164" fontId="20" fillId="0" borderId="36" xfId="43" applyNumberFormat="1" applyFont="1" applyBorder="1"/>
    <xf numFmtId="164" fontId="37" fillId="0" borderId="0" xfId="43" applyNumberFormat="1" applyFont="1"/>
    <xf numFmtId="164" fontId="22" fillId="0" borderId="17" xfId="43" applyNumberFormat="1" applyFont="1" applyFill="1" applyBorder="1"/>
    <xf numFmtId="164" fontId="29" fillId="0" borderId="30" xfId="43" applyNumberFormat="1" applyFont="1" applyBorder="1"/>
    <xf numFmtId="164" fontId="29" fillId="0" borderId="15" xfId="43" applyNumberFormat="1" applyFont="1" applyBorder="1"/>
    <xf numFmtId="164" fontId="29" fillId="0" borderId="17" xfId="43" applyNumberFormat="1" applyFont="1" applyBorder="1"/>
    <xf numFmtId="164" fontId="30" fillId="0" borderId="30" xfId="43" applyNumberFormat="1" applyFont="1" applyBorder="1"/>
    <xf numFmtId="164" fontId="32" fillId="0" borderId="17" xfId="43" applyNumberFormat="1" applyFont="1" applyBorder="1"/>
    <xf numFmtId="164" fontId="29" fillId="0" borderId="12" xfId="43" applyNumberFormat="1" applyFont="1" applyBorder="1" applyAlignment="1">
      <alignment horizontal="center" wrapText="1"/>
    </xf>
    <xf numFmtId="164" fontId="29" fillId="0" borderId="40" xfId="43" applyNumberFormat="1" applyFont="1" applyBorder="1" applyAlignment="1">
      <alignment wrapText="1"/>
    </xf>
    <xf numFmtId="164" fontId="20" fillId="0" borderId="44" xfId="43" applyNumberFormat="1" applyFont="1" applyBorder="1"/>
    <xf numFmtId="164" fontId="22" fillId="0" borderId="43" xfId="43" applyNumberFormat="1" applyFont="1" applyBorder="1"/>
    <xf numFmtId="164" fontId="22" fillId="0" borderId="25" xfId="43" applyNumberFormat="1" applyFont="1" applyBorder="1"/>
    <xf numFmtId="164" fontId="26" fillId="0" borderId="34" xfId="43" applyNumberFormat="1" applyFont="1" applyBorder="1" applyAlignment="1">
      <alignment horizontal="center"/>
    </xf>
    <xf numFmtId="164" fontId="22" fillId="0" borderId="30" xfId="43" applyNumberFormat="1" applyFont="1" applyBorder="1"/>
    <xf numFmtId="164" fontId="26" fillId="0" borderId="40" xfId="43" applyNumberFormat="1" applyFont="1" applyBorder="1" applyAlignment="1">
      <alignment horizontal="center"/>
    </xf>
    <xf numFmtId="164" fontId="36" fillId="0" borderId="40" xfId="43" applyNumberFormat="1" applyFont="1" applyBorder="1"/>
    <xf numFmtId="164" fontId="20" fillId="0" borderId="0" xfId="43" applyNumberFormat="1" applyFont="1" applyBorder="1"/>
    <xf numFmtId="164" fontId="33" fillId="0" borderId="0" xfId="43" applyNumberFormat="1" applyFont="1"/>
    <xf numFmtId="164" fontId="19" fillId="24" borderId="0" xfId="43" applyNumberFormat="1" applyFont="1" applyFill="1" applyBorder="1" applyAlignment="1">
      <alignment horizontal="right"/>
    </xf>
    <xf numFmtId="164" fontId="33" fillId="0" borderId="0" xfId="43" applyNumberFormat="1" applyFont="1" applyAlignment="1"/>
    <xf numFmtId="164" fontId="23" fillId="0" borderId="0" xfId="43" applyNumberFormat="1" applyFont="1" applyBorder="1"/>
    <xf numFmtId="164" fontId="21" fillId="0" borderId="17" xfId="43" applyNumberFormat="1" applyFont="1" applyBorder="1" applyAlignment="1"/>
    <xf numFmtId="164" fontId="26" fillId="0" borderId="15" xfId="43" applyNumberFormat="1" applyFont="1" applyBorder="1" applyAlignment="1">
      <alignment horizontal="center"/>
    </xf>
    <xf numFmtId="164" fontId="26" fillId="0" borderId="18" xfId="43" applyNumberFormat="1" applyFont="1" applyBorder="1" applyAlignment="1">
      <alignment horizontal="center"/>
    </xf>
    <xf numFmtId="164" fontId="29" fillId="0" borderId="15" xfId="43" applyNumberFormat="1" applyFont="1" applyBorder="1" applyAlignment="1">
      <alignment horizontal="center"/>
    </xf>
    <xf numFmtId="164" fontId="20" fillId="0" borderId="16" xfId="43" applyNumberFormat="1" applyFont="1" applyBorder="1"/>
    <xf numFmtId="164" fontId="20" fillId="0" borderId="45" xfId="43" applyNumberFormat="1" applyFont="1" applyBorder="1"/>
    <xf numFmtId="164" fontId="20" fillId="0" borderId="18" xfId="43" applyNumberFormat="1" applyFont="1" applyBorder="1"/>
    <xf numFmtId="164" fontId="34" fillId="0" borderId="10" xfId="43" applyNumberFormat="1" applyFont="1" applyBorder="1" applyAlignment="1">
      <alignment horizontal="center"/>
    </xf>
    <xf numFmtId="164" fontId="22" fillId="0" borderId="18" xfId="43" applyNumberFormat="1" applyFont="1" applyBorder="1"/>
    <xf numFmtId="164" fontId="22" fillId="0" borderId="0" xfId="43" applyNumberFormat="1" applyFont="1" applyFill="1" applyBorder="1" applyAlignment="1">
      <alignment horizontal="center"/>
    </xf>
    <xf numFmtId="164" fontId="22" fillId="0" borderId="16" xfId="43" applyNumberFormat="1" applyFont="1" applyFill="1" applyBorder="1" applyAlignment="1">
      <alignment horizontal="center"/>
    </xf>
    <xf numFmtId="164" fontId="31" fillId="0" borderId="15" xfId="43" applyNumberFormat="1" applyFont="1" applyFill="1" applyBorder="1" applyAlignment="1">
      <alignment horizontal="center"/>
    </xf>
    <xf numFmtId="164" fontId="29" fillId="0" borderId="15" xfId="43" applyNumberFormat="1" applyFont="1" applyBorder="1" applyAlignment="1">
      <alignment horizontal="center" vertical="center"/>
    </xf>
    <xf numFmtId="164" fontId="34" fillId="0" borderId="15" xfId="43" applyNumberFormat="1" applyFont="1" applyFill="1" applyBorder="1" applyAlignment="1">
      <alignment horizontal="center"/>
    </xf>
    <xf numFmtId="164" fontId="30" fillId="0" borderId="36" xfId="43" applyNumberFormat="1" applyFont="1" applyBorder="1"/>
    <xf numFmtId="164" fontId="26" fillId="0" borderId="12" xfId="43" applyNumberFormat="1" applyFont="1" applyBorder="1" applyAlignment="1">
      <alignment horizontal="center"/>
    </xf>
    <xf numFmtId="164" fontId="20" fillId="0" borderId="0" xfId="43" applyNumberFormat="1" applyFont="1" applyFill="1"/>
    <xf numFmtId="164" fontId="30" fillId="0" borderId="17" xfId="43" applyNumberFormat="1" applyFont="1" applyFill="1" applyBorder="1"/>
    <xf numFmtId="165" fontId="22" fillId="0" borderId="36" xfId="43" applyNumberFormat="1" applyFont="1" applyBorder="1" applyAlignment="1">
      <alignment horizontal="center"/>
    </xf>
    <xf numFmtId="165" fontId="22" fillId="0" borderId="0" xfId="43" applyNumberFormat="1" applyFont="1" applyBorder="1"/>
    <xf numFmtId="165" fontId="22" fillId="0" borderId="15" xfId="43" applyNumberFormat="1" applyFont="1" applyBorder="1"/>
    <xf numFmtId="165" fontId="22" fillId="0" borderId="19" xfId="43" applyNumberFormat="1" applyFont="1" applyBorder="1"/>
    <xf numFmtId="164" fontId="22" fillId="0" borderId="36" xfId="43" applyNumberFormat="1" applyFont="1" applyBorder="1" applyAlignment="1">
      <alignment horizontal="center"/>
    </xf>
    <xf numFmtId="164" fontId="22" fillId="0" borderId="19" xfId="43" applyNumberFormat="1" applyFont="1" applyBorder="1"/>
    <xf numFmtId="164" fontId="20" fillId="0" borderId="0" xfId="43" applyNumberFormat="1" applyFont="1" applyAlignment="1">
      <alignment horizontal="right"/>
    </xf>
    <xf numFmtId="49" fontId="28" fillId="0" borderId="15" xfId="43" applyNumberFormat="1" applyFont="1" applyBorder="1" applyAlignment="1">
      <alignment horizontal="center" vertical="center"/>
    </xf>
    <xf numFmtId="49" fontId="28" fillId="0" borderId="44" xfId="43" applyNumberFormat="1" applyFont="1" applyBorder="1" applyAlignment="1">
      <alignment horizontal="center"/>
    </xf>
    <xf numFmtId="49" fontId="28" fillId="0" borderId="17" xfId="43" applyNumberFormat="1" applyFont="1" applyBorder="1" applyAlignment="1">
      <alignment horizontal="center"/>
    </xf>
    <xf numFmtId="49" fontId="22" fillId="0" borderId="0" xfId="43" applyNumberFormat="1" applyFont="1" applyBorder="1"/>
    <xf numFmtId="49" fontId="22" fillId="0" borderId="20" xfId="43" applyNumberFormat="1" applyFont="1" applyFill="1" applyBorder="1" applyAlignment="1">
      <alignment horizontal="center"/>
    </xf>
    <xf numFmtId="49" fontId="22" fillId="0" borderId="20" xfId="43" applyNumberFormat="1" applyFont="1" applyBorder="1" applyAlignment="1">
      <alignment horizontal="center"/>
    </xf>
    <xf numFmtId="49" fontId="22" fillId="0" borderId="16" xfId="43" applyNumberFormat="1" applyFont="1" applyBorder="1"/>
    <xf numFmtId="49" fontId="20" fillId="0" borderId="25" xfId="43" applyNumberFormat="1" applyFont="1" applyBorder="1"/>
    <xf numFmtId="49" fontId="20" fillId="0" borderId="26" xfId="43" applyNumberFormat="1" applyFont="1" applyBorder="1"/>
    <xf numFmtId="49" fontId="22" fillId="0" borderId="21" xfId="43" applyNumberFormat="1" applyFont="1" applyBorder="1"/>
    <xf numFmtId="49" fontId="22" fillId="0" borderId="15" xfId="43" applyNumberFormat="1" applyFont="1" applyBorder="1"/>
    <xf numFmtId="49" fontId="22" fillId="0" borderId="27" xfId="43" applyNumberFormat="1" applyFont="1" applyBorder="1"/>
    <xf numFmtId="49" fontId="22" fillId="0" borderId="34" xfId="43" applyNumberFormat="1" applyFont="1" applyBorder="1" applyAlignment="1">
      <alignment horizontal="center"/>
    </xf>
    <xf numFmtId="49" fontId="22" fillId="0" borderId="30" xfId="43" applyNumberFormat="1" applyFont="1" applyBorder="1" applyAlignment="1">
      <alignment horizontal="center"/>
    </xf>
    <xf numFmtId="49" fontId="22" fillId="0" borderId="31" xfId="43" applyNumberFormat="1" applyFont="1" applyBorder="1" applyAlignment="1">
      <alignment horizontal="center"/>
    </xf>
    <xf numFmtId="49" fontId="22" fillId="0" borderId="32" xfId="43" applyNumberFormat="1" applyFont="1" applyBorder="1" applyAlignment="1">
      <alignment horizontal="center"/>
    </xf>
    <xf numFmtId="49" fontId="22" fillId="0" borderId="33" xfId="43" applyNumberFormat="1" applyFont="1" applyBorder="1" applyAlignment="1">
      <alignment horizontal="center"/>
    </xf>
    <xf numFmtId="49" fontId="22" fillId="0" borderId="28" xfId="43" applyNumberFormat="1" applyFont="1" applyBorder="1" applyAlignment="1">
      <alignment horizontal="center"/>
    </xf>
    <xf numFmtId="49" fontId="22" fillId="0" borderId="26" xfId="43" applyNumberFormat="1" applyFont="1" applyBorder="1" applyAlignment="1">
      <alignment horizontal="center"/>
    </xf>
    <xf numFmtId="49" fontId="22" fillId="0" borderId="37" xfId="43" applyNumberFormat="1" applyFont="1" applyBorder="1" applyAlignment="1">
      <alignment horizontal="center"/>
    </xf>
    <xf numFmtId="49" fontId="22" fillId="0" borderId="27" xfId="43" applyNumberFormat="1" applyFont="1" applyBorder="1" applyAlignment="1">
      <alignment horizontal="center"/>
    </xf>
    <xf numFmtId="164" fontId="20" fillId="0" borderId="0" xfId="43" applyNumberFormat="1" applyFont="1" applyAlignment="1">
      <alignment horizontal="right"/>
    </xf>
    <xf numFmtId="3" fontId="22" fillId="0" borderId="17" xfId="44" applyNumberFormat="1" applyFont="1" applyFill="1" applyBorder="1" applyAlignment="1">
      <alignment horizontal="right"/>
    </xf>
    <xf numFmtId="3" fontId="22" fillId="0" borderId="0" xfId="44" applyNumberFormat="1" applyFont="1" applyFill="1" applyBorder="1"/>
    <xf numFmtId="3" fontId="22" fillId="0" borderId="15" xfId="44" applyNumberFormat="1" applyFont="1" applyFill="1" applyBorder="1"/>
    <xf numFmtId="3" fontId="22" fillId="0" borderId="0" xfId="44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2" fillId="0" borderId="17" xfId="44" applyNumberFormat="1" applyFont="1" applyBorder="1" applyAlignment="1">
      <alignment horizontal="right"/>
    </xf>
    <xf numFmtId="3" fontId="22" fillId="0" borderId="15" xfId="44" applyNumberFormat="1" applyFont="1" applyBorder="1"/>
    <xf numFmtId="3" fontId="29" fillId="0" borderId="30" xfId="44" applyNumberFormat="1" applyFont="1" applyBorder="1" applyAlignment="1">
      <alignment horizontal="right" vertical="center"/>
    </xf>
    <xf numFmtId="3" fontId="29" fillId="0" borderId="52" xfId="44" applyNumberFormat="1" applyFont="1" applyBorder="1" applyAlignment="1">
      <alignment horizontal="right" vertical="center"/>
    </xf>
    <xf numFmtId="3" fontId="29" fillId="0" borderId="32" xfId="44" applyNumberFormat="1" applyFont="1" applyBorder="1" applyAlignment="1">
      <alignment vertical="center"/>
    </xf>
    <xf numFmtId="3" fontId="29" fillId="0" borderId="34" xfId="44" applyNumberFormat="1" applyFont="1" applyBorder="1" applyAlignment="1">
      <alignment vertical="center"/>
    </xf>
    <xf numFmtId="3" fontId="29" fillId="0" borderId="52" xfId="44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3" fontId="29" fillId="0" borderId="37" xfId="0" applyNumberFormat="1" applyFont="1" applyBorder="1" applyAlignment="1">
      <alignment vertical="center"/>
    </xf>
    <xf numFmtId="3" fontId="22" fillId="0" borderId="53" xfId="44" applyNumberFormat="1" applyFont="1" applyBorder="1" applyAlignment="1">
      <alignment horizontal="right"/>
    </xf>
    <xf numFmtId="3" fontId="29" fillId="0" borderId="32" xfId="44" applyNumberFormat="1" applyFont="1" applyBorder="1" applyAlignment="1">
      <alignment horizontal="right" vertical="center"/>
    </xf>
    <xf numFmtId="3" fontId="29" fillId="0" borderId="34" xfId="44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7" xfId="0" applyNumberFormat="1" applyFont="1" applyBorder="1" applyAlignment="1">
      <alignment horizontal="right" vertical="center"/>
    </xf>
    <xf numFmtId="3" fontId="29" fillId="0" borderId="54" xfId="44" applyNumberFormat="1" applyFont="1" applyBorder="1" applyAlignment="1">
      <alignment horizontal="right" vertical="center"/>
    </xf>
    <xf numFmtId="3" fontId="29" fillId="0" borderId="17" xfId="44" applyNumberFormat="1" applyFont="1" applyBorder="1" applyAlignment="1">
      <alignment horizontal="right"/>
    </xf>
    <xf numFmtId="3" fontId="29" fillId="0" borderId="0" xfId="44" applyNumberFormat="1" applyFont="1" applyFill="1" applyBorder="1" applyAlignment="1"/>
    <xf numFmtId="3" fontId="29" fillId="0" borderId="15" xfId="44" applyNumberFormat="1" applyFont="1" applyFill="1" applyBorder="1" applyAlignment="1"/>
    <xf numFmtId="3" fontId="29" fillId="0" borderId="0" xfId="44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44" applyNumberFormat="1" applyFont="1" applyBorder="1" applyAlignment="1">
      <alignment horizontal="right"/>
    </xf>
    <xf numFmtId="3" fontId="31" fillId="0" borderId="28" xfId="44" applyNumberFormat="1" applyFont="1" applyFill="1" applyBorder="1" applyAlignment="1"/>
    <xf numFmtId="3" fontId="31" fillId="0" borderId="33" xfId="44" applyNumberFormat="1" applyFont="1" applyFill="1" applyBorder="1" applyAlignment="1"/>
    <xf numFmtId="3" fontId="31" fillId="0" borderId="33" xfId="44" applyNumberFormat="1" applyFont="1" applyFill="1" applyBorder="1" applyAlignment="1">
      <alignment horizontal="right"/>
    </xf>
    <xf numFmtId="3" fontId="31" fillId="0" borderId="34" xfId="44" applyNumberFormat="1" applyFont="1" applyFill="1" applyBorder="1" applyAlignment="1">
      <alignment horizontal="right"/>
    </xf>
    <xf numFmtId="3" fontId="29" fillId="0" borderId="33" xfId="44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2" fillId="0" borderId="17" xfId="43" applyNumberFormat="1" applyFont="1" applyBorder="1" applyAlignment="1">
      <alignment horizontal="right"/>
    </xf>
    <xf numFmtId="3" fontId="22" fillId="0" borderId="0" xfId="43" applyNumberFormat="1" applyFont="1" applyBorder="1"/>
    <xf numFmtId="3" fontId="22" fillId="0" borderId="19" xfId="43" applyNumberFormat="1" applyFont="1" applyBorder="1"/>
    <xf numFmtId="3" fontId="22" fillId="0" borderId="15" xfId="43" applyNumberFormat="1" applyFont="1" applyBorder="1"/>
    <xf numFmtId="3" fontId="29" fillId="0" borderId="40" xfId="43" applyNumberFormat="1" applyFont="1" applyBorder="1" applyAlignment="1">
      <alignment horizontal="right"/>
    </xf>
    <xf numFmtId="3" fontId="22" fillId="0" borderId="44" xfId="43" applyNumberFormat="1" applyFont="1" applyBorder="1" applyAlignment="1">
      <alignment horizontal="right"/>
    </xf>
    <xf numFmtId="3" fontId="22" fillId="0" borderId="43" xfId="43" applyNumberFormat="1" applyFont="1" applyBorder="1"/>
    <xf numFmtId="3" fontId="22" fillId="0" borderId="47" xfId="43" applyNumberFormat="1" applyFont="1" applyBorder="1"/>
    <xf numFmtId="3" fontId="22" fillId="0" borderId="25" xfId="43" applyNumberFormat="1" applyFont="1" applyBorder="1"/>
    <xf numFmtId="3" fontId="31" fillId="0" borderId="30" xfId="43" applyNumberFormat="1" applyFont="1" applyBorder="1" applyAlignment="1">
      <alignment horizontal="right"/>
    </xf>
    <xf numFmtId="3" fontId="22" fillId="0" borderId="28" xfId="43" applyNumberFormat="1" applyFont="1" applyBorder="1"/>
    <xf numFmtId="3" fontId="22" fillId="0" borderId="29" xfId="43" applyNumberFormat="1" applyFont="1" applyBorder="1"/>
    <xf numFmtId="3" fontId="22" fillId="0" borderId="32" xfId="43" applyNumberFormat="1" applyFont="1" applyBorder="1"/>
    <xf numFmtId="3" fontId="22" fillId="0" borderId="37" xfId="43" applyNumberFormat="1" applyFont="1" applyBorder="1"/>
    <xf numFmtId="3" fontId="22" fillId="0" borderId="33" xfId="43" applyNumberFormat="1" applyFont="1" applyBorder="1"/>
    <xf numFmtId="3" fontId="22" fillId="0" borderId="34" xfId="43" applyNumberFormat="1" applyFont="1" applyBorder="1"/>
    <xf numFmtId="3" fontId="36" fillId="0" borderId="40" xfId="43" applyNumberFormat="1" applyFont="1" applyBorder="1" applyAlignment="1">
      <alignment horizontal="right"/>
    </xf>
    <xf numFmtId="3" fontId="36" fillId="0" borderId="51" xfId="43" applyNumberFormat="1" applyFont="1" applyBorder="1" applyAlignment="1">
      <alignment horizontal="right"/>
    </xf>
    <xf numFmtId="3" fontId="36" fillId="0" borderId="42" xfId="43" applyNumberFormat="1" applyFont="1" applyBorder="1" applyAlignment="1">
      <alignment horizontal="right"/>
    </xf>
    <xf numFmtId="3" fontId="36" fillId="0" borderId="39" xfId="43" applyNumberFormat="1" applyFont="1" applyBorder="1" applyAlignment="1">
      <alignment horizontal="right"/>
    </xf>
    <xf numFmtId="3" fontId="22" fillId="0" borderId="0" xfId="43" applyNumberFormat="1" applyFont="1" applyAlignment="1">
      <alignment horizontal="right"/>
    </xf>
    <xf numFmtId="3" fontId="22" fillId="0" borderId="0" xfId="43" applyNumberFormat="1" applyFont="1"/>
    <xf numFmtId="3" fontId="20" fillId="0" borderId="0" xfId="43" applyNumberFormat="1" applyFont="1" applyAlignment="1">
      <alignment horizontal="right"/>
    </xf>
    <xf numFmtId="3" fontId="29" fillId="0" borderId="30" xfId="43" applyNumberFormat="1" applyFont="1" applyBorder="1" applyAlignment="1">
      <alignment horizontal="right"/>
    </xf>
    <xf numFmtId="3" fontId="29" fillId="0" borderId="28" xfId="43" applyNumberFormat="1" applyFont="1" applyBorder="1" applyAlignment="1">
      <alignment horizontal="right"/>
    </xf>
    <xf numFmtId="3" fontId="29" fillId="0" borderId="32" xfId="43" applyNumberFormat="1" applyFont="1" applyBorder="1" applyAlignment="1">
      <alignment horizontal="right"/>
    </xf>
    <xf numFmtId="3" fontId="29" fillId="0" borderId="37" xfId="43" applyNumberFormat="1" applyFont="1" applyBorder="1" applyAlignment="1">
      <alignment horizontal="right"/>
    </xf>
    <xf numFmtId="3" fontId="22" fillId="0" borderId="36" xfId="43" applyNumberFormat="1" applyFont="1" applyBorder="1" applyAlignment="1">
      <alignment horizontal="right"/>
    </xf>
    <xf numFmtId="3" fontId="29" fillId="0" borderId="55" xfId="43" applyNumberFormat="1" applyFont="1" applyBorder="1" applyAlignment="1">
      <alignment horizontal="right"/>
    </xf>
    <xf numFmtId="3" fontId="29" fillId="0" borderId="17" xfId="43" applyNumberFormat="1" applyFont="1" applyBorder="1" applyAlignment="1">
      <alignment horizontal="right"/>
    </xf>
    <xf numFmtId="3" fontId="29" fillId="0" borderId="0" xfId="43" applyNumberFormat="1" applyFont="1" applyBorder="1" applyAlignment="1">
      <alignment horizontal="right"/>
    </xf>
    <xf numFmtId="3" fontId="29" fillId="0" borderId="15" xfId="43" applyNumberFormat="1" applyFont="1" applyBorder="1" applyAlignment="1">
      <alignment horizontal="right"/>
    </xf>
    <xf numFmtId="3" fontId="29" fillId="0" borderId="19" xfId="43" applyNumberFormat="1" applyFont="1" applyBorder="1" applyAlignment="1">
      <alignment horizontal="right"/>
    </xf>
    <xf numFmtId="3" fontId="22" fillId="0" borderId="30" xfId="43" applyNumberFormat="1" applyFont="1" applyBorder="1" applyAlignment="1">
      <alignment horizontal="right"/>
    </xf>
    <xf numFmtId="3" fontId="22" fillId="0" borderId="29" xfId="43" applyNumberFormat="1" applyFont="1" applyBorder="1" applyAlignment="1">
      <alignment horizontal="right"/>
    </xf>
    <xf numFmtId="3" fontId="29" fillId="0" borderId="34" xfId="43" applyNumberFormat="1" applyFont="1" applyBorder="1" applyAlignment="1">
      <alignment horizontal="right"/>
    </xf>
    <xf numFmtId="3" fontId="22" fillId="0" borderId="32" xfId="43" applyNumberFormat="1" applyFont="1" applyBorder="1" applyAlignment="1">
      <alignment horizontal="right"/>
    </xf>
    <xf numFmtId="3" fontId="31" fillId="0" borderId="35" xfId="43" applyNumberFormat="1" applyFont="1" applyBorder="1" applyAlignment="1">
      <alignment horizontal="right"/>
    </xf>
    <xf numFmtId="3" fontId="22" fillId="0" borderId="35" xfId="43" applyNumberFormat="1" applyFont="1" applyBorder="1" applyAlignment="1">
      <alignment horizontal="right"/>
    </xf>
    <xf numFmtId="3" fontId="31" fillId="0" borderId="37" xfId="43" applyNumberFormat="1" applyFont="1" applyBorder="1" applyAlignment="1">
      <alignment horizontal="right"/>
    </xf>
    <xf numFmtId="3" fontId="36" fillId="0" borderId="50" xfId="43" applyNumberFormat="1" applyFont="1" applyBorder="1"/>
    <xf numFmtId="3" fontId="36" fillId="0" borderId="40" xfId="43" applyNumberFormat="1" applyFont="1" applyBorder="1"/>
    <xf numFmtId="3" fontId="22" fillId="0" borderId="48" xfId="43" applyNumberFormat="1" applyFont="1" applyBorder="1"/>
    <xf numFmtId="3" fontId="22" fillId="0" borderId="49" xfId="43" applyNumberFormat="1" applyFont="1" applyBorder="1"/>
    <xf numFmtId="3" fontId="22" fillId="0" borderId="35" xfId="43" applyNumberFormat="1" applyFont="1" applyBorder="1"/>
    <xf numFmtId="3" fontId="22" fillId="0" borderId="38" xfId="43" applyNumberFormat="1" applyFont="1" applyBorder="1"/>
    <xf numFmtId="3" fontId="20" fillId="0" borderId="0" xfId="43" applyNumberFormat="1" applyFont="1"/>
    <xf numFmtId="3" fontId="29" fillId="0" borderId="0" xfId="43" applyNumberFormat="1" applyFont="1"/>
    <xf numFmtId="164" fontId="26" fillId="0" borderId="0" xfId="43" applyNumberFormat="1" applyFont="1"/>
    <xf numFmtId="164" fontId="31" fillId="0" borderId="17" xfId="43" applyNumberFormat="1" applyFont="1" applyBorder="1" applyAlignment="1">
      <alignment horizontal="center"/>
    </xf>
    <xf numFmtId="3" fontId="31" fillId="0" borderId="34" xfId="43" applyNumberFormat="1" applyFont="1" applyBorder="1" applyAlignment="1">
      <alignment horizontal="right"/>
    </xf>
    <xf numFmtId="164" fontId="20" fillId="0" borderId="0" xfId="43" applyNumberFormat="1" applyFont="1" applyAlignment="1">
      <alignment horizontal="right"/>
    </xf>
    <xf numFmtId="164" fontId="22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3" fontId="22" fillId="0" borderId="56" xfId="43" applyNumberFormat="1" applyFont="1" applyBorder="1" applyAlignment="1">
      <alignment horizontal="right"/>
    </xf>
    <xf numFmtId="164" fontId="20" fillId="0" borderId="0" xfId="43" applyNumberFormat="1" applyFont="1" applyAlignment="1">
      <alignment horizontal="right"/>
    </xf>
    <xf numFmtId="164" fontId="20" fillId="0" borderId="0" xfId="43" applyNumberFormat="1" applyFont="1" applyAlignment="1">
      <alignment horizontal="right"/>
    </xf>
    <xf numFmtId="164" fontId="26" fillId="0" borderId="0" xfId="43" applyNumberFormat="1" applyFont="1" applyAlignment="1">
      <alignment horizontal="center"/>
    </xf>
    <xf numFmtId="164" fontId="26" fillId="0" borderId="41" xfId="43" applyNumberFormat="1" applyFont="1" applyBorder="1" applyAlignment="1">
      <alignment horizontal="center"/>
    </xf>
    <xf numFmtId="164" fontId="26" fillId="0" borderId="13" xfId="43" applyNumberFormat="1" applyFont="1" applyBorder="1" applyAlignment="1">
      <alignment horizontal="center"/>
    </xf>
    <xf numFmtId="164" fontId="24" fillId="0" borderId="23" xfId="43" applyNumberFormat="1" applyFont="1" applyBorder="1" applyAlignment="1">
      <alignment horizontal="center"/>
    </xf>
    <xf numFmtId="164" fontId="24" fillId="0" borderId="22" xfId="43" applyNumberFormat="1" applyFont="1" applyBorder="1" applyAlignment="1">
      <alignment horizontal="center"/>
    </xf>
    <xf numFmtId="164" fontId="24" fillId="0" borderId="24" xfId="43" applyNumberFormat="1" applyFont="1" applyBorder="1" applyAlignment="1">
      <alignment horizontal="center"/>
    </xf>
    <xf numFmtId="164" fontId="26" fillId="0" borderId="14" xfId="43" applyNumberFormat="1" applyFont="1" applyBorder="1" applyAlignment="1">
      <alignment horizontal="center"/>
    </xf>
    <xf numFmtId="164" fontId="26" fillId="0" borderId="12" xfId="43" applyNumberFormat="1" applyFont="1" applyBorder="1" applyAlignment="1">
      <alignment horizontal="center"/>
    </xf>
    <xf numFmtId="164" fontId="35" fillId="0" borderId="12" xfId="43" applyNumberFormat="1" applyFont="1" applyBorder="1" applyAlignment="1">
      <alignment horizontal="center"/>
    </xf>
    <xf numFmtId="164" fontId="35" fillId="0" borderId="41" xfId="43" applyNumberFormat="1" applyFont="1" applyBorder="1" applyAlignment="1">
      <alignment horizontal="center"/>
    </xf>
    <xf numFmtId="164" fontId="35" fillId="0" borderId="13" xfId="43" applyNumberFormat="1" applyFont="1" applyBorder="1" applyAlignment="1">
      <alignment horizont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43" builtinId="3"/>
    <cellStyle name="Ezres 3" xfId="44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tabSelected="1" zoomScale="110" zoomScaleNormal="110" workbookViewId="0">
      <pane xSplit="3" ySplit="17" topLeftCell="D2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L58" sqref="L58"/>
    </sheetView>
  </sheetViews>
  <sheetFormatPr defaultRowHeight="12.75" x14ac:dyDescent="0.2"/>
  <cols>
    <col min="1" max="1" width="6.42578125" style="1" customWidth="1"/>
    <col min="2" max="2" width="30.7109375" style="1" customWidth="1"/>
    <col min="3" max="3" width="12.5703125" style="1" bestFit="1" customWidth="1"/>
    <col min="4" max="5" width="10.7109375" style="1" customWidth="1"/>
    <col min="6" max="6" width="12.5703125" style="1" bestFit="1" customWidth="1"/>
    <col min="7" max="12" width="10.7109375" style="1" customWidth="1"/>
    <col min="13" max="13" width="11.570312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208" t="s">
        <v>95</v>
      </c>
      <c r="M1" s="208"/>
    </row>
    <row r="2" spans="1:15" x14ac:dyDescent="0.2">
      <c r="M2" s="2"/>
    </row>
    <row r="3" spans="1:15" x14ac:dyDescent="0.2">
      <c r="M3" s="2"/>
    </row>
    <row r="4" spans="1:15" x14ac:dyDescent="0.2">
      <c r="A4" s="209" t="s">
        <v>85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x14ac:dyDescent="0.2">
      <c r="A6" s="209" t="s">
        <v>96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4"/>
      <c r="O6" s="5"/>
    </row>
    <row r="7" spans="1: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4"/>
      <c r="O7" s="5"/>
    </row>
    <row r="8" spans="1:15" ht="13.5" thickBot="1" x14ac:dyDescent="0.25">
      <c r="A8" s="3"/>
      <c r="B8" s="4"/>
      <c r="C8" s="4"/>
      <c r="D8" s="4"/>
      <c r="E8" s="7"/>
      <c r="F8" s="4"/>
      <c r="G8" s="4"/>
      <c r="H8" s="4"/>
      <c r="I8" s="4"/>
      <c r="J8" s="4"/>
      <c r="K8" s="4"/>
      <c r="L8" s="4"/>
      <c r="M8" s="8" t="s">
        <v>94</v>
      </c>
      <c r="N8" s="4"/>
      <c r="O8" s="5"/>
    </row>
    <row r="9" spans="1:15" ht="13.5" thickBot="1" x14ac:dyDescent="0.25">
      <c r="A9" s="9"/>
      <c r="B9" s="10"/>
      <c r="C9" s="10"/>
      <c r="D9" s="210" t="s">
        <v>0</v>
      </c>
      <c r="E9" s="210"/>
      <c r="F9" s="210"/>
      <c r="G9" s="210"/>
      <c r="H9" s="210"/>
      <c r="I9" s="210"/>
      <c r="J9" s="210"/>
      <c r="K9" s="211"/>
      <c r="L9" s="11" t="s">
        <v>1</v>
      </c>
      <c r="M9" s="12"/>
    </row>
    <row r="10" spans="1:15" ht="13.5" thickBot="1" x14ac:dyDescent="0.25">
      <c r="A10" s="13"/>
      <c r="B10" s="14"/>
      <c r="C10" s="14"/>
      <c r="D10" s="212" t="s">
        <v>61</v>
      </c>
      <c r="E10" s="212"/>
      <c r="F10" s="212"/>
      <c r="G10" s="212"/>
      <c r="H10" s="212"/>
      <c r="I10" s="213" t="s">
        <v>62</v>
      </c>
      <c r="J10" s="212"/>
      <c r="K10" s="214"/>
      <c r="L10" s="15"/>
      <c r="M10" s="16"/>
    </row>
    <row r="11" spans="1:15" ht="12.75" customHeight="1" x14ac:dyDescent="0.2">
      <c r="A11" s="17"/>
      <c r="B11" s="18"/>
      <c r="C11" s="19" t="s">
        <v>2</v>
      </c>
      <c r="D11" s="20"/>
      <c r="E11" s="21" t="s">
        <v>3</v>
      </c>
      <c r="F11" s="21"/>
      <c r="G11" s="22"/>
      <c r="H11" s="22"/>
      <c r="I11" s="9"/>
      <c r="J11" s="23"/>
      <c r="K11" s="24"/>
      <c r="L11" s="25"/>
      <c r="M11" s="26"/>
    </row>
    <row r="12" spans="1:15" x14ac:dyDescent="0.2">
      <c r="A12" s="17"/>
      <c r="B12" s="19" t="s">
        <v>59</v>
      </c>
      <c r="C12" s="19" t="s">
        <v>4</v>
      </c>
      <c r="D12" s="27" t="s">
        <v>5</v>
      </c>
      <c r="E12" s="21" t="s">
        <v>6</v>
      </c>
      <c r="F12" s="21" t="s">
        <v>7</v>
      </c>
      <c r="G12" s="22" t="s">
        <v>8</v>
      </c>
      <c r="H12" s="22" t="s">
        <v>46</v>
      </c>
      <c r="I12" s="25" t="s">
        <v>10</v>
      </c>
      <c r="J12" s="28" t="s">
        <v>11</v>
      </c>
      <c r="K12" s="29" t="s">
        <v>46</v>
      </c>
      <c r="L12" s="25" t="s">
        <v>9</v>
      </c>
      <c r="M12" s="26" t="s">
        <v>12</v>
      </c>
    </row>
    <row r="13" spans="1:15" x14ac:dyDescent="0.2">
      <c r="A13" s="30"/>
      <c r="B13" s="19" t="s">
        <v>19</v>
      </c>
      <c r="C13" s="19" t="s">
        <v>13</v>
      </c>
      <c r="D13" s="27" t="s">
        <v>14</v>
      </c>
      <c r="E13" s="21" t="s">
        <v>52</v>
      </c>
      <c r="F13" s="21" t="s">
        <v>4</v>
      </c>
      <c r="G13" s="22" t="s">
        <v>15</v>
      </c>
      <c r="H13" s="22" t="s">
        <v>50</v>
      </c>
      <c r="I13" s="25"/>
      <c r="J13" s="28"/>
      <c r="K13" s="29" t="s">
        <v>17</v>
      </c>
      <c r="L13" s="25" t="s">
        <v>16</v>
      </c>
      <c r="M13" s="26" t="s">
        <v>16</v>
      </c>
    </row>
    <row r="14" spans="1:15" x14ac:dyDescent="0.2">
      <c r="A14" s="31" t="s">
        <v>18</v>
      </c>
      <c r="B14" s="19"/>
      <c r="C14" s="18"/>
      <c r="D14" s="20"/>
      <c r="E14" s="28" t="s">
        <v>20</v>
      </c>
      <c r="F14" s="21"/>
      <c r="G14" s="22" t="s">
        <v>21</v>
      </c>
      <c r="H14" s="22" t="s">
        <v>16</v>
      </c>
      <c r="I14" s="13"/>
      <c r="J14" s="32"/>
      <c r="K14" s="29" t="s">
        <v>16</v>
      </c>
      <c r="L14" s="25"/>
      <c r="M14" s="26"/>
    </row>
    <row r="15" spans="1:15" x14ac:dyDescent="0.2">
      <c r="A15" s="33"/>
      <c r="B15" s="19"/>
      <c r="C15" s="18"/>
      <c r="D15" s="20"/>
      <c r="E15" s="28" t="s">
        <v>23</v>
      </c>
      <c r="F15" s="21"/>
      <c r="G15" s="22"/>
      <c r="H15" s="22" t="s">
        <v>4</v>
      </c>
      <c r="I15" s="34"/>
      <c r="J15" s="35"/>
      <c r="K15" s="29" t="s">
        <v>4</v>
      </c>
      <c r="L15" s="25"/>
      <c r="M15" s="26"/>
    </row>
    <row r="16" spans="1:15" x14ac:dyDescent="0.2">
      <c r="A16" s="94"/>
      <c r="B16" s="95"/>
      <c r="C16" s="96"/>
      <c r="D16" s="97"/>
      <c r="E16" s="98" t="s">
        <v>24</v>
      </c>
      <c r="F16" s="99"/>
      <c r="G16" s="97"/>
      <c r="H16" s="100"/>
      <c r="I16" s="101"/>
      <c r="J16" s="102"/>
      <c r="K16" s="103"/>
      <c r="L16" s="104"/>
      <c r="M16" s="105"/>
    </row>
    <row r="17" spans="1:18" x14ac:dyDescent="0.2">
      <c r="A17" s="106">
        <v>1</v>
      </c>
      <c r="B17" s="107">
        <v>2</v>
      </c>
      <c r="C17" s="107">
        <v>3</v>
      </c>
      <c r="D17" s="108">
        <v>4</v>
      </c>
      <c r="E17" s="109">
        <v>5</v>
      </c>
      <c r="F17" s="109">
        <v>6</v>
      </c>
      <c r="G17" s="109">
        <v>7</v>
      </c>
      <c r="H17" s="110">
        <v>8</v>
      </c>
      <c r="I17" s="111">
        <v>9</v>
      </c>
      <c r="J17" s="112">
        <v>10</v>
      </c>
      <c r="K17" s="113">
        <v>11</v>
      </c>
      <c r="L17" s="106">
        <v>12</v>
      </c>
      <c r="M17" s="114">
        <v>13</v>
      </c>
    </row>
    <row r="18" spans="1:18" x14ac:dyDescent="0.2">
      <c r="A18" s="42"/>
      <c r="B18" s="19"/>
      <c r="C18" s="91"/>
      <c r="D18" s="20"/>
      <c r="E18" s="20"/>
      <c r="F18" s="20"/>
      <c r="G18" s="20"/>
      <c r="H18" s="20"/>
      <c r="I18" s="13"/>
      <c r="J18" s="20"/>
      <c r="K18" s="92"/>
      <c r="L18" s="13"/>
      <c r="M18" s="92"/>
    </row>
    <row r="19" spans="1:18" x14ac:dyDescent="0.2">
      <c r="A19" s="42" t="s">
        <v>63</v>
      </c>
      <c r="B19" s="43" t="s">
        <v>26</v>
      </c>
      <c r="C19" s="116">
        <f>SUM(D19:M19)</f>
        <v>5869608</v>
      </c>
      <c r="D19" s="117">
        <f>1726393+1728541+1739409</f>
        <v>5194343</v>
      </c>
      <c r="E19" s="117">
        <f>224430+224710+226125</f>
        <v>675265</v>
      </c>
      <c r="F19" s="117"/>
      <c r="G19" s="117"/>
      <c r="H19" s="117"/>
      <c r="I19" s="118"/>
      <c r="J19" s="119"/>
      <c r="K19" s="119"/>
      <c r="L19" s="120"/>
      <c r="M19" s="121"/>
    </row>
    <row r="20" spans="1:18" x14ac:dyDescent="0.2">
      <c r="A20" s="13"/>
      <c r="B20" s="44"/>
      <c r="C20" s="122"/>
      <c r="D20" s="119"/>
      <c r="E20" s="119"/>
      <c r="F20" s="119"/>
      <c r="G20" s="119"/>
      <c r="H20" s="119"/>
      <c r="I20" s="123"/>
      <c r="J20" s="119"/>
      <c r="K20" s="119"/>
      <c r="L20" s="120"/>
      <c r="M20" s="121"/>
    </row>
    <row r="21" spans="1:18" x14ac:dyDescent="0.2">
      <c r="A21" s="45" t="s">
        <v>25</v>
      </c>
      <c r="B21" s="46" t="s">
        <v>79</v>
      </c>
      <c r="C21" s="124">
        <f>SUM(C19:C20)</f>
        <v>5869608</v>
      </c>
      <c r="D21" s="125">
        <f>SUM(D19:D20)</f>
        <v>5194343</v>
      </c>
      <c r="E21" s="126">
        <f>SUM(E19:E20)</f>
        <v>675265</v>
      </c>
      <c r="F21" s="126">
        <f t="shared" ref="F21:M21" si="0">SUM(F19:F20)</f>
        <v>0</v>
      </c>
      <c r="G21" s="126">
        <f t="shared" si="0"/>
        <v>0</v>
      </c>
      <c r="H21" s="126">
        <f t="shared" si="0"/>
        <v>0</v>
      </c>
      <c r="I21" s="127">
        <f t="shared" si="0"/>
        <v>0</v>
      </c>
      <c r="J21" s="126">
        <f t="shared" si="0"/>
        <v>0</v>
      </c>
      <c r="K21" s="128">
        <f t="shared" si="0"/>
        <v>0</v>
      </c>
      <c r="L21" s="129">
        <f t="shared" si="0"/>
        <v>0</v>
      </c>
      <c r="M21" s="130">
        <f t="shared" si="0"/>
        <v>0</v>
      </c>
    </row>
    <row r="22" spans="1:18" x14ac:dyDescent="0.2">
      <c r="A22" s="13"/>
      <c r="B22" s="47"/>
      <c r="C22" s="131"/>
      <c r="D22" s="119"/>
      <c r="E22" s="119"/>
      <c r="F22" s="119"/>
      <c r="G22" s="119"/>
      <c r="H22" s="119"/>
      <c r="I22" s="123"/>
      <c r="J22" s="119"/>
      <c r="K22" s="119"/>
      <c r="L22" s="120"/>
      <c r="M22" s="121"/>
    </row>
    <row r="23" spans="1:18" x14ac:dyDescent="0.2">
      <c r="A23" s="42" t="s">
        <v>63</v>
      </c>
      <c r="B23" s="43" t="s">
        <v>27</v>
      </c>
      <c r="C23" s="116">
        <f t="shared" ref="C23:C34" si="1">SUM(D23:M23)</f>
        <v>700000</v>
      </c>
      <c r="D23" s="117">
        <v>-556949</v>
      </c>
      <c r="E23" s="117">
        <v>-72403</v>
      </c>
      <c r="F23" s="117">
        <f>629352+700000</f>
        <v>1329352</v>
      </c>
      <c r="G23" s="117"/>
      <c r="H23" s="117"/>
      <c r="I23" s="118"/>
      <c r="J23" s="117"/>
      <c r="K23" s="119"/>
      <c r="L23" s="120"/>
      <c r="M23" s="121"/>
    </row>
    <row r="24" spans="1:18" x14ac:dyDescent="0.2">
      <c r="A24" s="42" t="s">
        <v>64</v>
      </c>
      <c r="B24" s="43" t="s">
        <v>29</v>
      </c>
      <c r="C24" s="116">
        <f t="shared" si="1"/>
        <v>2644000</v>
      </c>
      <c r="D24" s="117"/>
      <c r="E24" s="117"/>
      <c r="F24" s="117">
        <v>2644000</v>
      </c>
      <c r="G24" s="117"/>
      <c r="H24" s="117"/>
      <c r="I24" s="118"/>
      <c r="J24" s="117"/>
      <c r="K24" s="119"/>
      <c r="L24" s="120"/>
      <c r="M24" s="121"/>
    </row>
    <row r="25" spans="1:18" x14ac:dyDescent="0.2">
      <c r="A25" s="42" t="s">
        <v>65</v>
      </c>
      <c r="B25" s="43" t="s">
        <v>31</v>
      </c>
      <c r="C25" s="116">
        <f>SUM(D25:M25)</f>
        <v>570000</v>
      </c>
      <c r="D25" s="117">
        <f>-212874-230614</f>
        <v>-443488</v>
      </c>
      <c r="E25" s="117">
        <f>-27674-29980</f>
        <v>-57654</v>
      </c>
      <c r="F25" s="117">
        <f>570000+240548+260594</f>
        <v>1071142</v>
      </c>
      <c r="G25" s="117"/>
      <c r="H25" s="117"/>
      <c r="I25" s="118"/>
      <c r="J25" s="117"/>
      <c r="K25" s="119"/>
      <c r="L25" s="120"/>
      <c r="M25" s="121"/>
    </row>
    <row r="26" spans="1:18" x14ac:dyDescent="0.2">
      <c r="A26" s="42" t="s">
        <v>66</v>
      </c>
      <c r="B26" s="43" t="s">
        <v>33</v>
      </c>
      <c r="C26" s="116">
        <f t="shared" si="1"/>
        <v>800000</v>
      </c>
      <c r="D26" s="117">
        <f>-385835-563230</f>
        <v>-949065</v>
      </c>
      <c r="E26" s="117">
        <f>-50159-73220</f>
        <v>-123379</v>
      </c>
      <c r="F26" s="117">
        <f>435994+636450+800000</f>
        <v>1872444</v>
      </c>
      <c r="G26" s="117"/>
      <c r="H26" s="117"/>
      <c r="I26" s="118"/>
      <c r="J26" s="117"/>
      <c r="K26" s="119"/>
      <c r="L26" s="120"/>
      <c r="M26" s="121"/>
    </row>
    <row r="27" spans="1:18" x14ac:dyDescent="0.2">
      <c r="A27" s="42" t="s">
        <v>67</v>
      </c>
      <c r="B27" s="43" t="s">
        <v>34</v>
      </c>
      <c r="C27" s="116">
        <f t="shared" si="1"/>
        <v>1600000</v>
      </c>
      <c r="D27" s="117">
        <v>-438130</v>
      </c>
      <c r="E27" s="117">
        <v>-56957</v>
      </c>
      <c r="F27" s="117">
        <f>495087+1600000</f>
        <v>2095087</v>
      </c>
      <c r="G27" s="117"/>
      <c r="H27" s="117"/>
      <c r="I27" s="118"/>
      <c r="J27" s="117"/>
      <c r="K27" s="119"/>
      <c r="L27" s="120"/>
      <c r="M27" s="121"/>
    </row>
    <row r="28" spans="1:18" x14ac:dyDescent="0.2">
      <c r="A28" s="42" t="s">
        <v>68</v>
      </c>
      <c r="B28" s="43" t="s">
        <v>35</v>
      </c>
      <c r="C28" s="116">
        <f t="shared" si="1"/>
        <v>0</v>
      </c>
      <c r="D28" s="117">
        <f>-1279729-742291</f>
        <v>-2022020</v>
      </c>
      <c r="E28" s="117">
        <f>-166365-96498</f>
        <v>-262863</v>
      </c>
      <c r="F28" s="117">
        <f>1446094+838789</f>
        <v>2284883</v>
      </c>
      <c r="G28" s="117"/>
      <c r="H28" s="117"/>
      <c r="I28" s="118"/>
      <c r="J28" s="117"/>
      <c r="K28" s="119"/>
      <c r="L28" s="120"/>
      <c r="M28" s="121"/>
      <c r="R28" s="48"/>
    </row>
    <row r="29" spans="1:18" x14ac:dyDescent="0.2">
      <c r="A29" s="42" t="s">
        <v>69</v>
      </c>
      <c r="B29" s="43" t="s">
        <v>36</v>
      </c>
      <c r="C29" s="116">
        <f t="shared" si="1"/>
        <v>5000000</v>
      </c>
      <c r="D29" s="117"/>
      <c r="E29" s="117"/>
      <c r="F29" s="117">
        <v>5000000</v>
      </c>
      <c r="G29" s="117"/>
      <c r="H29" s="117"/>
      <c r="I29" s="118"/>
      <c r="J29" s="117"/>
      <c r="K29" s="119"/>
      <c r="L29" s="120"/>
      <c r="M29" s="121"/>
    </row>
    <row r="30" spans="1:18" s="85" customFormat="1" x14ac:dyDescent="0.2">
      <c r="A30" s="25" t="s">
        <v>70</v>
      </c>
      <c r="B30" s="86" t="s">
        <v>37</v>
      </c>
      <c r="C30" s="116">
        <f t="shared" si="1"/>
        <v>713375</v>
      </c>
      <c r="D30" s="117">
        <f>167717-209656-419311</f>
        <v>-461250</v>
      </c>
      <c r="E30" s="117">
        <f>70375-27255-54511</f>
        <v>-11391</v>
      </c>
      <c r="F30" s="117">
        <f>475283+236911+473822</f>
        <v>1186016</v>
      </c>
      <c r="G30" s="117"/>
      <c r="H30" s="117"/>
      <c r="I30" s="118"/>
      <c r="J30" s="117"/>
      <c r="K30" s="119"/>
      <c r="L30" s="120"/>
      <c r="M30" s="121"/>
    </row>
    <row r="31" spans="1:18" x14ac:dyDescent="0.2">
      <c r="A31" s="42" t="s">
        <v>73</v>
      </c>
      <c r="B31" s="43" t="s">
        <v>38</v>
      </c>
      <c r="C31" s="116">
        <f>SUM(D31:M31)</f>
        <v>1206000</v>
      </c>
      <c r="D31" s="117">
        <v>-1113896</v>
      </c>
      <c r="E31" s="117">
        <v>-144806</v>
      </c>
      <c r="F31" s="117">
        <f>406000+1258702+800000</f>
        <v>2464702</v>
      </c>
      <c r="G31" s="117"/>
      <c r="H31" s="117"/>
      <c r="I31" s="118"/>
      <c r="J31" s="117"/>
      <c r="K31" s="119"/>
      <c r="L31" s="120"/>
      <c r="M31" s="121"/>
    </row>
    <row r="32" spans="1:18" x14ac:dyDescent="0.2">
      <c r="A32" s="42" t="s">
        <v>71</v>
      </c>
      <c r="B32" s="43" t="s">
        <v>39</v>
      </c>
      <c r="C32" s="116">
        <f t="shared" si="1"/>
        <v>300000</v>
      </c>
      <c r="D32" s="117">
        <f>-771670-1840477</f>
        <v>-2612147</v>
      </c>
      <c r="E32" s="117">
        <f>-100317-239262</f>
        <v>-339579</v>
      </c>
      <c r="F32" s="117">
        <f>871987+2079739+300000</f>
        <v>3251726</v>
      </c>
      <c r="G32" s="117"/>
      <c r="H32" s="117"/>
      <c r="I32" s="118"/>
      <c r="J32" s="117"/>
      <c r="K32" s="119"/>
      <c r="L32" s="120"/>
      <c r="M32" s="121"/>
    </row>
    <row r="33" spans="1:19" x14ac:dyDescent="0.2">
      <c r="A33" s="42" t="s">
        <v>72</v>
      </c>
      <c r="B33" s="43" t="s">
        <v>84</v>
      </c>
      <c r="C33" s="116">
        <f t="shared" si="1"/>
        <v>900000</v>
      </c>
      <c r="D33" s="117">
        <v>-769714</v>
      </c>
      <c r="E33" s="117">
        <v>-100063</v>
      </c>
      <c r="F33" s="117">
        <f>869777+900000</f>
        <v>1769777</v>
      </c>
      <c r="G33" s="117"/>
      <c r="H33" s="117"/>
      <c r="I33" s="118"/>
      <c r="J33" s="117"/>
      <c r="K33" s="119"/>
      <c r="L33" s="120"/>
      <c r="M33" s="121"/>
      <c r="R33" s="48"/>
    </row>
    <row r="34" spans="1:19" x14ac:dyDescent="0.2">
      <c r="A34" s="42" t="s">
        <v>86</v>
      </c>
      <c r="B34" s="43" t="s">
        <v>87</v>
      </c>
      <c r="C34" s="116">
        <f t="shared" si="1"/>
        <v>500000</v>
      </c>
      <c r="D34" s="117">
        <f>-238153-449502</f>
        <v>-687655</v>
      </c>
      <c r="E34" s="117">
        <f>-30960-58436</f>
        <v>-89396</v>
      </c>
      <c r="F34" s="117">
        <f>269113+507938+500000</f>
        <v>1277051</v>
      </c>
      <c r="G34" s="117"/>
      <c r="H34" s="117"/>
      <c r="I34" s="118"/>
      <c r="J34" s="117"/>
      <c r="K34" s="119"/>
      <c r="L34" s="120"/>
      <c r="M34" s="121"/>
    </row>
    <row r="35" spans="1:19" x14ac:dyDescent="0.2">
      <c r="A35" s="42"/>
      <c r="B35" s="49"/>
      <c r="C35" s="116"/>
      <c r="D35" s="117"/>
      <c r="E35" s="117"/>
      <c r="F35" s="117"/>
      <c r="G35" s="117"/>
      <c r="H35" s="117"/>
      <c r="I35" s="118"/>
      <c r="J35" s="117"/>
      <c r="K35" s="119"/>
      <c r="L35" s="120"/>
      <c r="M35" s="121"/>
    </row>
    <row r="36" spans="1:19" x14ac:dyDescent="0.2">
      <c r="A36" s="45" t="s">
        <v>28</v>
      </c>
      <c r="B36" s="46" t="s">
        <v>80</v>
      </c>
      <c r="C36" s="124">
        <f>SUM(C23:C35)</f>
        <v>14933375</v>
      </c>
      <c r="D36" s="125">
        <f>SUM(D23:D34)</f>
        <v>-10054314</v>
      </c>
      <c r="E36" s="132">
        <f t="shared" ref="E36:M36" si="2">SUM(E23:E34)</f>
        <v>-1258491</v>
      </c>
      <c r="F36" s="132">
        <f t="shared" si="2"/>
        <v>26246180</v>
      </c>
      <c r="G36" s="125">
        <f t="shared" si="2"/>
        <v>0</v>
      </c>
      <c r="H36" s="132">
        <f t="shared" si="2"/>
        <v>0</v>
      </c>
      <c r="I36" s="133">
        <f t="shared" si="2"/>
        <v>0</v>
      </c>
      <c r="J36" s="132">
        <f t="shared" si="2"/>
        <v>0</v>
      </c>
      <c r="K36" s="125">
        <f t="shared" si="2"/>
        <v>0</v>
      </c>
      <c r="L36" s="134">
        <f t="shared" si="2"/>
        <v>0</v>
      </c>
      <c r="M36" s="135">
        <f t="shared" si="2"/>
        <v>0</v>
      </c>
    </row>
    <row r="37" spans="1:19" x14ac:dyDescent="0.2">
      <c r="A37" s="13"/>
      <c r="B37" s="14"/>
      <c r="C37" s="122"/>
      <c r="D37" s="119"/>
      <c r="E37" s="119"/>
      <c r="F37" s="119"/>
      <c r="G37" s="119"/>
      <c r="H37" s="119"/>
      <c r="I37" s="123"/>
      <c r="J37" s="119"/>
      <c r="K37" s="119"/>
      <c r="L37" s="120"/>
      <c r="M37" s="121"/>
    </row>
    <row r="38" spans="1:19" x14ac:dyDescent="0.2">
      <c r="A38" s="42" t="s">
        <v>63</v>
      </c>
      <c r="B38" s="43" t="s">
        <v>40</v>
      </c>
      <c r="C38" s="116">
        <f t="shared" ref="C38:C42" si="3">SUM(D38:M38)</f>
        <v>3743152</v>
      </c>
      <c r="D38" s="117">
        <f>1278023+1017249+1017249</f>
        <v>3312521</v>
      </c>
      <c r="E38" s="117">
        <f>166145+132242+132244</f>
        <v>430631</v>
      </c>
      <c r="F38" s="117"/>
      <c r="G38" s="117"/>
      <c r="H38" s="117"/>
      <c r="I38" s="118"/>
      <c r="J38" s="117"/>
      <c r="K38" s="117"/>
      <c r="L38" s="120"/>
      <c r="M38" s="121"/>
    </row>
    <row r="39" spans="1:19" x14ac:dyDescent="0.2">
      <c r="A39" s="42" t="s">
        <v>64</v>
      </c>
      <c r="B39" s="43" t="s">
        <v>41</v>
      </c>
      <c r="C39" s="116">
        <f t="shared" si="3"/>
        <v>10563273</v>
      </c>
      <c r="D39" s="117">
        <f>300000+1745050+1692088+1699394-297751-350295-385325</f>
        <v>4403161</v>
      </c>
      <c r="E39" s="117">
        <f>39000+226855+219965+220921-38708-45539-50092</f>
        <v>572402</v>
      </c>
      <c r="F39" s="117">
        <f>963000+336459+395834+435417</f>
        <v>2130710</v>
      </c>
      <c r="G39" s="117"/>
      <c r="H39" s="117"/>
      <c r="I39" s="118">
        <v>3457000</v>
      </c>
      <c r="J39" s="117"/>
      <c r="K39" s="117"/>
      <c r="L39" s="120"/>
      <c r="M39" s="121"/>
      <c r="S39" s="48"/>
    </row>
    <row r="40" spans="1:19" x14ac:dyDescent="0.2">
      <c r="A40" s="42" t="s">
        <v>65</v>
      </c>
      <c r="B40" s="43" t="s">
        <v>42</v>
      </c>
      <c r="C40" s="116">
        <f t="shared" si="3"/>
        <v>7582650</v>
      </c>
      <c r="D40" s="117">
        <f>1955728+1958953+1877045-317388-317388</f>
        <v>5156950</v>
      </c>
      <c r="E40" s="117">
        <f>254249+254663+244012-41260-41260</f>
        <v>670404</v>
      </c>
      <c r="F40" s="117">
        <f>1038000+358648+358648</f>
        <v>1755296</v>
      </c>
      <c r="G40" s="117"/>
      <c r="H40" s="117"/>
      <c r="I40" s="118"/>
      <c r="J40" s="117"/>
      <c r="K40" s="117"/>
      <c r="L40" s="120"/>
      <c r="M40" s="121"/>
    </row>
    <row r="41" spans="1:19" x14ac:dyDescent="0.2">
      <c r="A41" s="42" t="s">
        <v>66</v>
      </c>
      <c r="B41" s="43" t="s">
        <v>43</v>
      </c>
      <c r="C41" s="116">
        <f t="shared" si="3"/>
        <v>3026429</v>
      </c>
      <c r="D41" s="117">
        <f>896256+890996+891003-371586-371586-941841</f>
        <v>993242</v>
      </c>
      <c r="E41" s="117">
        <f>116514+115832+115828-48306-48306-122439</f>
        <v>129123</v>
      </c>
      <c r="F41" s="117">
        <f>419892+419892+1064280</f>
        <v>1904064</v>
      </c>
      <c r="G41" s="117"/>
      <c r="H41" s="117"/>
      <c r="I41" s="118"/>
      <c r="J41" s="117"/>
      <c r="K41" s="117"/>
      <c r="L41" s="120"/>
      <c r="M41" s="121"/>
      <c r="R41" s="48"/>
    </row>
    <row r="42" spans="1:19" x14ac:dyDescent="0.2">
      <c r="A42" s="42" t="s">
        <v>67</v>
      </c>
      <c r="B42" s="43" t="s">
        <v>90</v>
      </c>
      <c r="C42" s="116">
        <f t="shared" si="3"/>
        <v>19749599</v>
      </c>
      <c r="D42" s="117">
        <f>5796559+5827607+5853362-1491632-1453869</f>
        <v>14532027</v>
      </c>
      <c r="E42" s="117">
        <f>753552+757586+760933-193912-189003</f>
        <v>1889156</v>
      </c>
      <c r="F42" s="117">
        <f>1685544+1642872</f>
        <v>3328416</v>
      </c>
      <c r="G42" s="117"/>
      <c r="H42" s="117"/>
      <c r="I42" s="118"/>
      <c r="J42" s="117"/>
      <c r="K42" s="117"/>
      <c r="L42" s="120"/>
      <c r="M42" s="121"/>
    </row>
    <row r="43" spans="1:19" x14ac:dyDescent="0.2">
      <c r="A43" s="42"/>
      <c r="B43" s="14"/>
      <c r="C43" s="122"/>
      <c r="D43" s="119"/>
      <c r="E43" s="119"/>
      <c r="F43" s="119"/>
      <c r="G43" s="119"/>
      <c r="H43" s="119"/>
      <c r="I43" s="123"/>
      <c r="J43" s="119"/>
      <c r="K43" s="119"/>
      <c r="L43" s="120"/>
      <c r="M43" s="121"/>
    </row>
    <row r="44" spans="1:19" x14ac:dyDescent="0.2">
      <c r="A44" s="45" t="s">
        <v>30</v>
      </c>
      <c r="B44" s="50" t="s">
        <v>81</v>
      </c>
      <c r="C44" s="124">
        <f>SUM(C38:C43)</f>
        <v>44665103</v>
      </c>
      <c r="D44" s="125">
        <f>SUM(D38:D42)</f>
        <v>28397901</v>
      </c>
      <c r="E44" s="125">
        <f t="shared" ref="E44:M44" si="4">SUM(E38:E42)</f>
        <v>3691716</v>
      </c>
      <c r="F44" s="125">
        <f t="shared" si="4"/>
        <v>9118486</v>
      </c>
      <c r="G44" s="125">
        <f t="shared" si="4"/>
        <v>0</v>
      </c>
      <c r="H44" s="136">
        <f t="shared" si="4"/>
        <v>0</v>
      </c>
      <c r="I44" s="125">
        <f t="shared" si="4"/>
        <v>3457000</v>
      </c>
      <c r="J44" s="125">
        <f t="shared" si="4"/>
        <v>0</v>
      </c>
      <c r="K44" s="136">
        <f t="shared" si="4"/>
        <v>0</v>
      </c>
      <c r="L44" s="125">
        <f t="shared" si="4"/>
        <v>0</v>
      </c>
      <c r="M44" s="136">
        <f t="shared" si="4"/>
        <v>0</v>
      </c>
    </row>
    <row r="45" spans="1:19" x14ac:dyDescent="0.2">
      <c r="A45" s="51"/>
      <c r="B45" s="52"/>
      <c r="C45" s="137"/>
      <c r="D45" s="138"/>
      <c r="E45" s="138"/>
      <c r="F45" s="138"/>
      <c r="G45" s="138"/>
      <c r="H45" s="138"/>
      <c r="I45" s="139"/>
      <c r="J45" s="138"/>
      <c r="K45" s="140"/>
      <c r="L45" s="141"/>
      <c r="M45" s="142"/>
    </row>
    <row r="46" spans="1:19" x14ac:dyDescent="0.2">
      <c r="A46" s="41" t="s">
        <v>32</v>
      </c>
      <c r="B46" s="53" t="s">
        <v>44</v>
      </c>
      <c r="C46" s="143">
        <f>SUM(D46:M46)</f>
        <v>600000</v>
      </c>
      <c r="D46" s="144"/>
      <c r="E46" s="145"/>
      <c r="F46" s="146">
        <f>-761000+600000</f>
        <v>-161000</v>
      </c>
      <c r="G46" s="146"/>
      <c r="H46" s="146"/>
      <c r="I46" s="147"/>
      <c r="J46" s="146">
        <v>761000</v>
      </c>
      <c r="K46" s="148"/>
      <c r="L46" s="149"/>
      <c r="M46" s="150"/>
      <c r="R46" s="48"/>
      <c r="S46" s="48"/>
    </row>
    <row r="47" spans="1:19" ht="13.5" thickBot="1" x14ac:dyDescent="0.25">
      <c r="A47" s="13"/>
      <c r="B47" s="54"/>
      <c r="C47" s="151"/>
      <c r="D47" s="152"/>
      <c r="E47" s="152"/>
      <c r="F47" s="152"/>
      <c r="G47" s="152"/>
      <c r="H47" s="153"/>
      <c r="I47" s="152"/>
      <c r="J47" s="152"/>
      <c r="K47" s="153"/>
      <c r="L47" s="154"/>
      <c r="M47" s="153"/>
    </row>
    <row r="48" spans="1:19" ht="22.5" thickBot="1" x14ac:dyDescent="0.25">
      <c r="A48" s="55" t="s">
        <v>74</v>
      </c>
      <c r="B48" s="56" t="s">
        <v>78</v>
      </c>
      <c r="C48" s="155">
        <f>C21+C36+C44+C46</f>
        <v>66068086</v>
      </c>
      <c r="D48" s="155">
        <f t="shared" ref="D48:M48" si="5">D21+D36+D44+D46</f>
        <v>23537930</v>
      </c>
      <c r="E48" s="155">
        <f t="shared" si="5"/>
        <v>3108490</v>
      </c>
      <c r="F48" s="155">
        <f t="shared" si="5"/>
        <v>35203666</v>
      </c>
      <c r="G48" s="155">
        <f t="shared" si="5"/>
        <v>0</v>
      </c>
      <c r="H48" s="155">
        <f t="shared" si="5"/>
        <v>0</v>
      </c>
      <c r="I48" s="155">
        <f t="shared" si="5"/>
        <v>3457000</v>
      </c>
      <c r="J48" s="155">
        <f t="shared" si="5"/>
        <v>761000</v>
      </c>
      <c r="K48" s="155">
        <f t="shared" si="5"/>
        <v>0</v>
      </c>
      <c r="L48" s="155">
        <f t="shared" si="5"/>
        <v>0</v>
      </c>
      <c r="M48" s="155">
        <f t="shared" si="5"/>
        <v>0</v>
      </c>
    </row>
    <row r="49" spans="1:15" x14ac:dyDescent="0.2">
      <c r="A49" s="38"/>
      <c r="B49" s="57"/>
      <c r="C49" s="156"/>
      <c r="D49" s="157"/>
      <c r="E49" s="157"/>
      <c r="F49" s="157"/>
      <c r="G49" s="157"/>
      <c r="H49" s="158"/>
      <c r="I49" s="157"/>
      <c r="J49" s="157"/>
      <c r="K49" s="158"/>
      <c r="L49" s="159"/>
      <c r="M49" s="158"/>
    </row>
    <row r="50" spans="1:15" x14ac:dyDescent="0.2">
      <c r="A50" s="60" t="s">
        <v>75</v>
      </c>
      <c r="B50" s="61" t="s">
        <v>76</v>
      </c>
      <c r="C50" s="160">
        <f>SUM(D50:M50)</f>
        <v>1200000</v>
      </c>
      <c r="D50" s="161"/>
      <c r="E50" s="162">
        <v>-23400000</v>
      </c>
      <c r="F50" s="163">
        <f>1200000-7000000+23400000</f>
        <v>17600000</v>
      </c>
      <c r="G50" s="162"/>
      <c r="H50" s="164"/>
      <c r="I50" s="162">
        <v>7000000</v>
      </c>
      <c r="J50" s="165"/>
      <c r="K50" s="164"/>
      <c r="L50" s="166"/>
      <c r="M50" s="164"/>
    </row>
    <row r="51" spans="1:15" ht="13.5" thickBot="1" x14ac:dyDescent="0.25">
      <c r="A51" s="34"/>
      <c r="B51" s="14"/>
      <c r="C51" s="151"/>
      <c r="D51" s="152"/>
      <c r="E51" s="152"/>
      <c r="F51" s="152"/>
      <c r="G51" s="152"/>
      <c r="H51" s="153"/>
      <c r="I51" s="152"/>
      <c r="J51" s="152"/>
      <c r="K51" s="153"/>
      <c r="L51" s="154"/>
      <c r="M51" s="153"/>
    </row>
    <row r="52" spans="1:15" ht="13.5" thickBot="1" x14ac:dyDescent="0.25">
      <c r="A52" s="62" t="s">
        <v>77</v>
      </c>
      <c r="B52" s="63" t="s">
        <v>83</v>
      </c>
      <c r="C52" s="167">
        <f>C48+C50</f>
        <v>67268086</v>
      </c>
      <c r="D52" s="168">
        <f t="shared" ref="D52:M52" si="6">D48+D50</f>
        <v>23537930</v>
      </c>
      <c r="E52" s="169">
        <f t="shared" si="6"/>
        <v>-20291510</v>
      </c>
      <c r="F52" s="169">
        <f t="shared" si="6"/>
        <v>52803666</v>
      </c>
      <c r="G52" s="169">
        <f t="shared" si="6"/>
        <v>0</v>
      </c>
      <c r="H52" s="170">
        <f t="shared" si="6"/>
        <v>0</v>
      </c>
      <c r="I52" s="168">
        <f t="shared" si="6"/>
        <v>10457000</v>
      </c>
      <c r="J52" s="169">
        <f t="shared" si="6"/>
        <v>761000</v>
      </c>
      <c r="K52" s="169">
        <f t="shared" si="6"/>
        <v>0</v>
      </c>
      <c r="L52" s="169">
        <f t="shared" si="6"/>
        <v>0</v>
      </c>
      <c r="M52" s="170">
        <f t="shared" si="6"/>
        <v>0</v>
      </c>
    </row>
    <row r="53" spans="1:15" x14ac:dyDescent="0.2">
      <c r="A53" s="64"/>
      <c r="B53" s="20"/>
      <c r="C53" s="171"/>
      <c r="D53" s="172"/>
      <c r="E53" s="172"/>
      <c r="F53" s="172"/>
      <c r="G53" s="172"/>
      <c r="H53" s="172"/>
      <c r="I53" s="172"/>
      <c r="J53" s="172"/>
      <c r="K53" s="172"/>
      <c r="L53" s="172"/>
      <c r="M53" s="172"/>
    </row>
    <row r="54" spans="1:15" x14ac:dyDescent="0.2"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2"/>
      <c r="O54" s="2"/>
    </row>
    <row r="55" spans="1:15" x14ac:dyDescent="0.2"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2"/>
      <c r="O55" s="2"/>
    </row>
    <row r="56" spans="1:15" x14ac:dyDescent="0.2"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93"/>
      <c r="O56" s="93"/>
    </row>
    <row r="57" spans="1:15" x14ac:dyDescent="0.2"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93"/>
      <c r="O57" s="93"/>
    </row>
    <row r="58" spans="1:15" x14ac:dyDescent="0.2"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15"/>
      <c r="O58" s="115"/>
    </row>
    <row r="59" spans="1:15" x14ac:dyDescent="0.2"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2"/>
      <c r="O59" s="2"/>
    </row>
    <row r="60" spans="1:15" x14ac:dyDescent="0.2">
      <c r="C60" s="171"/>
      <c r="D60" s="171"/>
      <c r="E60" s="171"/>
      <c r="F60" s="203"/>
    </row>
    <row r="61" spans="1:15" x14ac:dyDescent="0.2"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71"/>
      <c r="N61" s="2"/>
      <c r="O61" s="2"/>
    </row>
    <row r="62" spans="1:15" x14ac:dyDescent="0.2"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2"/>
      <c r="O62" s="2"/>
    </row>
    <row r="63" spans="1:15" x14ac:dyDescent="0.2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2"/>
      <c r="O63" s="2"/>
    </row>
    <row r="64" spans="1:15" x14ac:dyDescent="0.2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2"/>
      <c r="O64" s="2"/>
    </row>
    <row r="65" spans="3:15" x14ac:dyDescent="0.2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202"/>
      <c r="O65" s="202"/>
    </row>
    <row r="66" spans="3:15" x14ac:dyDescent="0.2"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202"/>
      <c r="O66" s="202"/>
    </row>
    <row r="67" spans="3:15" x14ac:dyDescent="0.2">
      <c r="C67" s="171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202"/>
      <c r="O67" s="202"/>
    </row>
    <row r="68" spans="3:15" x14ac:dyDescent="0.2">
      <c r="C68" s="171"/>
      <c r="D68" s="171"/>
      <c r="E68" s="171"/>
      <c r="F68" s="171"/>
      <c r="G68" s="171"/>
      <c r="H68" s="171"/>
      <c r="I68" s="171"/>
      <c r="J68" s="171"/>
      <c r="K68" s="171"/>
      <c r="L68" s="171"/>
      <c r="M68" s="171"/>
      <c r="N68" s="202"/>
      <c r="O68" s="202"/>
    </row>
    <row r="69" spans="3:15" x14ac:dyDescent="0.2">
      <c r="C69" s="171"/>
      <c r="D69" s="171"/>
      <c r="E69" s="171"/>
      <c r="F69" s="171"/>
      <c r="G69" s="171"/>
      <c r="H69" s="171"/>
      <c r="I69" s="171"/>
      <c r="J69" s="171"/>
      <c r="K69" s="171"/>
      <c r="L69" s="171"/>
      <c r="M69" s="171"/>
      <c r="N69" s="202"/>
      <c r="O69" s="202"/>
    </row>
    <row r="70" spans="3:15" x14ac:dyDescent="0.2"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202"/>
      <c r="O70" s="202"/>
    </row>
    <row r="71" spans="3:15" x14ac:dyDescent="0.2">
      <c r="C71" s="171"/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202"/>
      <c r="O71" s="202"/>
    </row>
    <row r="72" spans="3:15" x14ac:dyDescent="0.2"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202"/>
      <c r="O72" s="202"/>
    </row>
    <row r="73" spans="3:15" x14ac:dyDescent="0.2"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202"/>
      <c r="O73" s="202"/>
    </row>
    <row r="74" spans="3:15" x14ac:dyDescent="0.2"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202"/>
      <c r="O74" s="202"/>
    </row>
    <row r="75" spans="3:15" x14ac:dyDescent="0.2"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204"/>
      <c r="O75" s="204"/>
    </row>
    <row r="76" spans="3:15" x14ac:dyDescent="0.2"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205"/>
      <c r="O76" s="205"/>
    </row>
    <row r="77" spans="3:15" x14ac:dyDescent="0.2"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207"/>
      <c r="O77" s="207"/>
    </row>
    <row r="78" spans="3:15" x14ac:dyDescent="0.2"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2"/>
      <c r="O78" s="2"/>
    </row>
    <row r="79" spans="3:15" x14ac:dyDescent="0.2"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2"/>
      <c r="O79" s="2"/>
    </row>
    <row r="80" spans="3:15" x14ac:dyDescent="0.2"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2"/>
      <c r="O80" s="2"/>
    </row>
    <row r="81" spans="1:15" x14ac:dyDescent="0.2">
      <c r="A81" s="199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2"/>
      <c r="O81" s="2"/>
    </row>
    <row r="82" spans="1:15" x14ac:dyDescent="0.2">
      <c r="C82" s="171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2"/>
      <c r="O82" s="2"/>
    </row>
    <row r="83" spans="1:15" x14ac:dyDescent="0.2">
      <c r="C83" s="171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2"/>
      <c r="O83" s="2"/>
    </row>
    <row r="84" spans="1:15" x14ac:dyDescent="0.2">
      <c r="C84" s="171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2"/>
      <c r="O84" s="2"/>
    </row>
    <row r="85" spans="1:15" x14ac:dyDescent="0.2">
      <c r="C85" s="171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2"/>
      <c r="O85" s="2"/>
    </row>
    <row r="86" spans="1:15" x14ac:dyDescent="0.2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2"/>
      <c r="O86" s="2"/>
    </row>
    <row r="87" spans="1:15" x14ac:dyDescent="0.2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2"/>
      <c r="O87" s="2"/>
    </row>
    <row r="88" spans="1:15" x14ac:dyDescent="0.2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2"/>
      <c r="O88" s="2"/>
    </row>
    <row r="89" spans="1:15" x14ac:dyDescent="0.2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2"/>
      <c r="O89" s="2"/>
    </row>
    <row r="90" spans="1:15" x14ac:dyDescent="0.2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2"/>
      <c r="O90" s="2"/>
    </row>
    <row r="91" spans="1:15" x14ac:dyDescent="0.2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2"/>
      <c r="O91" s="2"/>
    </row>
    <row r="92" spans="1:15" x14ac:dyDescent="0.2"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2"/>
      <c r="O92" s="2"/>
    </row>
    <row r="93" spans="1:15" x14ac:dyDescent="0.2"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2"/>
      <c r="O93" s="2"/>
    </row>
    <row r="94" spans="1:15" x14ac:dyDescent="0.2"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2"/>
      <c r="O94" s="2"/>
    </row>
    <row r="95" spans="1:15" x14ac:dyDescent="0.2"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2"/>
      <c r="O95" s="2"/>
    </row>
    <row r="96" spans="1:15" x14ac:dyDescent="0.2"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2"/>
      <c r="O96" s="2"/>
    </row>
    <row r="97" spans="3:15" x14ac:dyDescent="0.2"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2"/>
      <c r="O97" s="2"/>
    </row>
    <row r="98" spans="3:15" x14ac:dyDescent="0.2"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2"/>
      <c r="O98" s="2"/>
    </row>
    <row r="99" spans="3:15" x14ac:dyDescent="0.2"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2"/>
      <c r="O99" s="2"/>
    </row>
    <row r="100" spans="3:15" x14ac:dyDescent="0.2"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2"/>
      <c r="O100" s="2"/>
    </row>
    <row r="101" spans="3:15" x14ac:dyDescent="0.2"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2"/>
      <c r="O101" s="2"/>
    </row>
    <row r="102" spans="3:15" x14ac:dyDescent="0.2"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2"/>
      <c r="O102" s="2"/>
    </row>
    <row r="103" spans="3:15" x14ac:dyDescent="0.2"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2"/>
      <c r="O103" s="2"/>
    </row>
    <row r="104" spans="3:15" x14ac:dyDescent="0.2"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2"/>
      <c r="O104" s="2"/>
    </row>
    <row r="105" spans="3:15" x14ac:dyDescent="0.2"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2"/>
      <c r="O105" s="2"/>
    </row>
    <row r="106" spans="3:15" x14ac:dyDescent="0.2"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2"/>
      <c r="O106" s="2"/>
    </row>
    <row r="107" spans="3:15" x14ac:dyDescent="0.2"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2"/>
      <c r="O107" s="2"/>
    </row>
    <row r="108" spans="3:15" x14ac:dyDescent="0.2"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2"/>
      <c r="O108" s="2"/>
    </row>
    <row r="109" spans="3:15" x14ac:dyDescent="0.2"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2"/>
      <c r="O109" s="2"/>
    </row>
    <row r="110" spans="3:15" x14ac:dyDescent="0.2"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2"/>
      <c r="O110" s="2"/>
    </row>
    <row r="111" spans="3:15" x14ac:dyDescent="0.2"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2"/>
      <c r="O111" s="2"/>
    </row>
    <row r="112" spans="3:15" x14ac:dyDescent="0.2"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2"/>
      <c r="O112" s="2"/>
    </row>
    <row r="113" spans="3:15" x14ac:dyDescent="0.2"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2"/>
      <c r="O113" s="2"/>
    </row>
    <row r="114" spans="3:15" x14ac:dyDescent="0.2"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2"/>
      <c r="O114" s="2"/>
    </row>
    <row r="115" spans="3:15" x14ac:dyDescent="0.2"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2"/>
      <c r="O115" s="2"/>
    </row>
    <row r="116" spans="3:15" x14ac:dyDescent="0.2">
      <c r="C116" s="173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2"/>
      <c r="O116" s="2"/>
    </row>
    <row r="117" spans="3:15" x14ac:dyDescent="0.2"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2"/>
      <c r="O117" s="2"/>
    </row>
    <row r="118" spans="3:15" x14ac:dyDescent="0.2">
      <c r="C118" s="173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2"/>
      <c r="O118" s="2"/>
    </row>
    <row r="119" spans="3:15" x14ac:dyDescent="0.2">
      <c r="C119" s="173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2"/>
      <c r="O119" s="2"/>
    </row>
    <row r="120" spans="3:1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3:1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="110" zoomScaleNormal="110" workbookViewId="0">
      <pane xSplit="2" ySplit="16" topLeftCell="C17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S97" sqref="S97"/>
    </sheetView>
  </sheetViews>
  <sheetFormatPr defaultRowHeight="12.75" x14ac:dyDescent="0.2"/>
  <cols>
    <col min="1" max="1" width="4.85546875" style="1" customWidth="1"/>
    <col min="2" max="2" width="30.7109375" style="1" customWidth="1"/>
    <col min="3" max="3" width="15.85546875" style="1" bestFit="1" customWidth="1"/>
    <col min="4" max="4" width="13.5703125" style="1" bestFit="1" customWidth="1"/>
    <col min="5" max="6" width="10.7109375" style="1" customWidth="1"/>
    <col min="7" max="7" width="13.5703125" style="1" bestFit="1" customWidth="1"/>
    <col min="8" max="15" width="10.7109375" style="1" customWidth="1"/>
    <col min="16" max="16" width="9.42578125" style="1" bestFit="1" customWidth="1"/>
    <col min="17" max="16384" width="9.140625" style="1"/>
  </cols>
  <sheetData>
    <row r="1" spans="1:16" x14ac:dyDescent="0.2">
      <c r="M1" s="2"/>
      <c r="N1" s="208" t="s">
        <v>92</v>
      </c>
      <c r="O1" s="208"/>
    </row>
    <row r="2" spans="1:16" x14ac:dyDescent="0.2">
      <c r="M2" s="2"/>
      <c r="N2" s="2"/>
      <c r="O2" s="66"/>
    </row>
    <row r="3" spans="1:16" x14ac:dyDescent="0.2">
      <c r="M3" s="2"/>
      <c r="N3" s="2"/>
      <c r="O3" s="66"/>
    </row>
    <row r="4" spans="1:16" x14ac:dyDescent="0.2">
      <c r="A4" s="209" t="s">
        <v>89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16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3"/>
      <c r="B6" s="209" t="s">
        <v>96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4"/>
      <c r="P6" s="5"/>
    </row>
    <row r="7" spans="1:16" x14ac:dyDescent="0.2">
      <c r="A7" s="3"/>
      <c r="B7" s="4"/>
      <c r="C7" s="4"/>
      <c r="D7" s="4"/>
      <c r="E7" s="4"/>
      <c r="F7" s="4"/>
      <c r="G7" s="4"/>
      <c r="H7" s="67"/>
      <c r="I7" s="4"/>
      <c r="J7" s="4"/>
      <c r="K7" s="4"/>
      <c r="L7" s="4"/>
      <c r="M7" s="4"/>
      <c r="N7" s="4"/>
      <c r="O7" s="6"/>
      <c r="P7" s="5"/>
    </row>
    <row r="8" spans="1:16" ht="13.5" thickBo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 t="s">
        <v>94</v>
      </c>
      <c r="P8" s="68"/>
    </row>
    <row r="9" spans="1:16" ht="13.5" thickBot="1" x14ac:dyDescent="0.25">
      <c r="A9" s="9"/>
      <c r="B9" s="10"/>
      <c r="C9" s="10"/>
      <c r="D9" s="215" t="s">
        <v>0</v>
      </c>
      <c r="E9" s="215"/>
      <c r="F9" s="215"/>
      <c r="G9" s="210"/>
      <c r="H9" s="210"/>
      <c r="I9" s="210"/>
      <c r="J9" s="215"/>
      <c r="K9" s="215"/>
      <c r="L9" s="215"/>
      <c r="M9" s="215"/>
      <c r="N9" s="216" t="s">
        <v>1</v>
      </c>
      <c r="O9" s="211"/>
      <c r="P9" s="64"/>
    </row>
    <row r="10" spans="1:16" ht="13.5" thickBot="1" x14ac:dyDescent="0.25">
      <c r="A10" s="13"/>
      <c r="B10" s="69"/>
      <c r="C10" s="69"/>
      <c r="D10" s="217" t="s">
        <v>60</v>
      </c>
      <c r="E10" s="218"/>
      <c r="F10" s="218"/>
      <c r="G10" s="218"/>
      <c r="H10" s="218"/>
      <c r="I10" s="219"/>
      <c r="J10" s="217" t="s">
        <v>55</v>
      </c>
      <c r="K10" s="218"/>
      <c r="L10" s="218"/>
      <c r="M10" s="218"/>
      <c r="N10" s="70"/>
      <c r="O10" s="71"/>
      <c r="P10" s="64"/>
    </row>
    <row r="11" spans="1:16" ht="12.75" customHeight="1" x14ac:dyDescent="0.2">
      <c r="A11" s="72"/>
      <c r="B11" s="19" t="s">
        <v>59</v>
      </c>
      <c r="C11" s="19" t="s">
        <v>2</v>
      </c>
      <c r="D11" s="64"/>
      <c r="E11" s="35"/>
      <c r="F11" s="73"/>
      <c r="G11" s="9"/>
      <c r="H11" s="74"/>
      <c r="I11" s="75"/>
      <c r="J11" s="76"/>
      <c r="K11" s="77"/>
      <c r="L11" s="76"/>
      <c r="M11" s="77"/>
      <c r="N11" s="25" t="s">
        <v>9</v>
      </c>
      <c r="O11" s="26" t="s">
        <v>12</v>
      </c>
      <c r="P11" s="64"/>
    </row>
    <row r="12" spans="1:16" x14ac:dyDescent="0.2">
      <c r="A12" s="72"/>
      <c r="B12" s="19" t="s">
        <v>19</v>
      </c>
      <c r="C12" s="19" t="s">
        <v>93</v>
      </c>
      <c r="D12" s="78" t="s">
        <v>9</v>
      </c>
      <c r="E12" s="79" t="s">
        <v>9</v>
      </c>
      <c r="F12" s="79" t="s">
        <v>9</v>
      </c>
      <c r="G12" s="25" t="s">
        <v>12</v>
      </c>
      <c r="H12" s="79" t="s">
        <v>48</v>
      </c>
      <c r="I12" s="26" t="s">
        <v>12</v>
      </c>
      <c r="J12" s="80" t="s">
        <v>9</v>
      </c>
      <c r="K12" s="29" t="s">
        <v>9</v>
      </c>
      <c r="L12" s="80" t="s">
        <v>12</v>
      </c>
      <c r="M12" s="29" t="s">
        <v>12</v>
      </c>
      <c r="N12" s="25" t="s">
        <v>16</v>
      </c>
      <c r="O12" s="26" t="s">
        <v>16</v>
      </c>
      <c r="P12" s="64"/>
    </row>
    <row r="13" spans="1:16" x14ac:dyDescent="0.2">
      <c r="A13" s="81"/>
      <c r="B13" s="19"/>
      <c r="C13" s="19" t="s">
        <v>45</v>
      </c>
      <c r="D13" s="78" t="s">
        <v>45</v>
      </c>
      <c r="E13" s="79" t="s">
        <v>45</v>
      </c>
      <c r="F13" s="79" t="s">
        <v>16</v>
      </c>
      <c r="G13" s="25" t="s">
        <v>45</v>
      </c>
      <c r="H13" s="79" t="s">
        <v>45</v>
      </c>
      <c r="I13" s="26" t="s">
        <v>16</v>
      </c>
      <c r="J13" s="80" t="s">
        <v>56</v>
      </c>
      <c r="K13" s="29" t="s">
        <v>58</v>
      </c>
      <c r="L13" s="80" t="s">
        <v>56</v>
      </c>
      <c r="M13" s="29" t="s">
        <v>58</v>
      </c>
      <c r="N13" s="25"/>
      <c r="O13" s="26"/>
      <c r="P13" s="64"/>
    </row>
    <row r="14" spans="1:16" x14ac:dyDescent="0.2">
      <c r="A14" s="31" t="s">
        <v>18</v>
      </c>
      <c r="B14" s="19"/>
      <c r="C14" s="200" t="s">
        <v>13</v>
      </c>
      <c r="D14" s="27" t="s">
        <v>49</v>
      </c>
      <c r="E14" s="79"/>
      <c r="F14" s="79" t="s">
        <v>53</v>
      </c>
      <c r="G14" s="42" t="s">
        <v>49</v>
      </c>
      <c r="H14" s="79"/>
      <c r="I14" s="26" t="s">
        <v>53</v>
      </c>
      <c r="J14" s="80" t="s">
        <v>54</v>
      </c>
      <c r="K14" s="29" t="s">
        <v>47</v>
      </c>
      <c r="L14" s="80" t="s">
        <v>54</v>
      </c>
      <c r="M14" s="29" t="s">
        <v>47</v>
      </c>
      <c r="N14" s="25"/>
      <c r="O14" s="26"/>
      <c r="P14" s="64"/>
    </row>
    <row r="15" spans="1:16" x14ac:dyDescent="0.2">
      <c r="A15" s="31"/>
      <c r="B15" s="19"/>
      <c r="C15" s="37"/>
      <c r="D15" s="27" t="s">
        <v>51</v>
      </c>
      <c r="E15" s="79"/>
      <c r="F15" s="79" t="s">
        <v>22</v>
      </c>
      <c r="G15" s="42" t="s">
        <v>51</v>
      </c>
      <c r="H15" s="79"/>
      <c r="I15" s="26" t="s">
        <v>22</v>
      </c>
      <c r="J15" s="80" t="s">
        <v>57</v>
      </c>
      <c r="K15" s="26"/>
      <c r="L15" s="80" t="s">
        <v>57</v>
      </c>
      <c r="M15" s="26"/>
      <c r="N15" s="25"/>
      <c r="O15" s="26"/>
      <c r="P15" s="64"/>
    </row>
    <row r="16" spans="1:16" x14ac:dyDescent="0.2">
      <c r="A16" s="30"/>
      <c r="B16" s="36"/>
      <c r="C16" s="37"/>
      <c r="D16" s="58"/>
      <c r="E16" s="79"/>
      <c r="F16" s="79"/>
      <c r="G16" s="59"/>
      <c r="H16" s="79"/>
      <c r="I16" s="26"/>
      <c r="J16" s="82"/>
      <c r="K16" s="26"/>
      <c r="L16" s="82"/>
      <c r="M16" s="39"/>
      <c r="N16" s="13"/>
      <c r="O16" s="40"/>
      <c r="P16" s="64"/>
    </row>
    <row r="17" spans="1:16" x14ac:dyDescent="0.2">
      <c r="A17" s="106">
        <v>1</v>
      </c>
      <c r="B17" s="107">
        <v>2</v>
      </c>
      <c r="C17" s="107">
        <v>3</v>
      </c>
      <c r="D17" s="108">
        <v>4</v>
      </c>
      <c r="E17" s="109">
        <v>5</v>
      </c>
      <c r="F17" s="110">
        <v>6</v>
      </c>
      <c r="G17" s="106">
        <v>7</v>
      </c>
      <c r="H17" s="110">
        <v>8</v>
      </c>
      <c r="I17" s="113">
        <v>9</v>
      </c>
      <c r="J17" s="106">
        <v>10</v>
      </c>
      <c r="K17" s="113">
        <v>11</v>
      </c>
      <c r="L17" s="106">
        <v>12</v>
      </c>
      <c r="M17" s="113">
        <v>13</v>
      </c>
      <c r="N17" s="106">
        <v>14</v>
      </c>
      <c r="O17" s="113">
        <v>15</v>
      </c>
      <c r="P17" s="64"/>
    </row>
    <row r="18" spans="1:16" x14ac:dyDescent="0.2">
      <c r="A18" s="42"/>
      <c r="B18" s="19"/>
      <c r="C18" s="87"/>
      <c r="D18" s="88"/>
      <c r="E18" s="88"/>
      <c r="F18" s="88"/>
      <c r="G18" s="89"/>
      <c r="H18" s="88"/>
      <c r="I18" s="90"/>
      <c r="J18" s="89"/>
      <c r="K18" s="90"/>
      <c r="L18" s="89"/>
      <c r="M18" s="90"/>
      <c r="N18" s="89"/>
      <c r="O18" s="90"/>
      <c r="P18" s="64"/>
    </row>
    <row r="19" spans="1:16" x14ac:dyDescent="0.2">
      <c r="A19" s="42" t="s">
        <v>63</v>
      </c>
      <c r="B19" s="43" t="s">
        <v>26</v>
      </c>
      <c r="C19" s="151">
        <f>SUM(D19:M19)</f>
        <v>5869608</v>
      </c>
      <c r="D19" s="152"/>
      <c r="E19" s="152"/>
      <c r="F19" s="152"/>
      <c r="G19" s="154"/>
      <c r="H19" s="152"/>
      <c r="I19" s="153"/>
      <c r="J19" s="154"/>
      <c r="K19" s="153">
        <f>1950823+1953251+1965534</f>
        <v>5869608</v>
      </c>
      <c r="L19" s="154"/>
      <c r="M19" s="153"/>
      <c r="N19" s="154"/>
      <c r="O19" s="153"/>
      <c r="P19" s="64"/>
    </row>
    <row r="20" spans="1:16" x14ac:dyDescent="0.2">
      <c r="A20" s="13"/>
      <c r="B20" s="44"/>
      <c r="C20" s="151"/>
      <c r="D20" s="152"/>
      <c r="E20" s="152"/>
      <c r="F20" s="152"/>
      <c r="G20" s="154"/>
      <c r="H20" s="152"/>
      <c r="I20" s="153"/>
      <c r="J20" s="154"/>
      <c r="K20" s="153"/>
      <c r="L20" s="154"/>
      <c r="M20" s="153"/>
      <c r="N20" s="154"/>
      <c r="O20" s="153"/>
      <c r="P20" s="64"/>
    </row>
    <row r="21" spans="1:16" x14ac:dyDescent="0.2">
      <c r="A21" s="45" t="s">
        <v>25</v>
      </c>
      <c r="B21" s="46" t="s">
        <v>79</v>
      </c>
      <c r="C21" s="174">
        <f>SUM(C19:C20)</f>
        <v>5869608</v>
      </c>
      <c r="D21" s="175">
        <f>SUM(D19:D20)</f>
        <v>0</v>
      </c>
      <c r="E21" s="176">
        <f t="shared" ref="E21:O21" si="0">SUM(E19:E20)</f>
        <v>0</v>
      </c>
      <c r="F21" s="177">
        <f t="shared" si="0"/>
        <v>0</v>
      </c>
      <c r="G21" s="175">
        <f t="shared" si="0"/>
        <v>0</v>
      </c>
      <c r="H21" s="176">
        <f t="shared" si="0"/>
        <v>0</v>
      </c>
      <c r="I21" s="177">
        <f t="shared" si="0"/>
        <v>0</v>
      </c>
      <c r="J21" s="175">
        <f t="shared" si="0"/>
        <v>0</v>
      </c>
      <c r="K21" s="177">
        <f t="shared" si="0"/>
        <v>5869608</v>
      </c>
      <c r="L21" s="175">
        <f t="shared" si="0"/>
        <v>0</v>
      </c>
      <c r="M21" s="177">
        <f t="shared" si="0"/>
        <v>0</v>
      </c>
      <c r="N21" s="175">
        <f t="shared" si="0"/>
        <v>0</v>
      </c>
      <c r="O21" s="177">
        <f t="shared" si="0"/>
        <v>0</v>
      </c>
      <c r="P21" s="64"/>
    </row>
    <row r="22" spans="1:16" x14ac:dyDescent="0.2">
      <c r="A22" s="13"/>
      <c r="B22" s="83"/>
      <c r="C22" s="178"/>
      <c r="D22" s="152"/>
      <c r="E22" s="152"/>
      <c r="F22" s="152"/>
      <c r="G22" s="154"/>
      <c r="H22" s="152"/>
      <c r="I22" s="153"/>
      <c r="J22" s="154"/>
      <c r="K22" s="153"/>
      <c r="L22" s="154"/>
      <c r="M22" s="153"/>
      <c r="N22" s="154"/>
      <c r="O22" s="153"/>
      <c r="P22" s="64"/>
    </row>
    <row r="23" spans="1:16" x14ac:dyDescent="0.2">
      <c r="A23" s="42" t="s">
        <v>63</v>
      </c>
      <c r="B23" s="43" t="s">
        <v>27</v>
      </c>
      <c r="C23" s="151">
        <f>SUM(D23:M23)</f>
        <v>700000</v>
      </c>
      <c r="D23" s="152"/>
      <c r="E23" s="152"/>
      <c r="F23" s="152"/>
      <c r="G23" s="154"/>
      <c r="H23" s="152"/>
      <c r="I23" s="153"/>
      <c r="J23" s="154"/>
      <c r="K23" s="153">
        <v>700000</v>
      </c>
      <c r="L23" s="154"/>
      <c r="M23" s="153"/>
      <c r="N23" s="154"/>
      <c r="O23" s="153"/>
      <c r="P23" s="64"/>
    </row>
    <row r="24" spans="1:16" x14ac:dyDescent="0.2">
      <c r="A24" s="42" t="s">
        <v>64</v>
      </c>
      <c r="B24" s="43" t="s">
        <v>29</v>
      </c>
      <c r="C24" s="151">
        <f t="shared" ref="C24:C34" si="1">SUM(D24:M24)</f>
        <v>2644000</v>
      </c>
      <c r="D24" s="152"/>
      <c r="E24" s="152"/>
      <c r="F24" s="152"/>
      <c r="G24" s="154"/>
      <c r="H24" s="152"/>
      <c r="I24" s="153"/>
      <c r="J24" s="154"/>
      <c r="K24" s="153">
        <v>2644000</v>
      </c>
      <c r="L24" s="154"/>
      <c r="M24" s="153"/>
      <c r="N24" s="154"/>
      <c r="O24" s="153"/>
      <c r="P24" s="64"/>
    </row>
    <row r="25" spans="1:16" x14ac:dyDescent="0.2">
      <c r="A25" s="42" t="s">
        <v>65</v>
      </c>
      <c r="B25" s="43" t="s">
        <v>31</v>
      </c>
      <c r="C25" s="151">
        <f t="shared" si="1"/>
        <v>570000</v>
      </c>
      <c r="D25" s="152"/>
      <c r="E25" s="152"/>
      <c r="F25" s="152"/>
      <c r="G25" s="154"/>
      <c r="H25" s="152"/>
      <c r="I25" s="153"/>
      <c r="J25" s="154"/>
      <c r="K25" s="153">
        <v>570000</v>
      </c>
      <c r="L25" s="154"/>
      <c r="M25" s="153"/>
      <c r="N25" s="154"/>
      <c r="O25" s="153"/>
      <c r="P25" s="64"/>
    </row>
    <row r="26" spans="1:16" x14ac:dyDescent="0.2">
      <c r="A26" s="42" t="s">
        <v>66</v>
      </c>
      <c r="B26" s="43" t="s">
        <v>33</v>
      </c>
      <c r="C26" s="151">
        <f t="shared" si="1"/>
        <v>800000</v>
      </c>
      <c r="D26" s="152"/>
      <c r="E26" s="152"/>
      <c r="F26" s="152"/>
      <c r="G26" s="154"/>
      <c r="H26" s="152"/>
      <c r="I26" s="153"/>
      <c r="J26" s="154"/>
      <c r="K26" s="153">
        <v>800000</v>
      </c>
      <c r="L26" s="154"/>
      <c r="M26" s="153"/>
      <c r="N26" s="154"/>
      <c r="O26" s="153"/>
      <c r="P26" s="64"/>
    </row>
    <row r="27" spans="1:16" x14ac:dyDescent="0.2">
      <c r="A27" s="42" t="s">
        <v>67</v>
      </c>
      <c r="B27" s="43" t="s">
        <v>34</v>
      </c>
      <c r="C27" s="151">
        <f t="shared" si="1"/>
        <v>1600000</v>
      </c>
      <c r="D27" s="152"/>
      <c r="E27" s="152"/>
      <c r="F27" s="152"/>
      <c r="G27" s="154"/>
      <c r="H27" s="152"/>
      <c r="I27" s="153"/>
      <c r="J27" s="154"/>
      <c r="K27" s="153">
        <v>1600000</v>
      </c>
      <c r="L27" s="154"/>
      <c r="M27" s="153"/>
      <c r="N27" s="154"/>
      <c r="O27" s="153"/>
      <c r="P27" s="64"/>
    </row>
    <row r="28" spans="1:16" x14ac:dyDescent="0.2">
      <c r="A28" s="42" t="s">
        <v>68</v>
      </c>
      <c r="B28" s="43" t="s">
        <v>35</v>
      </c>
      <c r="C28" s="151">
        <f t="shared" si="1"/>
        <v>0</v>
      </c>
      <c r="D28" s="152"/>
      <c r="E28" s="152"/>
      <c r="F28" s="152"/>
      <c r="G28" s="154"/>
      <c r="H28" s="152"/>
      <c r="I28" s="153"/>
      <c r="J28" s="154"/>
      <c r="K28" s="153"/>
      <c r="L28" s="154"/>
      <c r="M28" s="153"/>
      <c r="N28" s="154"/>
      <c r="O28" s="153"/>
      <c r="P28" s="64"/>
    </row>
    <row r="29" spans="1:16" x14ac:dyDescent="0.2">
      <c r="A29" s="42" t="s">
        <v>69</v>
      </c>
      <c r="B29" s="43" t="s">
        <v>36</v>
      </c>
      <c r="C29" s="151">
        <f t="shared" si="1"/>
        <v>5000000</v>
      </c>
      <c r="D29" s="152"/>
      <c r="E29" s="152"/>
      <c r="F29" s="152"/>
      <c r="G29" s="154"/>
      <c r="H29" s="152"/>
      <c r="I29" s="153"/>
      <c r="J29" s="154"/>
      <c r="K29" s="153">
        <f>5000000</f>
        <v>5000000</v>
      </c>
      <c r="L29" s="154"/>
      <c r="M29" s="153"/>
      <c r="N29" s="154"/>
      <c r="O29" s="153"/>
      <c r="P29" s="64"/>
    </row>
    <row r="30" spans="1:16" x14ac:dyDescent="0.2">
      <c r="A30" s="42" t="s">
        <v>70</v>
      </c>
      <c r="B30" s="43" t="s">
        <v>37</v>
      </c>
      <c r="C30" s="151">
        <f t="shared" si="1"/>
        <v>713375</v>
      </c>
      <c r="D30" s="152"/>
      <c r="E30" s="152"/>
      <c r="F30" s="152"/>
      <c r="G30" s="154"/>
      <c r="H30" s="152"/>
      <c r="I30" s="153"/>
      <c r="J30" s="154"/>
      <c r="K30" s="153">
        <v>713375</v>
      </c>
      <c r="L30" s="154"/>
      <c r="M30" s="153"/>
      <c r="N30" s="154"/>
      <c r="O30" s="153"/>
      <c r="P30" s="64"/>
    </row>
    <row r="31" spans="1:16" x14ac:dyDescent="0.2">
      <c r="A31" s="42" t="s">
        <v>73</v>
      </c>
      <c r="B31" s="43" t="s">
        <v>38</v>
      </c>
      <c r="C31" s="151">
        <f t="shared" si="1"/>
        <v>1206000</v>
      </c>
      <c r="D31" s="152"/>
      <c r="E31" s="152"/>
      <c r="F31" s="152"/>
      <c r="G31" s="154"/>
      <c r="H31" s="152"/>
      <c r="I31" s="153"/>
      <c r="J31" s="154"/>
      <c r="K31" s="153">
        <f>406000+800000</f>
        <v>1206000</v>
      </c>
      <c r="L31" s="154"/>
      <c r="M31" s="153"/>
      <c r="N31" s="154"/>
      <c r="O31" s="153"/>
      <c r="P31" s="64"/>
    </row>
    <row r="32" spans="1:16" x14ac:dyDescent="0.2">
      <c r="A32" s="42" t="s">
        <v>71</v>
      </c>
      <c r="B32" s="43" t="s">
        <v>39</v>
      </c>
      <c r="C32" s="151">
        <f t="shared" si="1"/>
        <v>300000</v>
      </c>
      <c r="D32" s="152"/>
      <c r="E32" s="152"/>
      <c r="F32" s="152"/>
      <c r="G32" s="154"/>
      <c r="H32" s="152"/>
      <c r="I32" s="153"/>
      <c r="K32" s="153">
        <v>300000</v>
      </c>
      <c r="L32" s="154"/>
      <c r="M32" s="153"/>
      <c r="N32" s="154"/>
      <c r="O32" s="153"/>
      <c r="P32" s="64"/>
    </row>
    <row r="33" spans="1:16" x14ac:dyDescent="0.2">
      <c r="A33" s="42" t="s">
        <v>72</v>
      </c>
      <c r="B33" s="43" t="s">
        <v>84</v>
      </c>
      <c r="C33" s="151">
        <f t="shared" si="1"/>
        <v>900000</v>
      </c>
      <c r="D33" s="152"/>
      <c r="E33" s="152"/>
      <c r="F33" s="152"/>
      <c r="G33" s="154"/>
      <c r="H33" s="152"/>
      <c r="I33" s="153"/>
      <c r="J33" s="154"/>
      <c r="K33" s="153">
        <v>900000</v>
      </c>
      <c r="L33" s="154"/>
      <c r="M33" s="153"/>
      <c r="N33" s="154"/>
      <c r="O33" s="153"/>
      <c r="P33" s="64"/>
    </row>
    <row r="34" spans="1:16" x14ac:dyDescent="0.2">
      <c r="A34" s="42" t="s">
        <v>86</v>
      </c>
      <c r="B34" s="43" t="s">
        <v>88</v>
      </c>
      <c r="C34" s="151">
        <f t="shared" si="1"/>
        <v>500000</v>
      </c>
      <c r="D34" s="152"/>
      <c r="E34" s="152"/>
      <c r="F34" s="152"/>
      <c r="G34" s="154"/>
      <c r="H34" s="152"/>
      <c r="I34" s="153"/>
      <c r="J34" s="154"/>
      <c r="K34" s="153">
        <v>500000</v>
      </c>
      <c r="L34" s="154"/>
      <c r="M34" s="153"/>
      <c r="N34" s="154"/>
      <c r="O34" s="153"/>
      <c r="P34" s="64"/>
    </row>
    <row r="35" spans="1:16" x14ac:dyDescent="0.2">
      <c r="A35" s="42"/>
      <c r="B35" s="14"/>
      <c r="C35" s="151"/>
      <c r="D35" s="152"/>
      <c r="E35" s="152"/>
      <c r="F35" s="152"/>
      <c r="G35" s="154"/>
      <c r="H35" s="152"/>
      <c r="I35" s="153"/>
      <c r="J35" s="154"/>
      <c r="K35" s="153"/>
      <c r="L35" s="154"/>
      <c r="M35" s="153"/>
      <c r="N35" s="154"/>
      <c r="O35" s="153"/>
      <c r="P35" s="64"/>
    </row>
    <row r="36" spans="1:16" x14ac:dyDescent="0.2">
      <c r="A36" s="45" t="s">
        <v>28</v>
      </c>
      <c r="B36" s="50" t="s">
        <v>80</v>
      </c>
      <c r="C36" s="174">
        <f>SUM(C23:C35)</f>
        <v>14933375</v>
      </c>
      <c r="D36" s="179">
        <f>SUM(D23:D35)</f>
        <v>0</v>
      </c>
      <c r="E36" s="176">
        <f t="shared" ref="E36:O36" si="2">SUM(E23:E35)</f>
        <v>0</v>
      </c>
      <c r="F36" s="177">
        <f t="shared" si="2"/>
        <v>0</v>
      </c>
      <c r="G36" s="179">
        <f t="shared" si="2"/>
        <v>0</v>
      </c>
      <c r="H36" s="176">
        <f t="shared" si="2"/>
        <v>0</v>
      </c>
      <c r="I36" s="177">
        <f t="shared" si="2"/>
        <v>0</v>
      </c>
      <c r="J36" s="179">
        <f t="shared" si="2"/>
        <v>0</v>
      </c>
      <c r="K36" s="177">
        <f t="shared" si="2"/>
        <v>14933375</v>
      </c>
      <c r="L36" s="179">
        <f t="shared" si="2"/>
        <v>0</v>
      </c>
      <c r="M36" s="177">
        <f t="shared" si="2"/>
        <v>0</v>
      </c>
      <c r="N36" s="179">
        <f t="shared" si="2"/>
        <v>0</v>
      </c>
      <c r="O36" s="177">
        <f t="shared" si="2"/>
        <v>0</v>
      </c>
      <c r="P36" s="64"/>
    </row>
    <row r="37" spans="1:16" x14ac:dyDescent="0.2">
      <c r="A37" s="13"/>
      <c r="B37" s="14"/>
      <c r="C37" s="151"/>
      <c r="D37" s="152"/>
      <c r="E37" s="152"/>
      <c r="F37" s="152"/>
      <c r="G37" s="154"/>
      <c r="H37" s="152"/>
      <c r="I37" s="153"/>
      <c r="J37" s="154"/>
      <c r="K37" s="153"/>
      <c r="L37" s="154"/>
      <c r="M37" s="153"/>
      <c r="N37" s="154"/>
      <c r="O37" s="153"/>
      <c r="P37" s="64"/>
    </row>
    <row r="38" spans="1:16" x14ac:dyDescent="0.2">
      <c r="A38" s="42" t="s">
        <v>63</v>
      </c>
      <c r="B38" s="43" t="s">
        <v>40</v>
      </c>
      <c r="C38" s="151">
        <f>SUM(D38:M38)</f>
        <v>3743152</v>
      </c>
      <c r="D38" s="152"/>
      <c r="E38" s="152"/>
      <c r="F38" s="152"/>
      <c r="G38" s="154"/>
      <c r="H38" s="152"/>
      <c r="I38" s="153"/>
      <c r="J38" s="154"/>
      <c r="K38" s="153">
        <f>1444168+1149491+1149493</f>
        <v>3743152</v>
      </c>
      <c r="L38" s="154"/>
      <c r="M38" s="153"/>
      <c r="N38" s="154"/>
      <c r="O38" s="153"/>
      <c r="P38" s="64"/>
    </row>
    <row r="39" spans="1:16" x14ac:dyDescent="0.2">
      <c r="A39" s="42" t="s">
        <v>64</v>
      </c>
      <c r="B39" s="43" t="s">
        <v>41</v>
      </c>
      <c r="C39" s="151">
        <f t="shared" ref="C39:C42" si="3">SUM(D39:M39)</f>
        <v>10563273</v>
      </c>
      <c r="D39" s="152"/>
      <c r="E39" s="152"/>
      <c r="F39" s="152"/>
      <c r="G39" s="154"/>
      <c r="H39" s="152"/>
      <c r="I39" s="153"/>
      <c r="J39" s="154"/>
      <c r="K39" s="153">
        <f>339000+1971905+963000+1912053+1920315</f>
        <v>7106273</v>
      </c>
      <c r="L39" s="154"/>
      <c r="M39" s="153">
        <v>3457000</v>
      </c>
      <c r="N39" s="154"/>
      <c r="O39" s="153"/>
      <c r="P39" s="64"/>
    </row>
    <row r="40" spans="1:16" x14ac:dyDescent="0.2">
      <c r="A40" s="42" t="s">
        <v>65</v>
      </c>
      <c r="B40" s="43" t="s">
        <v>42</v>
      </c>
      <c r="C40" s="151">
        <f t="shared" si="3"/>
        <v>7582650</v>
      </c>
      <c r="D40" s="152"/>
      <c r="E40" s="152"/>
      <c r="F40" s="152"/>
      <c r="G40" s="154"/>
      <c r="H40" s="152"/>
      <c r="I40" s="153"/>
      <c r="J40" s="154"/>
      <c r="K40" s="153">
        <f>2209977+1038000+2213616+2121057</f>
        <v>7582650</v>
      </c>
      <c r="L40" s="154"/>
      <c r="M40" s="153"/>
      <c r="N40" s="154"/>
      <c r="O40" s="153"/>
      <c r="P40" s="64"/>
    </row>
    <row r="41" spans="1:16" x14ac:dyDescent="0.2">
      <c r="A41" s="42" t="s">
        <v>66</v>
      </c>
      <c r="B41" s="43" t="s">
        <v>43</v>
      </c>
      <c r="C41" s="151">
        <f t="shared" si="3"/>
        <v>3026429</v>
      </c>
      <c r="D41" s="152"/>
      <c r="E41" s="152"/>
      <c r="F41" s="152"/>
      <c r="G41" s="154"/>
      <c r="H41" s="152"/>
      <c r="I41" s="153"/>
      <c r="J41" s="154"/>
      <c r="K41" s="153">
        <f>1012770+1006828+1006831</f>
        <v>3026429</v>
      </c>
      <c r="L41" s="154"/>
      <c r="M41" s="153"/>
      <c r="N41" s="154"/>
      <c r="O41" s="153"/>
      <c r="P41" s="64"/>
    </row>
    <row r="42" spans="1:16" x14ac:dyDescent="0.2">
      <c r="A42" s="42" t="s">
        <v>67</v>
      </c>
      <c r="B42" s="43" t="s">
        <v>90</v>
      </c>
      <c r="C42" s="151">
        <f t="shared" si="3"/>
        <v>19749599</v>
      </c>
      <c r="D42" s="152"/>
      <c r="E42" s="152"/>
      <c r="F42" s="152"/>
      <c r="G42" s="154"/>
      <c r="H42" s="152"/>
      <c r="I42" s="153"/>
      <c r="J42" s="154"/>
      <c r="K42" s="153">
        <f>6550111+6585193+6614295</f>
        <v>19749599</v>
      </c>
      <c r="L42" s="154"/>
      <c r="M42" s="153"/>
      <c r="N42" s="154"/>
      <c r="O42" s="153"/>
      <c r="P42" s="64"/>
    </row>
    <row r="43" spans="1:16" x14ac:dyDescent="0.2">
      <c r="A43" s="42"/>
      <c r="B43" s="43"/>
      <c r="C43" s="151"/>
      <c r="D43" s="152"/>
      <c r="E43" s="152"/>
      <c r="F43" s="152"/>
      <c r="G43" s="154"/>
      <c r="H43" s="152"/>
      <c r="I43" s="153"/>
      <c r="J43" s="154"/>
      <c r="K43" s="153"/>
      <c r="L43" s="154"/>
      <c r="M43" s="153"/>
      <c r="N43" s="154"/>
      <c r="O43" s="153"/>
      <c r="P43" s="64"/>
    </row>
    <row r="44" spans="1:16" x14ac:dyDescent="0.2">
      <c r="A44" s="45" t="s">
        <v>30</v>
      </c>
      <c r="B44" s="50" t="s">
        <v>82</v>
      </c>
      <c r="C44" s="174">
        <f>SUM(C38:C43)</f>
        <v>44665103</v>
      </c>
      <c r="D44" s="175">
        <f t="shared" ref="D44:O44" si="4">SUM(D38:D43)</f>
        <v>0</v>
      </c>
      <c r="E44" s="176">
        <f t="shared" si="4"/>
        <v>0</v>
      </c>
      <c r="F44" s="177">
        <f t="shared" si="4"/>
        <v>0</v>
      </c>
      <c r="G44" s="175">
        <f t="shared" si="4"/>
        <v>0</v>
      </c>
      <c r="H44" s="176">
        <f t="shared" si="4"/>
        <v>0</v>
      </c>
      <c r="I44" s="177">
        <f t="shared" si="4"/>
        <v>0</v>
      </c>
      <c r="J44" s="175">
        <f t="shared" si="4"/>
        <v>0</v>
      </c>
      <c r="K44" s="177">
        <f t="shared" si="4"/>
        <v>41208103</v>
      </c>
      <c r="L44" s="175">
        <f t="shared" si="4"/>
        <v>0</v>
      </c>
      <c r="M44" s="177">
        <f t="shared" si="4"/>
        <v>3457000</v>
      </c>
      <c r="N44" s="175">
        <f t="shared" si="4"/>
        <v>0</v>
      </c>
      <c r="O44" s="177">
        <f t="shared" si="4"/>
        <v>0</v>
      </c>
      <c r="P44" s="64"/>
    </row>
    <row r="45" spans="1:16" x14ac:dyDescent="0.2">
      <c r="A45" s="51"/>
      <c r="B45" s="52"/>
      <c r="C45" s="180"/>
      <c r="D45" s="181"/>
      <c r="E45" s="181"/>
      <c r="F45" s="181"/>
      <c r="G45" s="182"/>
      <c r="H45" s="181"/>
      <c r="I45" s="183"/>
      <c r="J45" s="182"/>
      <c r="K45" s="183"/>
      <c r="L45" s="182"/>
      <c r="M45" s="183"/>
      <c r="N45" s="182"/>
      <c r="O45" s="183"/>
      <c r="P45" s="64"/>
    </row>
    <row r="46" spans="1:16" x14ac:dyDescent="0.2">
      <c r="A46" s="41" t="s">
        <v>32</v>
      </c>
      <c r="B46" s="53" t="s">
        <v>44</v>
      </c>
      <c r="C46" s="184">
        <f>SUM(D46:M46)</f>
        <v>600000</v>
      </c>
      <c r="D46" s="185"/>
      <c r="E46" s="176"/>
      <c r="F46" s="185"/>
      <c r="G46" s="186"/>
      <c r="H46" s="187"/>
      <c r="I46" s="188"/>
      <c r="J46" s="201"/>
      <c r="K46" s="189">
        <f>-761000+600000</f>
        <v>-161000</v>
      </c>
      <c r="L46" s="186"/>
      <c r="M46" s="190">
        <v>761000</v>
      </c>
      <c r="N46" s="186"/>
      <c r="O46" s="177"/>
      <c r="P46" s="64"/>
    </row>
    <row r="47" spans="1:16" ht="13.5" thickBot="1" x14ac:dyDescent="0.25">
      <c r="A47" s="13"/>
      <c r="B47" s="54"/>
      <c r="C47" s="151"/>
      <c r="D47" s="152"/>
      <c r="E47" s="152"/>
      <c r="F47" s="152"/>
      <c r="G47" s="154"/>
      <c r="H47" s="152"/>
      <c r="I47" s="153"/>
      <c r="J47" s="154"/>
      <c r="K47" s="153"/>
      <c r="L47" s="154"/>
      <c r="M47" s="153"/>
      <c r="N47" s="154"/>
      <c r="O47" s="153"/>
      <c r="P47" s="64"/>
    </row>
    <row r="48" spans="1:16" ht="22.5" thickBot="1" x14ac:dyDescent="0.25">
      <c r="A48" s="55" t="s">
        <v>74</v>
      </c>
      <c r="B48" s="56" t="s">
        <v>78</v>
      </c>
      <c r="C48" s="155">
        <f>SUM(C21+C36+C44+C46)</f>
        <v>66068086</v>
      </c>
      <c r="D48" s="191">
        <f>SUM(D21+D36+D44+D46)</f>
        <v>0</v>
      </c>
      <c r="E48" s="191">
        <f t="shared" ref="E48:O48" si="5">SUM(E21+E36+E44+E46)</f>
        <v>0</v>
      </c>
      <c r="F48" s="191">
        <f t="shared" si="5"/>
        <v>0</v>
      </c>
      <c r="G48" s="191">
        <f t="shared" si="5"/>
        <v>0</v>
      </c>
      <c r="H48" s="191">
        <f t="shared" si="5"/>
        <v>0</v>
      </c>
      <c r="I48" s="191">
        <f t="shared" si="5"/>
        <v>0</v>
      </c>
      <c r="J48" s="191">
        <f t="shared" si="5"/>
        <v>0</v>
      </c>
      <c r="K48" s="191">
        <f t="shared" si="5"/>
        <v>61850086</v>
      </c>
      <c r="L48" s="191">
        <f t="shared" si="5"/>
        <v>0</v>
      </c>
      <c r="M48" s="191">
        <f t="shared" si="5"/>
        <v>4218000</v>
      </c>
      <c r="N48" s="191">
        <f t="shared" si="5"/>
        <v>0</v>
      </c>
      <c r="O48" s="192">
        <f t="shared" si="5"/>
        <v>0</v>
      </c>
      <c r="P48" s="64"/>
    </row>
    <row r="49" spans="1:16" x14ac:dyDescent="0.2">
      <c r="A49" s="38"/>
      <c r="B49" s="57"/>
      <c r="C49" s="156"/>
      <c r="D49" s="193"/>
      <c r="E49" s="194"/>
      <c r="F49" s="152"/>
      <c r="G49" s="154"/>
      <c r="H49" s="152"/>
      <c r="I49" s="153"/>
      <c r="J49" s="154"/>
      <c r="K49" s="153"/>
      <c r="L49" s="154"/>
      <c r="M49" s="153"/>
      <c r="N49" s="154"/>
      <c r="O49" s="153"/>
      <c r="P49" s="64"/>
    </row>
    <row r="50" spans="1:16" x14ac:dyDescent="0.2">
      <c r="A50" s="60" t="s">
        <v>75</v>
      </c>
      <c r="B50" s="61" t="s">
        <v>76</v>
      </c>
      <c r="C50" s="151">
        <f t="shared" ref="C50" si="6">SUM(D50:M50)</f>
        <v>1200000</v>
      </c>
      <c r="D50" s="152"/>
      <c r="E50" s="163"/>
      <c r="F50" s="195"/>
      <c r="G50" s="166"/>
      <c r="H50" s="165"/>
      <c r="I50" s="164"/>
      <c r="J50" s="166"/>
      <c r="K50" s="164">
        <f>1200000-7000000</f>
        <v>-5800000</v>
      </c>
      <c r="L50" s="166"/>
      <c r="M50" s="164">
        <v>7000000</v>
      </c>
      <c r="N50" s="166"/>
      <c r="O50" s="164"/>
      <c r="P50" s="64"/>
    </row>
    <row r="51" spans="1:16" ht="13.5" thickBot="1" x14ac:dyDescent="0.25">
      <c r="A51" s="34"/>
      <c r="B51" s="14"/>
      <c r="C51" s="206"/>
      <c r="D51" s="196"/>
      <c r="E51" s="152"/>
      <c r="F51" s="152"/>
      <c r="G51" s="154"/>
      <c r="H51" s="152"/>
      <c r="I51" s="153"/>
      <c r="J51" s="154"/>
      <c r="K51" s="153"/>
      <c r="L51" s="154"/>
      <c r="M51" s="153"/>
      <c r="N51" s="154"/>
      <c r="O51" s="153"/>
      <c r="P51" s="64"/>
    </row>
    <row r="52" spans="1:16" ht="13.5" thickBot="1" x14ac:dyDescent="0.25">
      <c r="A52" s="84" t="s">
        <v>77</v>
      </c>
      <c r="B52" s="63" t="s">
        <v>83</v>
      </c>
      <c r="C52" s="167">
        <f>SUM(+C48+C50)</f>
        <v>67268086</v>
      </c>
      <c r="D52" s="167">
        <f>SUM(+D48+D50)</f>
        <v>0</v>
      </c>
      <c r="E52" s="167">
        <f t="shared" ref="E52:O52" si="7">SUM(+E48+E50)</f>
        <v>0</v>
      </c>
      <c r="F52" s="167">
        <f t="shared" si="7"/>
        <v>0</v>
      </c>
      <c r="G52" s="167">
        <f t="shared" si="7"/>
        <v>0</v>
      </c>
      <c r="H52" s="167">
        <f t="shared" si="7"/>
        <v>0</v>
      </c>
      <c r="I52" s="167">
        <f t="shared" si="7"/>
        <v>0</v>
      </c>
      <c r="J52" s="167">
        <f t="shared" si="7"/>
        <v>0</v>
      </c>
      <c r="K52" s="167">
        <f t="shared" si="7"/>
        <v>56050086</v>
      </c>
      <c r="L52" s="167">
        <f t="shared" si="7"/>
        <v>0</v>
      </c>
      <c r="M52" s="167">
        <f t="shared" si="7"/>
        <v>11218000</v>
      </c>
      <c r="N52" s="167">
        <f t="shared" si="7"/>
        <v>0</v>
      </c>
      <c r="O52" s="167">
        <f t="shared" si="7"/>
        <v>0</v>
      </c>
      <c r="P52" s="64"/>
    </row>
    <row r="53" spans="1:16" x14ac:dyDescent="0.2">
      <c r="C53" s="173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64"/>
    </row>
    <row r="54" spans="1:16" hidden="1" x14ac:dyDescent="0.2">
      <c r="C54" s="173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64"/>
    </row>
    <row r="55" spans="1:16" hidden="1" x14ac:dyDescent="0.2">
      <c r="C55" s="173" t="s">
        <v>91</v>
      </c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64"/>
    </row>
    <row r="56" spans="1:16" hidden="1" x14ac:dyDescent="0.2">
      <c r="B56" s="1">
        <v>2400000</v>
      </c>
      <c r="C56" s="173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64"/>
    </row>
    <row r="57" spans="1:16" hidden="1" x14ac:dyDescent="0.2">
      <c r="B57" s="1">
        <v>378900</v>
      </c>
      <c r="C57" s="173"/>
      <c r="D57" s="173"/>
      <c r="E57" s="197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64"/>
    </row>
    <row r="58" spans="1:16" hidden="1" x14ac:dyDescent="0.2">
      <c r="B58" s="1">
        <v>2500000</v>
      </c>
      <c r="C58" s="173"/>
      <c r="D58" s="173"/>
      <c r="E58" s="197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64"/>
    </row>
    <row r="59" spans="1:16" hidden="1" x14ac:dyDescent="0.2">
      <c r="C59" s="197">
        <v>702648</v>
      </c>
      <c r="D59" s="197"/>
      <c r="E59" s="197"/>
      <c r="F59" s="173"/>
      <c r="G59" s="173"/>
      <c r="H59" s="173"/>
      <c r="I59" s="173"/>
      <c r="J59" s="197"/>
      <c r="K59" s="197"/>
      <c r="L59" s="197"/>
      <c r="M59" s="173"/>
      <c r="N59" s="173"/>
      <c r="O59" s="173"/>
      <c r="P59" s="64"/>
    </row>
    <row r="60" spans="1:16" hidden="1" x14ac:dyDescent="0.2">
      <c r="B60" s="1">
        <v>1600000</v>
      </c>
      <c r="C60" s="173"/>
      <c r="D60" s="197"/>
      <c r="E60" s="197"/>
      <c r="F60" s="173"/>
      <c r="G60" s="173"/>
      <c r="H60" s="173"/>
      <c r="I60" s="173"/>
      <c r="J60" s="197"/>
      <c r="K60" s="197"/>
      <c r="L60" s="197"/>
      <c r="M60" s="173"/>
      <c r="N60" s="173"/>
      <c r="O60" s="173"/>
      <c r="P60" s="64"/>
    </row>
    <row r="61" spans="1:16" hidden="1" x14ac:dyDescent="0.2">
      <c r="C61" s="197">
        <v>1288000</v>
      </c>
      <c r="D61" s="197"/>
      <c r="E61" s="197"/>
      <c r="F61" s="173"/>
      <c r="G61" s="173"/>
      <c r="H61" s="173"/>
      <c r="I61" s="173"/>
      <c r="J61" s="197"/>
      <c r="K61" s="197"/>
      <c r="L61" s="197"/>
      <c r="M61" s="173"/>
      <c r="N61" s="173"/>
      <c r="O61" s="173"/>
      <c r="P61" s="64"/>
    </row>
    <row r="62" spans="1:16" hidden="1" x14ac:dyDescent="0.2">
      <c r="B62" s="1">
        <v>1166000</v>
      </c>
      <c r="C62" s="173"/>
      <c r="D62" s="197"/>
      <c r="E62" s="197"/>
      <c r="F62" s="173"/>
      <c r="G62" s="173"/>
      <c r="H62" s="173"/>
      <c r="I62" s="173"/>
      <c r="J62" s="197"/>
      <c r="K62" s="197"/>
      <c r="L62" s="197"/>
      <c r="M62" s="173"/>
      <c r="N62" s="173"/>
      <c r="O62" s="173"/>
      <c r="P62" s="64"/>
    </row>
    <row r="63" spans="1:16" hidden="1" x14ac:dyDescent="0.2">
      <c r="B63" s="1">
        <v>4816560</v>
      </c>
      <c r="C63" s="173"/>
      <c r="D63" s="197"/>
      <c r="E63" s="197"/>
      <c r="F63" s="173"/>
      <c r="G63" s="173"/>
      <c r="H63" s="173"/>
      <c r="I63" s="173"/>
      <c r="J63" s="197"/>
      <c r="K63" s="197"/>
      <c r="L63" s="197"/>
      <c r="M63" s="173"/>
      <c r="N63" s="173"/>
      <c r="O63" s="173"/>
      <c r="P63" s="64"/>
    </row>
    <row r="64" spans="1:16" hidden="1" x14ac:dyDescent="0.2">
      <c r="C64" s="197">
        <v>4976624</v>
      </c>
      <c r="D64" s="197"/>
      <c r="E64" s="197"/>
      <c r="F64" s="173"/>
      <c r="G64" s="173"/>
      <c r="H64" s="173"/>
      <c r="I64" s="173"/>
      <c r="J64" s="197"/>
      <c r="K64" s="197"/>
      <c r="L64" s="197"/>
      <c r="M64" s="173"/>
      <c r="N64" s="173"/>
      <c r="O64" s="173"/>
      <c r="P64" s="64"/>
    </row>
    <row r="65" spans="2:16" hidden="1" x14ac:dyDescent="0.2">
      <c r="B65" s="1">
        <v>23507261</v>
      </c>
      <c r="C65" s="173"/>
      <c r="D65" s="197"/>
      <c r="E65" s="197"/>
      <c r="F65" s="173"/>
      <c r="G65" s="173"/>
      <c r="H65" s="173"/>
      <c r="I65" s="173"/>
      <c r="J65" s="197"/>
      <c r="K65" s="197"/>
      <c r="L65" s="197"/>
      <c r="M65" s="173"/>
      <c r="N65" s="173"/>
      <c r="O65" s="173"/>
      <c r="P65" s="64"/>
    </row>
    <row r="66" spans="2:16" hidden="1" x14ac:dyDescent="0.2">
      <c r="B66" s="1">
        <v>7290774</v>
      </c>
      <c r="C66" s="173"/>
      <c r="D66" s="173"/>
      <c r="E66" s="197"/>
      <c r="F66" s="173"/>
      <c r="G66" s="173"/>
      <c r="H66" s="173"/>
      <c r="I66" s="173"/>
      <c r="J66" s="197"/>
      <c r="K66" s="197"/>
      <c r="L66" s="197"/>
      <c r="M66" s="173"/>
      <c r="N66" s="173"/>
      <c r="O66" s="173"/>
      <c r="P66" s="64"/>
    </row>
    <row r="67" spans="2:16" hidden="1" x14ac:dyDescent="0.2">
      <c r="B67" s="1">
        <v>1570000</v>
      </c>
      <c r="C67" s="173"/>
      <c r="D67" s="173"/>
      <c r="E67" s="197"/>
      <c r="F67" s="173"/>
      <c r="G67" s="173"/>
      <c r="H67" s="173"/>
      <c r="I67" s="173"/>
      <c r="J67" s="197"/>
      <c r="K67" s="197"/>
      <c r="L67" s="197"/>
      <c r="M67" s="173"/>
      <c r="N67" s="173"/>
      <c r="O67" s="173"/>
      <c r="P67" s="64"/>
    </row>
    <row r="68" spans="2:16" hidden="1" x14ac:dyDescent="0.2">
      <c r="B68" s="1">
        <v>10550000</v>
      </c>
      <c r="C68" s="173"/>
      <c r="D68" s="173"/>
      <c r="E68" s="197"/>
      <c r="F68" s="173"/>
      <c r="G68" s="173"/>
      <c r="H68" s="173"/>
      <c r="I68" s="173"/>
      <c r="J68" s="197"/>
      <c r="K68" s="197"/>
      <c r="L68" s="197"/>
      <c r="M68" s="173"/>
      <c r="N68" s="173"/>
      <c r="O68" s="173"/>
      <c r="P68" s="64"/>
    </row>
    <row r="69" spans="2:16" hidden="1" x14ac:dyDescent="0.2">
      <c r="B69" s="1">
        <v>6600000</v>
      </c>
      <c r="C69" s="173"/>
      <c r="D69" s="173"/>
      <c r="E69" s="197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64"/>
    </row>
    <row r="70" spans="2:16" hidden="1" x14ac:dyDescent="0.2">
      <c r="B70" s="1">
        <v>4392000</v>
      </c>
      <c r="C70" s="173"/>
      <c r="D70" s="173"/>
      <c r="E70" s="197"/>
      <c r="F70" s="173"/>
      <c r="G70" s="173"/>
      <c r="H70" s="173"/>
      <c r="I70" s="173"/>
      <c r="J70" s="173"/>
      <c r="K70" s="173"/>
      <c r="L70" s="173"/>
      <c r="M70" s="173"/>
      <c r="N70" s="173"/>
      <c r="O70" s="173"/>
      <c r="P70" s="64"/>
    </row>
    <row r="71" spans="2:16" hidden="1" x14ac:dyDescent="0.2">
      <c r="B71" s="1">
        <v>4514000</v>
      </c>
      <c r="C71" s="173"/>
      <c r="D71" s="173"/>
      <c r="E71" s="197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64"/>
    </row>
    <row r="72" spans="2:16" hidden="1" x14ac:dyDescent="0.2">
      <c r="C72" s="173">
        <v>244000</v>
      </c>
      <c r="D72" s="173"/>
      <c r="E72" s="197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64"/>
    </row>
    <row r="73" spans="2:16" hidden="1" x14ac:dyDescent="0.2">
      <c r="B73" s="1">
        <v>1464000</v>
      </c>
      <c r="C73" s="173"/>
      <c r="D73" s="173"/>
      <c r="E73" s="197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64"/>
    </row>
    <row r="74" spans="2:16" hidden="1" x14ac:dyDescent="0.2">
      <c r="C74" s="197">
        <v>10000000</v>
      </c>
      <c r="D74" s="173"/>
      <c r="E74" s="197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64"/>
    </row>
    <row r="75" spans="2:16" hidden="1" x14ac:dyDescent="0.2">
      <c r="B75" s="1">
        <v>2658136</v>
      </c>
      <c r="C75" s="197"/>
      <c r="D75" s="173"/>
      <c r="E75" s="197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64"/>
    </row>
    <row r="76" spans="2:16" hidden="1" x14ac:dyDescent="0.2">
      <c r="B76" s="1">
        <v>1291000</v>
      </c>
      <c r="C76" s="197"/>
      <c r="D76" s="173"/>
      <c r="E76" s="197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64"/>
    </row>
    <row r="77" spans="2:16" hidden="1" x14ac:dyDescent="0.2">
      <c r="B77" s="1">
        <v>10595000</v>
      </c>
      <c r="C77" s="197"/>
      <c r="D77" s="173"/>
      <c r="E77" s="197"/>
      <c r="F77" s="173"/>
      <c r="G77" s="173"/>
      <c r="H77" s="173"/>
      <c r="I77" s="173"/>
      <c r="J77" s="173"/>
      <c r="K77" s="173"/>
      <c r="L77" s="173"/>
      <c r="M77" s="173"/>
      <c r="N77" s="173"/>
      <c r="O77" s="173"/>
      <c r="P77" s="64"/>
    </row>
    <row r="78" spans="2:16" hidden="1" x14ac:dyDescent="0.2">
      <c r="B78" s="1">
        <v>400672</v>
      </c>
      <c r="C78" s="173"/>
      <c r="D78" s="173"/>
      <c r="E78" s="197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64"/>
    </row>
    <row r="79" spans="2:16" hidden="1" x14ac:dyDescent="0.2">
      <c r="C79" s="173">
        <v>3285142</v>
      </c>
      <c r="D79" s="173"/>
      <c r="E79" s="197"/>
      <c r="F79" s="173"/>
      <c r="G79" s="173"/>
      <c r="H79" s="173"/>
      <c r="I79" s="173"/>
      <c r="J79" s="173"/>
      <c r="K79" s="173"/>
      <c r="L79" s="173"/>
      <c r="M79" s="173"/>
      <c r="N79" s="173"/>
      <c r="O79" s="173"/>
      <c r="P79" s="64"/>
    </row>
    <row r="80" spans="2:16" hidden="1" x14ac:dyDescent="0.2">
      <c r="B80" s="1">
        <v>1695750</v>
      </c>
      <c r="C80" s="197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3"/>
      <c r="P80" s="64"/>
    </row>
    <row r="81" spans="2:16" hidden="1" x14ac:dyDescent="0.2">
      <c r="B81" s="1">
        <v>3522994</v>
      </c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64"/>
    </row>
    <row r="82" spans="2:16" hidden="1" x14ac:dyDescent="0.2">
      <c r="B82" s="1">
        <v>2968000</v>
      </c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64"/>
    </row>
    <row r="83" spans="2:16" hidden="1" x14ac:dyDescent="0.2">
      <c r="B83" s="1">
        <v>2228000</v>
      </c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64"/>
    </row>
    <row r="84" spans="2:16" hidden="1" x14ac:dyDescent="0.2">
      <c r="B84" s="1">
        <v>3182000</v>
      </c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64"/>
    </row>
    <row r="85" spans="2:16" hidden="1" x14ac:dyDescent="0.2">
      <c r="B85" s="1">
        <v>3405000</v>
      </c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64"/>
    </row>
    <row r="86" spans="2:16" hidden="1" x14ac:dyDescent="0.2"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64"/>
    </row>
    <row r="87" spans="2:16" hidden="1" x14ac:dyDescent="0.2"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64"/>
    </row>
    <row r="88" spans="2:16" hidden="1" x14ac:dyDescent="0.2"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64"/>
    </row>
    <row r="89" spans="2:16" hidden="1" x14ac:dyDescent="0.2"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64"/>
    </row>
    <row r="90" spans="2:16" hidden="1" x14ac:dyDescent="0.2"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64"/>
    </row>
    <row r="91" spans="2:16" hidden="1" x14ac:dyDescent="0.2"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64"/>
    </row>
    <row r="92" spans="2:16" x14ac:dyDescent="0.2">
      <c r="C92" s="172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3"/>
      <c r="O92" s="173"/>
      <c r="P92" s="64"/>
    </row>
    <row r="93" spans="2:16" x14ac:dyDescent="0.2">
      <c r="C93" s="172"/>
      <c r="D93" s="152"/>
      <c r="E93" s="171"/>
      <c r="F93" s="152"/>
      <c r="G93" s="171"/>
      <c r="H93" s="171"/>
      <c r="I93" s="171"/>
      <c r="J93" s="171"/>
      <c r="K93" s="171"/>
      <c r="L93" s="171"/>
      <c r="M93" s="171"/>
      <c r="N93" s="173"/>
      <c r="O93" s="173"/>
      <c r="P93" s="64"/>
    </row>
    <row r="94" spans="2:16" x14ac:dyDescent="0.2"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64"/>
    </row>
    <row r="95" spans="2:16" x14ac:dyDescent="0.2">
      <c r="C95" s="197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64"/>
    </row>
    <row r="96" spans="2:16" x14ac:dyDescent="0.2">
      <c r="C96" s="197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64"/>
    </row>
    <row r="97" spans="2:16" x14ac:dyDescent="0.2">
      <c r="C97" s="197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64"/>
    </row>
    <row r="98" spans="2:16" x14ac:dyDescent="0.2">
      <c r="C98" s="197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64"/>
    </row>
    <row r="99" spans="2:16" x14ac:dyDescent="0.2">
      <c r="C99" s="197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64"/>
    </row>
    <row r="100" spans="2:16" x14ac:dyDescent="0.2">
      <c r="C100" s="197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64"/>
    </row>
    <row r="101" spans="2:16" x14ac:dyDescent="0.2">
      <c r="C101" s="197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64"/>
    </row>
    <row r="102" spans="2:16" x14ac:dyDescent="0.2">
      <c r="C102" s="197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64"/>
    </row>
    <row r="103" spans="2:16" x14ac:dyDescent="0.2">
      <c r="C103" s="197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64"/>
    </row>
    <row r="104" spans="2:16" x14ac:dyDescent="0.2">
      <c r="B104" s="65"/>
      <c r="C104" s="197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2"/>
    </row>
    <row r="105" spans="2:16" x14ac:dyDescent="0.2">
      <c r="B105" s="65"/>
      <c r="C105" s="197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2"/>
    </row>
    <row r="106" spans="2:16" x14ac:dyDescent="0.2">
      <c r="B106" s="65"/>
      <c r="C106" s="197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2"/>
    </row>
    <row r="107" spans="2:16" x14ac:dyDescent="0.2">
      <c r="C107" s="197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2"/>
    </row>
    <row r="108" spans="2:16" x14ac:dyDescent="0.2">
      <c r="C108" s="197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2"/>
    </row>
    <row r="109" spans="2:16" x14ac:dyDescent="0.2">
      <c r="C109" s="197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2"/>
    </row>
    <row r="110" spans="2:16" x14ac:dyDescent="0.2">
      <c r="C110" s="197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2"/>
    </row>
    <row r="111" spans="2:16" x14ac:dyDescent="0.2">
      <c r="C111" s="197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2"/>
    </row>
    <row r="112" spans="2:16" x14ac:dyDescent="0.2">
      <c r="C112" s="197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2"/>
    </row>
    <row r="113" spans="3:16" x14ac:dyDescent="0.2">
      <c r="C113" s="197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2"/>
    </row>
    <row r="114" spans="3:16" x14ac:dyDescent="0.2">
      <c r="C114" s="197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2"/>
    </row>
    <row r="115" spans="3:16" x14ac:dyDescent="0.2">
      <c r="C115" s="197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2"/>
    </row>
    <row r="116" spans="3:16" x14ac:dyDescent="0.2">
      <c r="C116" s="197"/>
      <c r="D116" s="173"/>
      <c r="E116" s="173"/>
      <c r="F116" s="173"/>
      <c r="G116" s="173"/>
      <c r="H116" s="173"/>
      <c r="I116" s="173"/>
      <c r="J116" s="173"/>
      <c r="K116" s="173"/>
      <c r="L116" s="173"/>
      <c r="M116" s="173"/>
      <c r="N116" s="173"/>
      <c r="O116" s="173"/>
      <c r="P116" s="2"/>
    </row>
    <row r="117" spans="3:16" x14ac:dyDescent="0.2">
      <c r="C117" s="197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2"/>
    </row>
    <row r="118" spans="3:16" x14ac:dyDescent="0.2">
      <c r="C118" s="197"/>
      <c r="D118" s="173"/>
      <c r="E118" s="173"/>
      <c r="F118" s="173"/>
      <c r="G118" s="173"/>
      <c r="H118" s="173"/>
      <c r="I118" s="173"/>
      <c r="J118" s="173"/>
      <c r="K118" s="173"/>
      <c r="L118" s="173"/>
      <c r="M118" s="173"/>
      <c r="N118" s="173"/>
      <c r="O118" s="173"/>
      <c r="P118" s="2"/>
    </row>
    <row r="119" spans="3:16" x14ac:dyDescent="0.2">
      <c r="C119" s="197"/>
      <c r="D119" s="173"/>
      <c r="E119" s="173"/>
      <c r="F119" s="173"/>
      <c r="G119" s="173"/>
      <c r="H119" s="173"/>
      <c r="I119" s="173"/>
      <c r="J119" s="173"/>
      <c r="K119" s="173"/>
      <c r="L119" s="173"/>
      <c r="M119" s="173"/>
      <c r="N119" s="173"/>
      <c r="O119" s="173"/>
      <c r="P119" s="2"/>
    </row>
    <row r="120" spans="3:16" x14ac:dyDescent="0.2">
      <c r="C120" s="197"/>
      <c r="D120" s="173"/>
      <c r="E120" s="173"/>
      <c r="F120" s="173"/>
      <c r="G120" s="173"/>
      <c r="H120" s="173"/>
      <c r="I120" s="173"/>
      <c r="J120" s="173"/>
      <c r="K120" s="173"/>
      <c r="L120" s="173"/>
      <c r="M120" s="173"/>
      <c r="N120" s="173"/>
      <c r="O120" s="173"/>
      <c r="P120" s="2"/>
    </row>
    <row r="121" spans="3:16" x14ac:dyDescent="0.2">
      <c r="C121" s="197"/>
      <c r="D121" s="173"/>
      <c r="E121" s="173"/>
      <c r="F121" s="173"/>
      <c r="G121" s="173"/>
      <c r="H121" s="173"/>
      <c r="I121" s="173"/>
      <c r="J121" s="173"/>
      <c r="K121" s="173"/>
      <c r="L121" s="173"/>
      <c r="M121" s="173"/>
      <c r="N121" s="173"/>
      <c r="O121" s="173"/>
      <c r="P121" s="2"/>
    </row>
    <row r="122" spans="3:16" x14ac:dyDescent="0.2">
      <c r="C122" s="197"/>
      <c r="D122" s="173"/>
      <c r="E122" s="173"/>
      <c r="F122" s="173"/>
      <c r="G122" s="173"/>
      <c r="H122" s="173"/>
      <c r="I122" s="173"/>
      <c r="J122" s="173"/>
      <c r="K122" s="173"/>
      <c r="L122" s="173"/>
      <c r="M122" s="173"/>
      <c r="N122" s="173"/>
      <c r="O122" s="173"/>
      <c r="P122" s="2"/>
    </row>
    <row r="123" spans="3:16" x14ac:dyDescent="0.2">
      <c r="C123" s="197"/>
      <c r="D123" s="173"/>
      <c r="E123" s="173"/>
      <c r="F123" s="173"/>
      <c r="G123" s="173"/>
      <c r="H123" s="173"/>
      <c r="I123" s="173"/>
      <c r="J123" s="173"/>
      <c r="K123" s="173"/>
      <c r="L123" s="173"/>
      <c r="M123" s="173"/>
      <c r="N123" s="173"/>
      <c r="O123" s="173"/>
      <c r="P123" s="2"/>
    </row>
    <row r="124" spans="3:16" x14ac:dyDescent="0.2">
      <c r="C124" s="197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2"/>
    </row>
    <row r="125" spans="3:16" x14ac:dyDescent="0.2">
      <c r="C125" s="197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2"/>
    </row>
    <row r="126" spans="3:16" x14ac:dyDescent="0.2">
      <c r="C126" s="197"/>
      <c r="D126" s="173"/>
      <c r="E126" s="173"/>
      <c r="F126" s="173"/>
      <c r="G126" s="173"/>
      <c r="H126" s="173"/>
      <c r="I126" s="173"/>
      <c r="J126" s="173"/>
      <c r="K126" s="173"/>
      <c r="L126" s="173"/>
      <c r="M126" s="173"/>
      <c r="N126" s="173"/>
      <c r="O126" s="173"/>
      <c r="P126" s="2"/>
    </row>
    <row r="127" spans="3:16" x14ac:dyDescent="0.2">
      <c r="C127" s="197"/>
      <c r="D127" s="173"/>
      <c r="E127" s="173"/>
      <c r="F127" s="173"/>
      <c r="G127" s="173"/>
      <c r="H127" s="173"/>
      <c r="I127" s="173"/>
      <c r="J127" s="173"/>
      <c r="K127" s="173"/>
      <c r="L127" s="173"/>
      <c r="M127" s="173"/>
      <c r="N127" s="173"/>
      <c r="O127" s="173"/>
      <c r="P127" s="2"/>
    </row>
    <row r="128" spans="3:16" x14ac:dyDescent="0.2">
      <c r="C128" s="197"/>
      <c r="D128" s="173"/>
      <c r="E128" s="173"/>
      <c r="F128" s="173"/>
      <c r="G128" s="173"/>
      <c r="H128" s="173"/>
      <c r="I128" s="173"/>
      <c r="J128" s="173"/>
      <c r="K128" s="173"/>
      <c r="L128" s="173"/>
      <c r="M128" s="173"/>
      <c r="N128" s="173"/>
      <c r="O128" s="173"/>
      <c r="P128" s="2"/>
    </row>
    <row r="129" spans="3:16" x14ac:dyDescent="0.2">
      <c r="C129" s="173"/>
      <c r="D129" s="173"/>
      <c r="E129" s="173"/>
      <c r="F129" s="173"/>
      <c r="G129" s="173"/>
      <c r="H129" s="173"/>
      <c r="I129" s="173"/>
      <c r="J129" s="173"/>
      <c r="K129" s="173"/>
      <c r="L129" s="173"/>
      <c r="M129" s="173"/>
      <c r="N129" s="173"/>
      <c r="O129" s="173"/>
      <c r="P129" s="2"/>
    </row>
    <row r="130" spans="3:16" x14ac:dyDescent="0.2">
      <c r="C130" s="173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2"/>
    </row>
    <row r="131" spans="3:1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3:1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Tariné Godó Ágnes</cp:lastModifiedBy>
  <cp:lastPrinted>2020-05-20T07:09:51Z</cp:lastPrinted>
  <dcterms:created xsi:type="dcterms:W3CDTF">2013-05-29T08:17:59Z</dcterms:created>
  <dcterms:modified xsi:type="dcterms:W3CDTF">2022-11-07T08:40:25Z</dcterms:modified>
</cp:coreProperties>
</file>