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I:\Penzugyi es Koltsegvetesi Osztaly\HUPENZU\2022\Rendelet módosítások\1. módosítás, maradvány\Leadott\"/>
    </mc:Choice>
  </mc:AlternateContent>
  <bookViews>
    <workbookView xWindow="0" yWindow="0" windowWidth="28800" windowHeight="11835"/>
  </bookViews>
  <sheets>
    <sheet name="5.sz. melléklet" sheetId="20" r:id="rId1"/>
    <sheet name="6. sz. melléklet" sheetId="2" r:id="rId2"/>
  </sheets>
  <definedNames>
    <definedName name="a">#REF!</definedName>
    <definedName name="Excel_BuiltIn_Print_Area_100_1" localSheetId="0">#REF!</definedName>
    <definedName name="Excel_BuiltIn_Print_Area_100_1" localSheetId="1">#REF!</definedName>
    <definedName name="Excel_BuiltIn_Print_Area_109_1" localSheetId="0">#REF!</definedName>
    <definedName name="Excel_BuiltIn_Print_Area_109_1" localSheetId="1">#REF!</definedName>
    <definedName name="Excel_BuiltIn_Print_Area_109_1">#REF!</definedName>
    <definedName name="Excel_BuiltIn_Print_Area_111" localSheetId="0">#REF!</definedName>
    <definedName name="Excel_BuiltIn_Print_Area_111" localSheetId="1">#REF!</definedName>
    <definedName name="Excel_BuiltIn_Print_Area_14_1" localSheetId="0">#REF!</definedName>
    <definedName name="Excel_BuiltIn_Print_Area_14_1">#REF!</definedName>
    <definedName name="Excel_BuiltIn_Print_Area_14_1_1" localSheetId="0">#REF!</definedName>
    <definedName name="Excel_BuiltIn_Print_Area_14_1_1">#REF!</definedName>
    <definedName name="Excel_BuiltIn_Print_Area_29_1" localSheetId="0">#REF!</definedName>
    <definedName name="Excel_BuiltIn_Print_Area_29_1">#REF!</definedName>
    <definedName name="Excel_BuiltIn_Print_Area_29_1_1" localSheetId="0">#REF!</definedName>
    <definedName name="Excel_BuiltIn_Print_Area_29_1_1">#REF!</definedName>
    <definedName name="Excel_BuiltIn_Print_Area_31_1" localSheetId="0">#REF!</definedName>
    <definedName name="Excel_BuiltIn_Print_Area_31_1">#REF!</definedName>
    <definedName name="Excel_BuiltIn_Print_Area_32_1" localSheetId="0">#REF!</definedName>
    <definedName name="Excel_BuiltIn_Print_Area_32_1">#REF!</definedName>
    <definedName name="Excel_BuiltIn_Print_Area_34_1" localSheetId="0">#REF!</definedName>
    <definedName name="Excel_BuiltIn_Print_Area_34_1">#REF!</definedName>
    <definedName name="Excel_BuiltIn_Print_Area_37_1" localSheetId="0">#REF!</definedName>
    <definedName name="Excel_BuiltIn_Print_Area_37_1">#REF!</definedName>
    <definedName name="Excel_BuiltIn_Print_Area_55_1" localSheetId="0">#REF!</definedName>
    <definedName name="Excel_BuiltIn_Print_Area_55_1">#REF!</definedName>
    <definedName name="mama">#REF!</definedName>
    <definedName name="_xlnm.Print_Area" localSheetId="0">'5.sz. melléklet'!$A$1:$M$52</definedName>
    <definedName name="_xlnm.Print_Area" localSheetId="1">'6. sz. melléklet'!$A$1:$O$52</definedName>
    <definedName name="pm" localSheetId="0">#REF!</definedName>
    <definedName name="pm">#REF!</definedName>
    <definedName name="teszt">#REF!</definedName>
  </definedNames>
  <calcPr calcId="152511" iterateDelta="0"/>
</workbook>
</file>

<file path=xl/calcChain.xml><?xml version="1.0" encoding="utf-8"?>
<calcChain xmlns="http://schemas.openxmlformats.org/spreadsheetml/2006/main">
  <c r="K41" i="2" l="1"/>
  <c r="K40" i="2"/>
  <c r="K39" i="2"/>
  <c r="K38" i="2"/>
  <c r="F42" i="20"/>
  <c r="F41" i="20"/>
  <c r="F40" i="20"/>
  <c r="F39" i="20"/>
  <c r="F34" i="20"/>
  <c r="F33" i="20"/>
  <c r="F32" i="20"/>
  <c r="F31" i="20"/>
  <c r="F30" i="20"/>
  <c r="F28" i="20"/>
  <c r="F27" i="20"/>
  <c r="F26" i="20"/>
  <c r="F25" i="20"/>
  <c r="F24" i="20"/>
  <c r="E39" i="20"/>
  <c r="E42" i="20"/>
  <c r="E40" i="20"/>
  <c r="E38" i="20"/>
  <c r="E34" i="20"/>
  <c r="E33" i="20"/>
  <c r="E32" i="20"/>
  <c r="E31" i="20"/>
  <c r="E30" i="20"/>
  <c r="E25" i="20"/>
  <c r="E24" i="20"/>
  <c r="D42" i="20"/>
  <c r="D40" i="20"/>
  <c r="D39" i="20"/>
  <c r="D38" i="20"/>
  <c r="D34" i="20"/>
  <c r="D33" i="20"/>
  <c r="D32" i="20"/>
  <c r="D31" i="20"/>
  <c r="D30" i="20"/>
  <c r="D25" i="20"/>
  <c r="D24" i="20"/>
  <c r="F23" i="20"/>
  <c r="E23" i="20"/>
  <c r="D23" i="20"/>
  <c r="E19" i="20"/>
  <c r="D19" i="20"/>
  <c r="F50" i="20"/>
  <c r="E50" i="20"/>
  <c r="D50" i="20"/>
  <c r="E41" i="20" l="1"/>
  <c r="D41" i="20"/>
  <c r="E28" i="20" l="1"/>
  <c r="E27" i="20"/>
  <c r="E26" i="20"/>
  <c r="D28" i="20"/>
  <c r="D27" i="20"/>
  <c r="D26" i="20"/>
  <c r="K42" i="2" l="1"/>
  <c r="K19" i="2"/>
  <c r="C38" i="2" l="1"/>
  <c r="D52" i="2"/>
  <c r="C50" i="2"/>
  <c r="C46" i="2"/>
  <c r="C39" i="2"/>
  <c r="C40" i="2"/>
  <c r="C41" i="2"/>
  <c r="C42" i="2"/>
  <c r="C24" i="2"/>
  <c r="C25" i="2"/>
  <c r="C26" i="2"/>
  <c r="C27" i="2"/>
  <c r="C28" i="2"/>
  <c r="C29" i="2"/>
  <c r="C30" i="2"/>
  <c r="C31" i="2"/>
  <c r="C32" i="2"/>
  <c r="C33" i="2"/>
  <c r="C34" i="2"/>
  <c r="C23" i="2"/>
  <c r="C19" i="2"/>
  <c r="C21" i="2" s="1"/>
  <c r="C31" i="20"/>
  <c r="C36" i="2" l="1"/>
  <c r="C46" i="20" l="1"/>
  <c r="C50" i="20"/>
  <c r="E52" i="2"/>
  <c r="I52" i="2"/>
  <c r="E48" i="2"/>
  <c r="F48" i="2"/>
  <c r="F52" i="2" s="1"/>
  <c r="I48" i="2"/>
  <c r="D44" i="2"/>
  <c r="D48" i="2" s="1"/>
  <c r="E44" i="2"/>
  <c r="F44" i="2"/>
  <c r="G44" i="2"/>
  <c r="H44" i="2"/>
  <c r="I44" i="2"/>
  <c r="J44" i="2"/>
  <c r="K44" i="2"/>
  <c r="L44" i="2"/>
  <c r="M44" i="2"/>
  <c r="N44" i="2"/>
  <c r="O44" i="2"/>
  <c r="C44" i="2"/>
  <c r="E36" i="2"/>
  <c r="F36" i="2"/>
  <c r="G36" i="2"/>
  <c r="G48" i="2" s="1"/>
  <c r="G52" i="2" s="1"/>
  <c r="H36" i="2"/>
  <c r="H48" i="2" s="1"/>
  <c r="H52" i="2" s="1"/>
  <c r="I36" i="2"/>
  <c r="J36" i="2"/>
  <c r="K36" i="2"/>
  <c r="L36" i="2"/>
  <c r="M36" i="2"/>
  <c r="M48" i="2" s="1"/>
  <c r="M52" i="2" s="1"/>
  <c r="N36" i="2"/>
  <c r="N48" i="2" s="1"/>
  <c r="N52" i="2" s="1"/>
  <c r="O36" i="2"/>
  <c r="O48" i="2" s="1"/>
  <c r="O52" i="2" s="1"/>
  <c r="D36" i="2"/>
  <c r="E21" i="2"/>
  <c r="F21" i="2"/>
  <c r="G21" i="2"/>
  <c r="H21" i="2"/>
  <c r="I21" i="2"/>
  <c r="J21" i="2"/>
  <c r="K21" i="2"/>
  <c r="L21" i="2"/>
  <c r="M21" i="2"/>
  <c r="N21" i="2"/>
  <c r="O21" i="2"/>
  <c r="D21" i="2"/>
  <c r="D36" i="20"/>
  <c r="M44" i="20"/>
  <c r="L44" i="20"/>
  <c r="K44" i="20"/>
  <c r="J44" i="20"/>
  <c r="J48" i="20" s="1"/>
  <c r="J52" i="20" s="1"/>
  <c r="I44" i="20"/>
  <c r="H44" i="20"/>
  <c r="G44" i="20"/>
  <c r="F44" i="20"/>
  <c r="C42" i="20"/>
  <c r="C41" i="20"/>
  <c r="C40" i="20"/>
  <c r="E44" i="20"/>
  <c r="C39" i="20"/>
  <c r="D44" i="20"/>
  <c r="M36" i="20"/>
  <c r="M48" i="20" s="1"/>
  <c r="M52" i="20" s="1"/>
  <c r="L36" i="20"/>
  <c r="K36" i="20"/>
  <c r="J36" i="20"/>
  <c r="I36" i="20"/>
  <c r="H36" i="20"/>
  <c r="G36" i="20"/>
  <c r="F36" i="20"/>
  <c r="E36" i="20"/>
  <c r="C33" i="20"/>
  <c r="C32" i="20"/>
  <c r="C30" i="20"/>
  <c r="C29" i="20"/>
  <c r="C28" i="20"/>
  <c r="C27" i="20"/>
  <c r="C26" i="20"/>
  <c r="C25" i="20"/>
  <c r="C24" i="20"/>
  <c r="C23" i="20"/>
  <c r="M21" i="20"/>
  <c r="L21" i="20"/>
  <c r="L48" i="20" s="1"/>
  <c r="L52" i="20" s="1"/>
  <c r="K21" i="20"/>
  <c r="K48" i="20" s="1"/>
  <c r="K52" i="20" s="1"/>
  <c r="J21" i="20"/>
  <c r="I21" i="20"/>
  <c r="H21" i="20"/>
  <c r="G21" i="20"/>
  <c r="F21" i="20"/>
  <c r="E21" i="20"/>
  <c r="D21" i="20"/>
  <c r="L48" i="2" l="1"/>
  <c r="L52" i="2" s="1"/>
  <c r="J48" i="2"/>
  <c r="J52" i="2" s="1"/>
  <c r="I48" i="20"/>
  <c r="I52" i="20" s="1"/>
  <c r="H48" i="20"/>
  <c r="H52" i="20" s="1"/>
  <c r="G48" i="20"/>
  <c r="G52" i="20" s="1"/>
  <c r="E48" i="20"/>
  <c r="E52" i="20" s="1"/>
  <c r="F48" i="20"/>
  <c r="F52" i="20" s="1"/>
  <c r="D48" i="20"/>
  <c r="D52" i="20" s="1"/>
  <c r="C48" i="2"/>
  <c r="C52" i="2" s="1"/>
  <c r="K48" i="2"/>
  <c r="C34" i="20"/>
  <c r="C36" i="20" s="1"/>
  <c r="C19" i="20"/>
  <c r="C21" i="20" s="1"/>
  <c r="C38" i="20"/>
  <c r="C44" i="20" s="1"/>
  <c r="K52" i="2" l="1"/>
  <c r="C48" i="20"/>
  <c r="C52" i="20" s="1"/>
</calcChain>
</file>

<file path=xl/sharedStrings.xml><?xml version="1.0" encoding="utf-8"?>
<sst xmlns="http://schemas.openxmlformats.org/spreadsheetml/2006/main" count="195" uniqueCount="97">
  <si>
    <t>Kötelező feladatok</t>
  </si>
  <si>
    <t>Önként vállalt feladatok</t>
  </si>
  <si>
    <t>Költségvetési</t>
  </si>
  <si>
    <t>Munkaadókat</t>
  </si>
  <si>
    <t>kiadások</t>
  </si>
  <si>
    <t>Személyi</t>
  </si>
  <si>
    <t>terhelő</t>
  </si>
  <si>
    <t>Dologi</t>
  </si>
  <si>
    <t>Ellátottak</t>
  </si>
  <si>
    <t>Működési</t>
  </si>
  <si>
    <t>Beruházások</t>
  </si>
  <si>
    <t>Felújítások</t>
  </si>
  <si>
    <t>Felhalmozási</t>
  </si>
  <si>
    <t>összesen</t>
  </si>
  <si>
    <t>juttatások</t>
  </si>
  <si>
    <t>pénzbeli</t>
  </si>
  <si>
    <t>célú</t>
  </si>
  <si>
    <t>felhalmozási</t>
  </si>
  <si>
    <t>Ssz.</t>
  </si>
  <si>
    <t>megnevezése</t>
  </si>
  <si>
    <t>szocilis</t>
  </si>
  <si>
    <t>juttatásai</t>
  </si>
  <si>
    <t>pénzeszköz</t>
  </si>
  <si>
    <t>hozzájárulási</t>
  </si>
  <si>
    <t>adó</t>
  </si>
  <si>
    <t>1.</t>
  </si>
  <si>
    <t xml:space="preserve">Egyesített Bölcsődék </t>
  </si>
  <si>
    <t>Bolyai Utcai Óvoda</t>
  </si>
  <si>
    <t>2.</t>
  </si>
  <si>
    <t>Budakeszi Úti Óvoda</t>
  </si>
  <si>
    <t>3.</t>
  </si>
  <si>
    <t>Hűvösvölgyi Gesztenyéskert Óvoda</t>
  </si>
  <si>
    <t>4.</t>
  </si>
  <si>
    <t>Kitaibel Pál Utcai Óvoda</t>
  </si>
  <si>
    <t>Kolozsvár Utcai Óvoda</t>
  </si>
  <si>
    <t>Községház Utcai Óvoda</t>
  </si>
  <si>
    <t>Pitypang Utcai Óvoda</t>
  </si>
  <si>
    <t>Százszorszép Óvoda</t>
  </si>
  <si>
    <t>Szemlőhegy Utcai Óvoda</t>
  </si>
  <si>
    <t>Törökvész Úti Óvoda</t>
  </si>
  <si>
    <t>ÉNO</t>
  </si>
  <si>
    <t xml:space="preserve">I. Gondozási Központ </t>
  </si>
  <si>
    <t xml:space="preserve">II. Gondozási Központ </t>
  </si>
  <si>
    <t xml:space="preserve">III. Gondozási Központ </t>
  </si>
  <si>
    <t>Intézmény Működtetési Központ</t>
  </si>
  <si>
    <t>bevételek</t>
  </si>
  <si>
    <t>Egyéb</t>
  </si>
  <si>
    <t>támogatás</t>
  </si>
  <si>
    <t xml:space="preserve">Felhalmozási </t>
  </si>
  <si>
    <t>államháztartáson</t>
  </si>
  <si>
    <t xml:space="preserve">működési </t>
  </si>
  <si>
    <t>belülről</t>
  </si>
  <si>
    <t>járulékok és</t>
  </si>
  <si>
    <t>átvett</t>
  </si>
  <si>
    <t>maradvány</t>
  </si>
  <si>
    <t>Finanszírozási bevételek</t>
  </si>
  <si>
    <t>költségvetési</t>
  </si>
  <si>
    <t>igénybevétel</t>
  </si>
  <si>
    <t>irányító szervi</t>
  </si>
  <si>
    <t xml:space="preserve">Költségvetési szerv </t>
  </si>
  <si>
    <t>Költségvetési bevételek</t>
  </si>
  <si>
    <t>Működési költségvetési kiadások</t>
  </si>
  <si>
    <t>Felhalmozási költségvetési kiadások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</si>
  <si>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</si>
  <si>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</si>
  <si>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</si>
  <si>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</si>
  <si>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</si>
  <si>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</si>
  <si>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</si>
  <si>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</si>
  <si>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</si>
  <si>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</si>
  <si>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i</t>
  </si>
  <si>
    <t>I.</t>
  </si>
  <si>
    <t>II.</t>
  </si>
  <si>
    <t>Egészségügyi Szolgálat</t>
  </si>
  <si>
    <t>A</t>
  </si>
  <si>
    <t>Gazdasági szervezettel nem rendelkező intézmények összesen:</t>
  </si>
  <si>
    <t>Egyesített Bölcsődék összesen:</t>
  </si>
  <si>
    <t>Óvodák összesen:</t>
  </si>
  <si>
    <t>Humán szolgáltatás összesen:</t>
  </si>
  <si>
    <t>Humán szolgáltatás összsen:</t>
  </si>
  <si>
    <t>Mindösszesen: (I.+II.)</t>
  </si>
  <si>
    <t>Virág árok Óvoda</t>
  </si>
  <si>
    <t xml:space="preserve">Budapest Főváros II. Kerületi Önkormányzat irányítása alá tartozó gazdasági szervezettel nem rendelkező költségvetési szervek és az Egészségügyi Szolgálat kiadási előirányzat változásai </t>
  </si>
  <si>
    <t>l</t>
  </si>
  <si>
    <t>Völgy  Utcai Óvoda</t>
  </si>
  <si>
    <t>Völgy Utcai Óvoda</t>
  </si>
  <si>
    <t>Budapest Főváros II. Kerületi Önkormányzat irányítása alá tartozó gazdasági szervezettel nem rendelkező költségvetési szervek és az Egészségügyi Szolgálat bevételi előirányzat változásai</t>
  </si>
  <si>
    <t>Család és Gyermekjóléti Központ</t>
  </si>
  <si>
    <t>EÜ</t>
  </si>
  <si>
    <t>6. sz. melléklet</t>
  </si>
  <si>
    <t>és finanszírozási</t>
  </si>
  <si>
    <t>2022. január 1-től április 31-ig.</t>
  </si>
  <si>
    <t>Forintban</t>
  </si>
  <si>
    <t>5. sz.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</si>
</sst>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F_t_-;\-* #,##0.00\ _F_t_-;_-* &quot;-&quot;??\ _F_t_-;_-@_-"/>
    <numFmt numFmtId="164" formatCode="_-* #,##0\ _F_t_-;\-* #,##0\ _F_t_-;_-* &quot;-&quot;??\ _F_t_-;_-@_-"/>
    <numFmt numFmtId="165" formatCode="_-* #,##0.000\ _F_t_-;\-* #,##0.000\ _F_t_-;_-* &quot;-&quot;??\ _F_t_-;_-@_-"/>
    <numFmt numFmtId="166" formatCode="#,##0.000_ ;\-#,##0.000\ "/>
  </numFmts>
  <fonts count="38" x14ac:knownFonts="1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 CE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Times New Roman CE"/>
      <family val="1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5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7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</font>
    <font>
      <sz val="8"/>
      <name val="Times New Roman"/>
      <family val="1"/>
      <charset val="238"/>
    </font>
    <font>
      <sz val="8"/>
      <color indexed="10"/>
      <name val="Times New Roman"/>
      <family val="1"/>
    </font>
    <font>
      <sz val="10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color rgb="FFFF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9"/>
        <bgColor indexed="26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7" borderId="0" applyNumberFormat="0" applyBorder="0" applyAlignment="0" applyProtection="0"/>
    <xf numFmtId="0" fontId="1" fillId="12" borderId="0" applyNumberFormat="0" applyBorder="0" applyAlignment="0" applyProtection="0"/>
    <xf numFmtId="0" fontId="1" fillId="11" borderId="0" applyNumberFormat="0" applyBorder="0" applyAlignment="0" applyProtection="0"/>
    <xf numFmtId="0" fontId="2" fillId="17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" borderId="0" applyNumberFormat="0" applyBorder="0" applyAlignment="0" applyProtection="0"/>
    <xf numFmtId="0" fontId="2" fillId="19" borderId="0" applyNumberFormat="0" applyBorder="0" applyAlignment="0" applyProtection="0"/>
    <xf numFmtId="0" fontId="3" fillId="9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0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9" fillId="20" borderId="7" applyNumberFormat="0" applyFont="0" applyAlignment="0" applyProtection="0"/>
    <xf numFmtId="0" fontId="2" fillId="15" borderId="0" applyNumberFormat="0" applyBorder="0" applyAlignment="0" applyProtection="0"/>
    <xf numFmtId="0" fontId="2" fillId="21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12" fillId="6" borderId="0" applyNumberFormat="0" applyBorder="0" applyAlignment="0" applyProtection="0"/>
    <xf numFmtId="0" fontId="13" fillId="22" borderId="8" applyNumberFormat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15" fillId="0" borderId="9" applyNumberFormat="0" applyFill="0" applyAlignment="0" applyProtection="0"/>
    <xf numFmtId="0" fontId="16" fillId="5" borderId="0" applyNumberFormat="0" applyBorder="0" applyAlignment="0" applyProtection="0"/>
    <xf numFmtId="0" fontId="17" fillId="23" borderId="0" applyNumberFormat="0" applyBorder="0" applyAlignment="0" applyProtection="0"/>
    <xf numFmtId="0" fontId="18" fillId="22" borderId="1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17">
    <xf numFmtId="0" fontId="0" fillId="0" borderId="0" xfId="0"/>
    <xf numFmtId="164" fontId="20" fillId="0" borderId="0" xfId="43" applyNumberFormat="1" applyFont="1"/>
    <xf numFmtId="164" fontId="20" fillId="0" borderId="0" xfId="43" applyNumberFormat="1" applyFont="1" applyAlignment="1">
      <alignment horizontal="right"/>
    </xf>
    <xf numFmtId="164" fontId="22" fillId="0" borderId="0" xfId="43" applyNumberFormat="1" applyFont="1"/>
    <xf numFmtId="164" fontId="21" fillId="0" borderId="0" xfId="43" applyNumberFormat="1" applyFont="1" applyAlignment="1"/>
    <xf numFmtId="164" fontId="23" fillId="0" borderId="0" xfId="43" applyNumberFormat="1" applyFont="1"/>
    <xf numFmtId="164" fontId="24" fillId="0" borderId="0" xfId="43" applyNumberFormat="1" applyFont="1" applyAlignment="1"/>
    <xf numFmtId="164" fontId="21" fillId="0" borderId="0" xfId="43" applyNumberFormat="1" applyFont="1" applyAlignment="1">
      <alignment horizontal="center"/>
    </xf>
    <xf numFmtId="164" fontId="25" fillId="0" borderId="0" xfId="43" applyNumberFormat="1" applyFont="1" applyAlignment="1">
      <alignment horizontal="right"/>
    </xf>
    <xf numFmtId="164" fontId="22" fillId="0" borderId="10" xfId="43" applyNumberFormat="1" applyFont="1" applyBorder="1"/>
    <xf numFmtId="164" fontId="21" fillId="0" borderId="11" xfId="43" applyNumberFormat="1" applyFont="1" applyBorder="1" applyAlignment="1"/>
    <xf numFmtId="164" fontId="26" fillId="0" borderId="12" xfId="43" applyNumberFormat="1" applyFont="1" applyBorder="1"/>
    <xf numFmtId="164" fontId="26" fillId="0" borderId="13" xfId="43" applyNumberFormat="1" applyFont="1" applyBorder="1"/>
    <xf numFmtId="164" fontId="22" fillId="0" borderId="15" xfId="43" applyNumberFormat="1" applyFont="1" applyBorder="1"/>
    <xf numFmtId="164" fontId="22" fillId="0" borderId="17" xfId="43" applyNumberFormat="1" applyFont="1" applyBorder="1"/>
    <xf numFmtId="164" fontId="21" fillId="0" borderId="15" xfId="43" applyNumberFormat="1" applyFont="1" applyBorder="1" applyAlignment="1"/>
    <xf numFmtId="164" fontId="21" fillId="0" borderId="18" xfId="43" applyNumberFormat="1" applyFont="1" applyBorder="1" applyAlignment="1"/>
    <xf numFmtId="164" fontId="28" fillId="0" borderId="15" xfId="43" applyNumberFormat="1" applyFont="1" applyBorder="1" applyAlignment="1">
      <alignment horizontal="center"/>
    </xf>
    <xf numFmtId="164" fontId="29" fillId="0" borderId="17" xfId="43" applyNumberFormat="1" applyFont="1" applyBorder="1" applyAlignment="1">
      <alignment horizontal="center"/>
    </xf>
    <xf numFmtId="164" fontId="22" fillId="0" borderId="17" xfId="43" applyNumberFormat="1" applyFont="1" applyBorder="1" applyAlignment="1">
      <alignment horizontal="center"/>
    </xf>
    <xf numFmtId="164" fontId="22" fillId="0" borderId="0" xfId="43" applyNumberFormat="1" applyFont="1" applyBorder="1"/>
    <xf numFmtId="164" fontId="22" fillId="0" borderId="20" xfId="43" applyNumberFormat="1" applyFont="1" applyBorder="1" applyAlignment="1">
      <alignment horizontal="center"/>
    </xf>
    <xf numFmtId="164" fontId="22" fillId="0" borderId="16" xfId="43" applyNumberFormat="1" applyFont="1" applyBorder="1" applyAlignment="1">
      <alignment horizontal="center"/>
    </xf>
    <xf numFmtId="164" fontId="22" fillId="0" borderId="46" xfId="43" applyNumberFormat="1" applyFont="1" applyBorder="1"/>
    <xf numFmtId="164" fontId="22" fillId="0" borderId="18" xfId="43" applyNumberFormat="1" applyFont="1" applyBorder="1" applyAlignment="1">
      <alignment horizontal="center"/>
    </xf>
    <xf numFmtId="164" fontId="22" fillId="0" borderId="15" xfId="43" applyNumberFormat="1" applyFont="1" applyFill="1" applyBorder="1" applyAlignment="1">
      <alignment horizontal="center"/>
    </xf>
    <xf numFmtId="164" fontId="22" fillId="0" borderId="21" xfId="43" applyNumberFormat="1" applyFont="1" applyFill="1" applyBorder="1" applyAlignment="1">
      <alignment horizontal="center"/>
    </xf>
    <xf numFmtId="164" fontId="22" fillId="0" borderId="0" xfId="43" applyNumberFormat="1" applyFont="1" applyBorder="1" applyAlignment="1">
      <alignment horizontal="center"/>
    </xf>
    <xf numFmtId="164" fontId="22" fillId="0" borderId="20" xfId="43" applyNumberFormat="1" applyFont="1" applyFill="1" applyBorder="1" applyAlignment="1">
      <alignment horizontal="center"/>
    </xf>
    <xf numFmtId="164" fontId="22" fillId="0" borderId="21" xfId="43" applyNumberFormat="1" applyFont="1" applyBorder="1" applyAlignment="1">
      <alignment horizontal="center"/>
    </xf>
    <xf numFmtId="164" fontId="28" fillId="0" borderId="15" xfId="43" applyNumberFormat="1" applyFont="1" applyBorder="1" applyAlignment="1">
      <alignment horizontal="center" vertical="center"/>
    </xf>
    <xf numFmtId="164" fontId="22" fillId="0" borderId="15" xfId="43" applyNumberFormat="1" applyFont="1" applyBorder="1" applyAlignment="1">
      <alignment horizontal="center" vertical="center"/>
    </xf>
    <xf numFmtId="164" fontId="22" fillId="0" borderId="20" xfId="43" applyNumberFormat="1" applyFont="1" applyBorder="1"/>
    <xf numFmtId="164" fontId="27" fillId="0" borderId="15" xfId="43" applyNumberFormat="1" applyFont="1" applyBorder="1" applyAlignment="1">
      <alignment horizontal="center" vertical="center"/>
    </xf>
    <xf numFmtId="164" fontId="20" fillId="0" borderId="15" xfId="43" applyNumberFormat="1" applyFont="1" applyBorder="1"/>
    <xf numFmtId="164" fontId="20" fillId="0" borderId="20" xfId="43" applyNumberFormat="1" applyFont="1" applyBorder="1"/>
    <xf numFmtId="164" fontId="28" fillId="0" borderId="44" xfId="43" applyNumberFormat="1" applyFont="1" applyBorder="1" applyAlignment="1">
      <alignment horizontal="center"/>
    </xf>
    <xf numFmtId="164" fontId="28" fillId="0" borderId="17" xfId="43" applyNumberFormat="1" applyFont="1" applyBorder="1" applyAlignment="1">
      <alignment horizontal="center"/>
    </xf>
    <xf numFmtId="164" fontId="20" fillId="0" borderId="25" xfId="43" applyNumberFormat="1" applyFont="1" applyBorder="1"/>
    <xf numFmtId="164" fontId="22" fillId="0" borderId="21" xfId="43" applyNumberFormat="1" applyFont="1" applyBorder="1"/>
    <xf numFmtId="164" fontId="22" fillId="0" borderId="27" xfId="43" applyNumberFormat="1" applyFont="1" applyBorder="1"/>
    <xf numFmtId="164" fontId="22" fillId="0" borderId="34" xfId="43" applyNumberFormat="1" applyFont="1" applyBorder="1" applyAlignment="1">
      <alignment horizontal="center"/>
    </xf>
    <xf numFmtId="164" fontId="22" fillId="0" borderId="15" xfId="43" applyNumberFormat="1" applyFont="1" applyBorder="1" applyAlignment="1">
      <alignment horizontal="center"/>
    </xf>
    <xf numFmtId="164" fontId="30" fillId="0" borderId="17" xfId="43" applyNumberFormat="1" applyFont="1" applyBorder="1"/>
    <xf numFmtId="164" fontId="30" fillId="0" borderId="17" xfId="43" applyNumberFormat="1" applyFont="1" applyFill="1" applyBorder="1" applyAlignment="1">
      <alignment horizontal="left"/>
    </xf>
    <xf numFmtId="164" fontId="29" fillId="0" borderId="34" xfId="43" applyNumberFormat="1" applyFont="1" applyBorder="1" applyAlignment="1">
      <alignment horizontal="center"/>
    </xf>
    <xf numFmtId="164" fontId="29" fillId="0" borderId="30" xfId="43" applyNumberFormat="1" applyFont="1" applyFill="1" applyBorder="1"/>
    <xf numFmtId="164" fontId="20" fillId="0" borderId="36" xfId="43" applyNumberFormat="1" applyFont="1" applyBorder="1"/>
    <xf numFmtId="164" fontId="37" fillId="0" borderId="0" xfId="43" applyNumberFormat="1" applyFont="1"/>
    <xf numFmtId="164" fontId="22" fillId="0" borderId="17" xfId="43" applyNumberFormat="1" applyFont="1" applyFill="1" applyBorder="1"/>
    <xf numFmtId="164" fontId="29" fillId="0" borderId="30" xfId="43" applyNumberFormat="1" applyFont="1" applyBorder="1"/>
    <xf numFmtId="164" fontId="29" fillId="0" borderId="15" xfId="43" applyNumberFormat="1" applyFont="1" applyBorder="1"/>
    <xf numFmtId="164" fontId="29" fillId="0" borderId="17" xfId="43" applyNumberFormat="1" applyFont="1" applyBorder="1"/>
    <xf numFmtId="164" fontId="30" fillId="0" borderId="30" xfId="43" applyNumberFormat="1" applyFont="1" applyBorder="1"/>
    <xf numFmtId="164" fontId="32" fillId="0" borderId="17" xfId="43" applyNumberFormat="1" applyFont="1" applyBorder="1"/>
    <xf numFmtId="164" fontId="29" fillId="0" borderId="12" xfId="43" applyNumberFormat="1" applyFont="1" applyBorder="1" applyAlignment="1">
      <alignment horizontal="center" wrapText="1"/>
    </xf>
    <xf numFmtId="164" fontId="29" fillId="0" borderId="40" xfId="43" applyNumberFormat="1" applyFont="1" applyBorder="1" applyAlignment="1">
      <alignment wrapText="1"/>
    </xf>
    <xf numFmtId="164" fontId="20" fillId="0" borderId="44" xfId="43" applyNumberFormat="1" applyFont="1" applyBorder="1"/>
    <xf numFmtId="164" fontId="22" fillId="0" borderId="43" xfId="43" applyNumberFormat="1" applyFont="1" applyBorder="1"/>
    <xf numFmtId="164" fontId="22" fillId="0" borderId="25" xfId="43" applyNumberFormat="1" applyFont="1" applyBorder="1"/>
    <xf numFmtId="164" fontId="26" fillId="0" borderId="34" xfId="43" applyNumberFormat="1" applyFont="1" applyBorder="1" applyAlignment="1">
      <alignment horizontal="center"/>
    </xf>
    <xf numFmtId="164" fontId="22" fillId="0" borderId="30" xfId="43" applyNumberFormat="1" applyFont="1" applyBorder="1"/>
    <xf numFmtId="164" fontId="26" fillId="0" borderId="40" xfId="43" applyNumberFormat="1" applyFont="1" applyBorder="1" applyAlignment="1">
      <alignment horizontal="center"/>
    </xf>
    <xf numFmtId="164" fontId="36" fillId="0" borderId="40" xfId="43" applyNumberFormat="1" applyFont="1" applyBorder="1"/>
    <xf numFmtId="164" fontId="20" fillId="0" borderId="0" xfId="43" applyNumberFormat="1" applyFont="1" applyBorder="1"/>
    <xf numFmtId="164" fontId="33" fillId="0" borderId="0" xfId="43" applyNumberFormat="1" applyFont="1"/>
    <xf numFmtId="164" fontId="19" fillId="24" borderId="0" xfId="43" applyNumberFormat="1" applyFont="1" applyFill="1" applyBorder="1" applyAlignment="1">
      <alignment horizontal="right"/>
    </xf>
    <xf numFmtId="164" fontId="33" fillId="0" borderId="0" xfId="43" applyNumberFormat="1" applyFont="1" applyAlignment="1"/>
    <xf numFmtId="164" fontId="23" fillId="0" borderId="0" xfId="43" applyNumberFormat="1" applyFont="1" applyBorder="1"/>
    <xf numFmtId="164" fontId="21" fillId="0" borderId="17" xfId="43" applyNumberFormat="1" applyFont="1" applyBorder="1" applyAlignment="1"/>
    <xf numFmtId="164" fontId="26" fillId="0" borderId="15" xfId="43" applyNumberFormat="1" applyFont="1" applyBorder="1" applyAlignment="1">
      <alignment horizontal="center"/>
    </xf>
    <xf numFmtId="164" fontId="26" fillId="0" borderId="18" xfId="43" applyNumberFormat="1" applyFont="1" applyBorder="1" applyAlignment="1">
      <alignment horizontal="center"/>
    </xf>
    <xf numFmtId="164" fontId="29" fillId="0" borderId="15" xfId="43" applyNumberFormat="1" applyFont="1" applyBorder="1" applyAlignment="1">
      <alignment horizontal="center"/>
    </xf>
    <xf numFmtId="164" fontId="20" fillId="0" borderId="16" xfId="43" applyNumberFormat="1" applyFont="1" applyBorder="1"/>
    <xf numFmtId="164" fontId="20" fillId="0" borderId="45" xfId="43" applyNumberFormat="1" applyFont="1" applyBorder="1"/>
    <xf numFmtId="164" fontId="20" fillId="0" borderId="18" xfId="43" applyNumberFormat="1" applyFont="1" applyBorder="1"/>
    <xf numFmtId="164" fontId="34" fillId="0" borderId="10" xfId="43" applyNumberFormat="1" applyFont="1" applyBorder="1" applyAlignment="1">
      <alignment horizontal="center"/>
    </xf>
    <xf numFmtId="164" fontId="22" fillId="0" borderId="18" xfId="43" applyNumberFormat="1" applyFont="1" applyBorder="1"/>
    <xf numFmtId="164" fontId="22" fillId="0" borderId="0" xfId="43" applyNumberFormat="1" applyFont="1" applyFill="1" applyBorder="1" applyAlignment="1">
      <alignment horizontal="center"/>
    </xf>
    <xf numFmtId="164" fontId="22" fillId="0" borderId="16" xfId="43" applyNumberFormat="1" applyFont="1" applyFill="1" applyBorder="1" applyAlignment="1">
      <alignment horizontal="center"/>
    </xf>
    <xf numFmtId="164" fontId="31" fillId="0" borderId="15" xfId="43" applyNumberFormat="1" applyFont="1" applyFill="1" applyBorder="1" applyAlignment="1">
      <alignment horizontal="center"/>
    </xf>
    <xf numFmtId="164" fontId="29" fillId="0" borderId="15" xfId="43" applyNumberFormat="1" applyFont="1" applyBorder="1" applyAlignment="1">
      <alignment horizontal="center" vertical="center"/>
    </xf>
    <xf numFmtId="164" fontId="34" fillId="0" borderId="15" xfId="43" applyNumberFormat="1" applyFont="1" applyFill="1" applyBorder="1" applyAlignment="1">
      <alignment horizontal="center"/>
    </xf>
    <xf numFmtId="164" fontId="30" fillId="0" borderId="36" xfId="43" applyNumberFormat="1" applyFont="1" applyBorder="1"/>
    <xf numFmtId="164" fontId="26" fillId="0" borderId="12" xfId="43" applyNumberFormat="1" applyFont="1" applyBorder="1" applyAlignment="1">
      <alignment horizontal="center"/>
    </xf>
    <xf numFmtId="164" fontId="20" fillId="0" borderId="0" xfId="43" applyNumberFormat="1" applyFont="1" applyFill="1"/>
    <xf numFmtId="164" fontId="30" fillId="0" borderId="17" xfId="43" applyNumberFormat="1" applyFont="1" applyFill="1" applyBorder="1"/>
    <xf numFmtId="165" fontId="22" fillId="0" borderId="36" xfId="43" applyNumberFormat="1" applyFont="1" applyBorder="1" applyAlignment="1">
      <alignment horizontal="center"/>
    </xf>
    <xf numFmtId="165" fontId="22" fillId="0" borderId="0" xfId="43" applyNumberFormat="1" applyFont="1" applyBorder="1"/>
    <xf numFmtId="165" fontId="22" fillId="0" borderId="15" xfId="43" applyNumberFormat="1" applyFont="1" applyBorder="1"/>
    <xf numFmtId="165" fontId="22" fillId="0" borderId="19" xfId="43" applyNumberFormat="1" applyFont="1" applyBorder="1"/>
    <xf numFmtId="165" fontId="22" fillId="0" borderId="50" xfId="43" applyNumberFormat="1" applyFont="1" applyBorder="1"/>
    <xf numFmtId="164" fontId="22" fillId="0" borderId="36" xfId="43" applyNumberFormat="1" applyFont="1" applyBorder="1" applyAlignment="1">
      <alignment horizontal="center"/>
    </xf>
    <xf numFmtId="164" fontId="22" fillId="0" borderId="19" xfId="43" applyNumberFormat="1" applyFont="1" applyBorder="1"/>
    <xf numFmtId="166" fontId="20" fillId="0" borderId="0" xfId="43" applyNumberFormat="1" applyFont="1"/>
    <xf numFmtId="164" fontId="20" fillId="0" borderId="0" xfId="43" applyNumberFormat="1" applyFont="1" applyAlignment="1">
      <alignment horizontal="right"/>
    </xf>
    <xf numFmtId="49" fontId="28" fillId="0" borderId="15" xfId="43" applyNumberFormat="1" applyFont="1" applyBorder="1" applyAlignment="1">
      <alignment horizontal="center" vertical="center"/>
    </xf>
    <xf numFmtId="49" fontId="28" fillId="0" borderId="44" xfId="43" applyNumberFormat="1" applyFont="1" applyBorder="1" applyAlignment="1">
      <alignment horizontal="center"/>
    </xf>
    <xf numFmtId="49" fontId="28" fillId="0" borderId="17" xfId="43" applyNumberFormat="1" applyFont="1" applyBorder="1" applyAlignment="1">
      <alignment horizontal="center"/>
    </xf>
    <xf numFmtId="49" fontId="22" fillId="0" borderId="0" xfId="43" applyNumberFormat="1" applyFont="1" applyBorder="1"/>
    <xf numFmtId="49" fontId="22" fillId="0" borderId="20" xfId="43" applyNumberFormat="1" applyFont="1" applyFill="1" applyBorder="1" applyAlignment="1">
      <alignment horizontal="center"/>
    </xf>
    <xf numFmtId="49" fontId="22" fillId="0" borderId="20" xfId="43" applyNumberFormat="1" applyFont="1" applyBorder="1" applyAlignment="1">
      <alignment horizontal="center"/>
    </xf>
    <xf numFmtId="49" fontId="22" fillId="0" borderId="16" xfId="43" applyNumberFormat="1" applyFont="1" applyBorder="1"/>
    <xf numFmtId="49" fontId="20" fillId="0" borderId="25" xfId="43" applyNumberFormat="1" applyFont="1" applyBorder="1"/>
    <xf numFmtId="49" fontId="20" fillId="0" borderId="26" xfId="43" applyNumberFormat="1" applyFont="1" applyBorder="1"/>
    <xf numFmtId="49" fontId="22" fillId="0" borderId="21" xfId="43" applyNumberFormat="1" applyFont="1" applyBorder="1"/>
    <xf numFmtId="49" fontId="22" fillId="0" borderId="15" xfId="43" applyNumberFormat="1" applyFont="1" applyBorder="1"/>
    <xf numFmtId="49" fontId="22" fillId="0" borderId="27" xfId="43" applyNumberFormat="1" applyFont="1" applyBorder="1"/>
    <xf numFmtId="49" fontId="22" fillId="0" borderId="34" xfId="43" applyNumberFormat="1" applyFont="1" applyBorder="1" applyAlignment="1">
      <alignment horizontal="center"/>
    </xf>
    <xf numFmtId="49" fontId="22" fillId="0" borderId="30" xfId="43" applyNumberFormat="1" applyFont="1" applyBorder="1" applyAlignment="1">
      <alignment horizontal="center"/>
    </xf>
    <xf numFmtId="49" fontId="22" fillId="0" borderId="31" xfId="43" applyNumberFormat="1" applyFont="1" applyBorder="1" applyAlignment="1">
      <alignment horizontal="center"/>
    </xf>
    <xf numFmtId="49" fontId="22" fillId="0" borderId="32" xfId="43" applyNumberFormat="1" applyFont="1" applyBorder="1" applyAlignment="1">
      <alignment horizontal="center"/>
    </xf>
    <xf numFmtId="49" fontId="22" fillId="0" borderId="33" xfId="43" applyNumberFormat="1" applyFont="1" applyBorder="1" applyAlignment="1">
      <alignment horizontal="center"/>
    </xf>
    <xf numFmtId="49" fontId="22" fillId="0" borderId="28" xfId="43" applyNumberFormat="1" applyFont="1" applyBorder="1" applyAlignment="1">
      <alignment horizontal="center"/>
    </xf>
    <xf numFmtId="49" fontId="22" fillId="0" borderId="26" xfId="43" applyNumberFormat="1" applyFont="1" applyBorder="1" applyAlignment="1">
      <alignment horizontal="center"/>
    </xf>
    <xf numFmtId="49" fontId="22" fillId="0" borderId="37" xfId="43" applyNumberFormat="1" applyFont="1" applyBorder="1" applyAlignment="1">
      <alignment horizontal="center"/>
    </xf>
    <xf numFmtId="49" fontId="22" fillId="0" borderId="27" xfId="43" applyNumberFormat="1" applyFont="1" applyBorder="1" applyAlignment="1">
      <alignment horizontal="center"/>
    </xf>
    <xf numFmtId="164" fontId="20" fillId="0" borderId="0" xfId="43" applyNumberFormat="1" applyFont="1" applyAlignment="1">
      <alignment horizontal="right"/>
    </xf>
    <xf numFmtId="3" fontId="22" fillId="0" borderId="17" xfId="44" applyNumberFormat="1" applyFont="1" applyFill="1" applyBorder="1" applyAlignment="1">
      <alignment horizontal="right"/>
    </xf>
    <xf numFmtId="3" fontId="22" fillId="0" borderId="0" xfId="44" applyNumberFormat="1" applyFont="1" applyFill="1" applyBorder="1"/>
    <xf numFmtId="3" fontId="22" fillId="0" borderId="15" xfId="44" applyNumberFormat="1" applyFont="1" applyFill="1" applyBorder="1"/>
    <xf numFmtId="3" fontId="22" fillId="0" borderId="0" xfId="44" applyNumberFormat="1" applyFont="1" applyBorder="1"/>
    <xf numFmtId="3" fontId="22" fillId="0" borderId="15" xfId="0" applyNumberFormat="1" applyFont="1" applyBorder="1"/>
    <xf numFmtId="3" fontId="22" fillId="0" borderId="19" xfId="0" applyNumberFormat="1" applyFont="1" applyBorder="1"/>
    <xf numFmtId="3" fontId="22" fillId="0" borderId="17" xfId="44" applyNumberFormat="1" applyFont="1" applyBorder="1" applyAlignment="1">
      <alignment horizontal="right"/>
    </xf>
    <xf numFmtId="3" fontId="22" fillId="0" borderId="15" xfId="44" applyNumberFormat="1" applyFont="1" applyBorder="1"/>
    <xf numFmtId="3" fontId="29" fillId="0" borderId="30" xfId="44" applyNumberFormat="1" applyFont="1" applyBorder="1" applyAlignment="1">
      <alignment horizontal="right" vertical="center"/>
    </xf>
    <xf numFmtId="3" fontId="29" fillId="0" borderId="55" xfId="44" applyNumberFormat="1" applyFont="1" applyBorder="1" applyAlignment="1">
      <alignment horizontal="right" vertical="center"/>
    </xf>
    <xf numFmtId="3" fontId="29" fillId="0" borderId="32" xfId="44" applyNumberFormat="1" applyFont="1" applyBorder="1" applyAlignment="1">
      <alignment vertical="center"/>
    </xf>
    <xf numFmtId="3" fontId="29" fillId="0" borderId="34" xfId="44" applyNumberFormat="1" applyFont="1" applyBorder="1" applyAlignment="1">
      <alignment vertical="center"/>
    </xf>
    <xf numFmtId="3" fontId="29" fillId="0" borderId="55" xfId="44" applyNumberFormat="1" applyFont="1" applyBorder="1" applyAlignment="1">
      <alignment vertical="center"/>
    </xf>
    <xf numFmtId="3" fontId="29" fillId="0" borderId="34" xfId="0" applyNumberFormat="1" applyFont="1" applyBorder="1" applyAlignment="1">
      <alignment vertical="center"/>
    </xf>
    <xf numFmtId="3" fontId="29" fillId="0" borderId="37" xfId="0" applyNumberFormat="1" applyFont="1" applyBorder="1" applyAlignment="1">
      <alignment vertical="center"/>
    </xf>
    <xf numFmtId="3" fontId="22" fillId="0" borderId="56" xfId="44" applyNumberFormat="1" applyFont="1" applyBorder="1" applyAlignment="1">
      <alignment horizontal="right"/>
    </xf>
    <xf numFmtId="3" fontId="29" fillId="0" borderId="32" xfId="44" applyNumberFormat="1" applyFont="1" applyBorder="1" applyAlignment="1">
      <alignment horizontal="right" vertical="center"/>
    </xf>
    <xf numFmtId="3" fontId="29" fillId="0" borderId="34" xfId="44" applyNumberFormat="1" applyFont="1" applyBorder="1" applyAlignment="1">
      <alignment horizontal="right" vertical="center"/>
    </xf>
    <xf numFmtId="3" fontId="29" fillId="0" borderId="34" xfId="0" applyNumberFormat="1" applyFont="1" applyBorder="1" applyAlignment="1">
      <alignment horizontal="right" vertical="center"/>
    </xf>
    <xf numFmtId="3" fontId="29" fillId="0" borderId="37" xfId="0" applyNumberFormat="1" applyFont="1" applyBorder="1" applyAlignment="1">
      <alignment horizontal="right" vertical="center"/>
    </xf>
    <xf numFmtId="3" fontId="29" fillId="0" borderId="57" xfId="44" applyNumberFormat="1" applyFont="1" applyBorder="1" applyAlignment="1">
      <alignment horizontal="right" vertical="center"/>
    </xf>
    <xf numFmtId="3" fontId="29" fillId="0" borderId="17" xfId="44" applyNumberFormat="1" applyFont="1" applyBorder="1" applyAlignment="1">
      <alignment horizontal="right"/>
    </xf>
    <xf numFmtId="3" fontId="29" fillId="0" borderId="0" xfId="44" applyNumberFormat="1" applyFont="1" applyFill="1" applyBorder="1" applyAlignment="1"/>
    <xf numFmtId="3" fontId="29" fillId="0" borderId="15" xfId="44" applyNumberFormat="1" applyFont="1" applyFill="1" applyBorder="1" applyAlignment="1"/>
    <xf numFmtId="3" fontId="29" fillId="0" borderId="0" xfId="44" applyNumberFormat="1" applyFont="1" applyBorder="1" applyAlignment="1">
      <alignment horizontal="right"/>
    </xf>
    <xf numFmtId="3" fontId="29" fillId="0" borderId="15" xfId="0" applyNumberFormat="1" applyFont="1" applyBorder="1" applyAlignment="1">
      <alignment horizontal="right"/>
    </xf>
    <xf numFmtId="3" fontId="29" fillId="0" borderId="19" xfId="0" applyNumberFormat="1" applyFont="1" applyBorder="1" applyAlignment="1">
      <alignment horizontal="right"/>
    </xf>
    <xf numFmtId="3" fontId="31" fillId="0" borderId="30" xfId="44" applyNumberFormat="1" applyFont="1" applyBorder="1" applyAlignment="1">
      <alignment horizontal="right"/>
    </xf>
    <xf numFmtId="3" fontId="31" fillId="0" borderId="28" xfId="44" applyNumberFormat="1" applyFont="1" applyFill="1" applyBorder="1" applyAlignment="1"/>
    <xf numFmtId="3" fontId="31" fillId="0" borderId="33" xfId="44" applyNumberFormat="1" applyFont="1" applyFill="1" applyBorder="1" applyAlignment="1"/>
    <xf numFmtId="3" fontId="31" fillId="0" borderId="33" xfId="44" applyNumberFormat="1" applyFont="1" applyFill="1" applyBorder="1" applyAlignment="1">
      <alignment horizontal="right"/>
    </xf>
    <xf numFmtId="3" fontId="31" fillId="0" borderId="34" xfId="44" applyNumberFormat="1" applyFont="1" applyFill="1" applyBorder="1" applyAlignment="1">
      <alignment horizontal="right"/>
    </xf>
    <xf numFmtId="3" fontId="29" fillId="0" borderId="33" xfId="44" applyNumberFormat="1" applyFont="1" applyBorder="1" applyAlignment="1">
      <alignment horizontal="right"/>
    </xf>
    <xf numFmtId="3" fontId="29" fillId="0" borderId="34" xfId="0" applyNumberFormat="1" applyFont="1" applyBorder="1" applyAlignment="1">
      <alignment horizontal="right"/>
    </xf>
    <xf numFmtId="3" fontId="29" fillId="0" borderId="37" xfId="0" applyNumberFormat="1" applyFont="1" applyBorder="1" applyAlignment="1">
      <alignment horizontal="right"/>
    </xf>
    <xf numFmtId="3" fontId="22" fillId="0" borderId="17" xfId="43" applyNumberFormat="1" applyFont="1" applyBorder="1" applyAlignment="1">
      <alignment horizontal="right"/>
    </xf>
    <xf numFmtId="3" fontId="22" fillId="0" borderId="0" xfId="43" applyNumberFormat="1" applyFont="1" applyBorder="1"/>
    <xf numFmtId="3" fontId="22" fillId="0" borderId="19" xfId="43" applyNumberFormat="1" applyFont="1" applyBorder="1"/>
    <xf numFmtId="3" fontId="22" fillId="0" borderId="15" xfId="43" applyNumberFormat="1" applyFont="1" applyBorder="1"/>
    <xf numFmtId="3" fontId="29" fillId="0" borderId="40" xfId="43" applyNumberFormat="1" applyFont="1" applyBorder="1" applyAlignment="1">
      <alignment horizontal="right"/>
    </xf>
    <xf numFmtId="3" fontId="22" fillId="0" borderId="44" xfId="43" applyNumberFormat="1" applyFont="1" applyBorder="1" applyAlignment="1">
      <alignment horizontal="right"/>
    </xf>
    <xf numFmtId="3" fontId="22" fillId="0" borderId="43" xfId="43" applyNumberFormat="1" applyFont="1" applyBorder="1"/>
    <xf numFmtId="3" fontId="22" fillId="0" borderId="47" xfId="43" applyNumberFormat="1" applyFont="1" applyBorder="1"/>
    <xf numFmtId="3" fontId="22" fillId="0" borderId="25" xfId="43" applyNumberFormat="1" applyFont="1" applyBorder="1"/>
    <xf numFmtId="3" fontId="31" fillId="0" borderId="30" xfId="43" applyNumberFormat="1" applyFont="1" applyBorder="1" applyAlignment="1">
      <alignment horizontal="right"/>
    </xf>
    <xf numFmtId="3" fontId="22" fillId="0" borderId="28" xfId="43" applyNumberFormat="1" applyFont="1" applyBorder="1"/>
    <xf numFmtId="3" fontId="22" fillId="0" borderId="29" xfId="43" applyNumberFormat="1" applyFont="1" applyBorder="1"/>
    <xf numFmtId="3" fontId="22" fillId="0" borderId="32" xfId="43" applyNumberFormat="1" applyFont="1" applyBorder="1"/>
    <xf numFmtId="3" fontId="22" fillId="0" borderId="37" xfId="43" applyNumberFormat="1" applyFont="1" applyBorder="1"/>
    <xf numFmtId="3" fontId="22" fillId="0" borderId="33" xfId="43" applyNumberFormat="1" applyFont="1" applyBorder="1"/>
    <xf numFmtId="3" fontId="22" fillId="0" borderId="34" xfId="43" applyNumberFormat="1" applyFont="1" applyBorder="1"/>
    <xf numFmtId="3" fontId="36" fillId="0" borderId="40" xfId="43" applyNumberFormat="1" applyFont="1" applyBorder="1" applyAlignment="1">
      <alignment horizontal="right"/>
    </xf>
    <xf numFmtId="3" fontId="36" fillId="0" borderId="54" xfId="43" applyNumberFormat="1" applyFont="1" applyBorder="1" applyAlignment="1">
      <alignment horizontal="right"/>
    </xf>
    <xf numFmtId="3" fontId="36" fillId="0" borderId="42" xfId="43" applyNumberFormat="1" applyFont="1" applyBorder="1" applyAlignment="1">
      <alignment horizontal="right"/>
    </xf>
    <xf numFmtId="3" fontId="36" fillId="0" borderId="39" xfId="43" applyNumberFormat="1" applyFont="1" applyBorder="1" applyAlignment="1">
      <alignment horizontal="right"/>
    </xf>
    <xf numFmtId="3" fontId="22" fillId="0" borderId="0" xfId="43" applyNumberFormat="1" applyFont="1" applyAlignment="1">
      <alignment horizontal="right"/>
    </xf>
    <xf numFmtId="3" fontId="22" fillId="0" borderId="0" xfId="43" applyNumberFormat="1" applyFont="1"/>
    <xf numFmtId="3" fontId="20" fillId="0" borderId="0" xfId="43" applyNumberFormat="1" applyFont="1" applyAlignment="1">
      <alignment horizontal="right"/>
    </xf>
    <xf numFmtId="3" fontId="22" fillId="0" borderId="51" xfId="43" applyNumberFormat="1" applyFont="1" applyBorder="1"/>
    <xf numFmtId="3" fontId="29" fillId="0" borderId="30" xfId="43" applyNumberFormat="1" applyFont="1" applyBorder="1" applyAlignment="1">
      <alignment horizontal="right"/>
    </xf>
    <xf numFmtId="3" fontId="29" fillId="0" borderId="28" xfId="43" applyNumberFormat="1" applyFont="1" applyBorder="1" applyAlignment="1">
      <alignment horizontal="right"/>
    </xf>
    <xf numFmtId="3" fontId="29" fillId="0" borderId="32" xfId="43" applyNumberFormat="1" applyFont="1" applyBorder="1" applyAlignment="1">
      <alignment horizontal="right"/>
    </xf>
    <xf numFmtId="3" fontId="29" fillId="0" borderId="37" xfId="43" applyNumberFormat="1" applyFont="1" applyBorder="1" applyAlignment="1">
      <alignment horizontal="right"/>
    </xf>
    <xf numFmtId="3" fontId="22" fillId="0" borderId="36" xfId="43" applyNumberFormat="1" applyFont="1" applyBorder="1" applyAlignment="1">
      <alignment horizontal="right"/>
    </xf>
    <xf numFmtId="3" fontId="29" fillId="0" borderId="58" xfId="43" applyNumberFormat="1" applyFont="1" applyBorder="1" applyAlignment="1">
      <alignment horizontal="right"/>
    </xf>
    <xf numFmtId="3" fontId="29" fillId="0" borderId="17" xfId="43" applyNumberFormat="1" applyFont="1" applyBorder="1" applyAlignment="1">
      <alignment horizontal="right"/>
    </xf>
    <xf numFmtId="3" fontId="29" fillId="0" borderId="0" xfId="43" applyNumberFormat="1" applyFont="1" applyBorder="1" applyAlignment="1">
      <alignment horizontal="right"/>
    </xf>
    <xf numFmtId="3" fontId="29" fillId="0" borderId="51" xfId="43" applyNumberFormat="1" applyFont="1" applyBorder="1" applyAlignment="1">
      <alignment horizontal="right"/>
    </xf>
    <xf numFmtId="3" fontId="29" fillId="0" borderId="15" xfId="43" applyNumberFormat="1" applyFont="1" applyBorder="1" applyAlignment="1">
      <alignment horizontal="right"/>
    </xf>
    <xf numFmtId="3" fontId="29" fillId="0" borderId="19" xfId="43" applyNumberFormat="1" applyFont="1" applyBorder="1" applyAlignment="1">
      <alignment horizontal="right"/>
    </xf>
    <xf numFmtId="3" fontId="22" fillId="0" borderId="30" xfId="43" applyNumberFormat="1" applyFont="1" applyBorder="1" applyAlignment="1">
      <alignment horizontal="right"/>
    </xf>
    <xf numFmtId="3" fontId="22" fillId="0" borderId="29" xfId="43" applyNumberFormat="1" applyFont="1" applyBorder="1" applyAlignment="1">
      <alignment horizontal="right"/>
    </xf>
    <xf numFmtId="3" fontId="29" fillId="0" borderId="34" xfId="43" applyNumberFormat="1" applyFont="1" applyBorder="1" applyAlignment="1">
      <alignment horizontal="right"/>
    </xf>
    <xf numFmtId="3" fontId="22" fillId="0" borderId="32" xfId="43" applyNumberFormat="1" applyFont="1" applyBorder="1" applyAlignment="1">
      <alignment horizontal="right"/>
    </xf>
    <xf numFmtId="3" fontId="31" fillId="0" borderId="35" xfId="43" applyNumberFormat="1" applyFont="1" applyBorder="1" applyAlignment="1">
      <alignment horizontal="right"/>
    </xf>
    <xf numFmtId="3" fontId="22" fillId="0" borderId="35" xfId="43" applyNumberFormat="1" applyFont="1" applyBorder="1" applyAlignment="1">
      <alignment horizontal="right"/>
    </xf>
    <xf numFmtId="3" fontId="31" fillId="0" borderId="37" xfId="43" applyNumberFormat="1" applyFont="1" applyBorder="1" applyAlignment="1">
      <alignment horizontal="right"/>
    </xf>
    <xf numFmtId="3" fontId="36" fillId="0" borderId="53" xfId="43" applyNumberFormat="1" applyFont="1" applyBorder="1"/>
    <xf numFmtId="3" fontId="36" fillId="0" borderId="40" xfId="43" applyNumberFormat="1" applyFont="1" applyBorder="1"/>
    <xf numFmtId="3" fontId="22" fillId="0" borderId="48" xfId="43" applyNumberFormat="1" applyFont="1" applyBorder="1"/>
    <xf numFmtId="3" fontId="22" fillId="0" borderId="52" xfId="43" applyNumberFormat="1" applyFont="1" applyBorder="1"/>
    <xf numFmtId="3" fontId="22" fillId="0" borderId="35" xfId="43" applyNumberFormat="1" applyFont="1" applyBorder="1"/>
    <xf numFmtId="3" fontId="22" fillId="0" borderId="38" xfId="43" applyNumberFormat="1" applyFont="1" applyBorder="1"/>
    <xf numFmtId="3" fontId="22" fillId="0" borderId="49" xfId="43" applyNumberFormat="1" applyFont="1" applyBorder="1"/>
    <xf numFmtId="3" fontId="20" fillId="0" borderId="0" xfId="43" applyNumberFormat="1" applyFont="1"/>
    <xf numFmtId="3" fontId="29" fillId="0" borderId="0" xfId="43" applyNumberFormat="1" applyFont="1"/>
    <xf numFmtId="164" fontId="26" fillId="0" borderId="0" xfId="43" applyNumberFormat="1" applyFont="1"/>
    <xf numFmtId="164" fontId="20" fillId="0" borderId="0" xfId="43" applyNumberFormat="1" applyFont="1" applyAlignment="1">
      <alignment horizontal="right"/>
    </xf>
    <xf numFmtId="164" fontId="26" fillId="0" borderId="0" xfId="43" applyNumberFormat="1" applyFont="1" applyAlignment="1">
      <alignment horizontal="center"/>
    </xf>
    <xf numFmtId="164" fontId="26" fillId="0" borderId="41" xfId="43" applyNumberFormat="1" applyFont="1" applyBorder="1" applyAlignment="1">
      <alignment horizontal="center"/>
    </xf>
    <xf numFmtId="164" fontId="26" fillId="0" borderId="13" xfId="43" applyNumberFormat="1" applyFont="1" applyBorder="1" applyAlignment="1">
      <alignment horizontal="center"/>
    </xf>
    <xf numFmtId="164" fontId="24" fillId="0" borderId="23" xfId="43" applyNumberFormat="1" applyFont="1" applyBorder="1" applyAlignment="1">
      <alignment horizontal="center"/>
    </xf>
    <xf numFmtId="164" fontId="24" fillId="0" borderId="22" xfId="43" applyNumberFormat="1" applyFont="1" applyBorder="1" applyAlignment="1">
      <alignment horizontal="center"/>
    </xf>
    <xf numFmtId="164" fontId="24" fillId="0" borderId="24" xfId="43" applyNumberFormat="1" applyFont="1" applyBorder="1" applyAlignment="1">
      <alignment horizontal="center"/>
    </xf>
    <xf numFmtId="164" fontId="26" fillId="0" borderId="14" xfId="43" applyNumberFormat="1" applyFont="1" applyBorder="1" applyAlignment="1">
      <alignment horizontal="center"/>
    </xf>
    <xf numFmtId="164" fontId="26" fillId="0" borderId="12" xfId="43" applyNumberFormat="1" applyFont="1" applyBorder="1" applyAlignment="1">
      <alignment horizontal="center"/>
    </xf>
    <xf numFmtId="164" fontId="35" fillId="0" borderId="12" xfId="43" applyNumberFormat="1" applyFont="1" applyBorder="1" applyAlignment="1">
      <alignment horizontal="center"/>
    </xf>
    <xf numFmtId="164" fontId="35" fillId="0" borderId="41" xfId="43" applyNumberFormat="1" applyFont="1" applyBorder="1" applyAlignment="1">
      <alignment horizontal="center"/>
    </xf>
    <xf numFmtId="164" fontId="35" fillId="0" borderId="13" xfId="43" applyNumberFormat="1" applyFont="1" applyBorder="1" applyAlignment="1">
      <alignment horizontal="center"/>
    </xf>
  </cellXfs>
  <cellStyles count="45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43" builtinId="3"/>
    <cellStyle name="Ezres 3" xfId="44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(1)" xfId="29"/>
    <cellStyle name="Jelölőszín (2)" xfId="30"/>
    <cellStyle name="Jelölőszín (3)" xfId="31"/>
    <cellStyle name="Jelölőszín (4)" xfId="32"/>
    <cellStyle name="Jelölőszín (5)" xfId="33"/>
    <cellStyle name="Jelölőszín (6)" xfId="34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al_KARSZJ3" xfId="38"/>
    <cellStyle name="Összesen" xfId="39" builtinId="25" customBuiltin="1"/>
    <cellStyle name="Rossz" xfId="40" builtinId="27" customBuiltin="1"/>
    <cellStyle name="Semleges" xfId="41" builtinId="28" customBuiltin="1"/>
    <cellStyle name="Számítás" xfId="42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8"/>
  <sheetViews>
    <sheetView tabSelected="1" zoomScale="110" zoomScaleNormal="110" workbookViewId="0">
      <pane xSplit="3" ySplit="17" topLeftCell="D18" activePane="bottomRight" state="frozen"/>
      <selection activeCell="M1" sqref="M1:M65536"/>
      <selection pane="topRight" activeCell="M1" sqref="M1:M65536"/>
      <selection pane="bottomLeft" activeCell="M1" sqref="M1:M65536"/>
      <selection pane="bottomRight" activeCell="L1" sqref="L1:M1"/>
    </sheetView>
  </sheetViews>
  <sheetFormatPr defaultRowHeight="12.75" x14ac:dyDescent="0.2"/>
  <cols>
    <col min="1" max="1" width="7.85546875" style="1" bestFit="1" customWidth="1"/>
    <col min="2" max="2" width="30.7109375" style="1" customWidth="1"/>
    <col min="3" max="3" width="12.5703125" style="1" bestFit="1" customWidth="1"/>
    <col min="4" max="5" width="10.7109375" style="1" customWidth="1"/>
    <col min="6" max="6" width="12.5703125" style="1" bestFit="1" customWidth="1"/>
    <col min="7" max="12" width="10.7109375" style="1" customWidth="1"/>
    <col min="13" max="13" width="11.5703125" style="1" customWidth="1"/>
    <col min="14" max="14" width="8.7109375" style="1" customWidth="1"/>
    <col min="15" max="16" width="7.7109375" style="1" customWidth="1"/>
    <col min="17" max="16384" width="9.140625" style="1"/>
  </cols>
  <sheetData>
    <row r="1" spans="1:15" x14ac:dyDescent="0.2">
      <c r="L1" s="205" t="s">
        <v>96</v>
      </c>
      <c r="M1" s="205"/>
    </row>
    <row r="2" spans="1:15" x14ac:dyDescent="0.2">
      <c r="M2" s="2"/>
    </row>
    <row r="3" spans="1:15" x14ac:dyDescent="0.2">
      <c r="M3" s="2"/>
    </row>
    <row r="4" spans="1:15" x14ac:dyDescent="0.2">
      <c r="A4" s="206" t="s">
        <v>85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</row>
    <row r="5" spans="1:15" hidden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5"/>
    </row>
    <row r="6" spans="1:15" x14ac:dyDescent="0.2">
      <c r="A6" s="206" t="s">
        <v>94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4"/>
      <c r="O6" s="5"/>
    </row>
    <row r="7" spans="1:15" x14ac:dyDescent="0.2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6"/>
      <c r="N7" s="4"/>
      <c r="O7" s="5"/>
    </row>
    <row r="8" spans="1:15" ht="13.5" thickBot="1" x14ac:dyDescent="0.25">
      <c r="A8" s="3"/>
      <c r="B8" s="4"/>
      <c r="C8" s="4"/>
      <c r="D8" s="4"/>
      <c r="E8" s="7"/>
      <c r="F8" s="4"/>
      <c r="G8" s="4"/>
      <c r="H8" s="4"/>
      <c r="I8" s="4"/>
      <c r="J8" s="4"/>
      <c r="K8" s="4"/>
      <c r="L8" s="4"/>
      <c r="M8" s="8" t="s">
        <v>95</v>
      </c>
      <c r="N8" s="4"/>
      <c r="O8" s="5"/>
    </row>
    <row r="9" spans="1:15" ht="13.5" thickBot="1" x14ac:dyDescent="0.25">
      <c r="A9" s="9"/>
      <c r="B9" s="10"/>
      <c r="C9" s="10"/>
      <c r="D9" s="207" t="s">
        <v>0</v>
      </c>
      <c r="E9" s="207"/>
      <c r="F9" s="207"/>
      <c r="G9" s="207"/>
      <c r="H9" s="207"/>
      <c r="I9" s="207"/>
      <c r="J9" s="207"/>
      <c r="K9" s="208"/>
      <c r="L9" s="11" t="s">
        <v>1</v>
      </c>
      <c r="M9" s="12"/>
    </row>
    <row r="10" spans="1:15" ht="13.5" thickBot="1" x14ac:dyDescent="0.25">
      <c r="A10" s="13"/>
      <c r="B10" s="14"/>
      <c r="C10" s="14"/>
      <c r="D10" s="209" t="s">
        <v>61</v>
      </c>
      <c r="E10" s="209"/>
      <c r="F10" s="209"/>
      <c r="G10" s="209"/>
      <c r="H10" s="209"/>
      <c r="I10" s="210" t="s">
        <v>62</v>
      </c>
      <c r="J10" s="209"/>
      <c r="K10" s="211"/>
      <c r="L10" s="15"/>
      <c r="M10" s="16"/>
    </row>
    <row r="11" spans="1:15" ht="12.75" customHeight="1" x14ac:dyDescent="0.2">
      <c r="A11" s="17"/>
      <c r="B11" s="18"/>
      <c r="C11" s="19" t="s">
        <v>2</v>
      </c>
      <c r="D11" s="20"/>
      <c r="E11" s="21" t="s">
        <v>3</v>
      </c>
      <c r="F11" s="21"/>
      <c r="G11" s="22"/>
      <c r="H11" s="22"/>
      <c r="I11" s="9"/>
      <c r="J11" s="23"/>
      <c r="K11" s="24"/>
      <c r="L11" s="25"/>
      <c r="M11" s="26"/>
    </row>
    <row r="12" spans="1:15" x14ac:dyDescent="0.2">
      <c r="A12" s="17"/>
      <c r="B12" s="19" t="s">
        <v>59</v>
      </c>
      <c r="C12" s="19" t="s">
        <v>4</v>
      </c>
      <c r="D12" s="27" t="s">
        <v>5</v>
      </c>
      <c r="E12" s="21" t="s">
        <v>6</v>
      </c>
      <c r="F12" s="21" t="s">
        <v>7</v>
      </c>
      <c r="G12" s="22" t="s">
        <v>8</v>
      </c>
      <c r="H12" s="22" t="s">
        <v>46</v>
      </c>
      <c r="I12" s="25" t="s">
        <v>10</v>
      </c>
      <c r="J12" s="28" t="s">
        <v>11</v>
      </c>
      <c r="K12" s="29" t="s">
        <v>46</v>
      </c>
      <c r="L12" s="25" t="s">
        <v>9</v>
      </c>
      <c r="M12" s="26" t="s">
        <v>12</v>
      </c>
    </row>
    <row r="13" spans="1:15" x14ac:dyDescent="0.2">
      <c r="A13" s="30"/>
      <c r="B13" s="19" t="s">
        <v>19</v>
      </c>
      <c r="C13" s="19" t="s">
        <v>13</v>
      </c>
      <c r="D13" s="27" t="s">
        <v>14</v>
      </c>
      <c r="E13" s="21" t="s">
        <v>52</v>
      </c>
      <c r="F13" s="21" t="s">
        <v>4</v>
      </c>
      <c r="G13" s="22" t="s">
        <v>15</v>
      </c>
      <c r="H13" s="22" t="s">
        <v>50</v>
      </c>
      <c r="I13" s="25"/>
      <c r="J13" s="28"/>
      <c r="K13" s="29" t="s">
        <v>17</v>
      </c>
      <c r="L13" s="25" t="s">
        <v>16</v>
      </c>
      <c r="M13" s="26" t="s">
        <v>16</v>
      </c>
    </row>
    <row r="14" spans="1:15" x14ac:dyDescent="0.2">
      <c r="A14" s="31" t="s">
        <v>18</v>
      </c>
      <c r="B14" s="19"/>
      <c r="C14" s="18"/>
      <c r="D14" s="20"/>
      <c r="E14" s="28" t="s">
        <v>20</v>
      </c>
      <c r="F14" s="21"/>
      <c r="G14" s="22" t="s">
        <v>21</v>
      </c>
      <c r="H14" s="22" t="s">
        <v>16</v>
      </c>
      <c r="I14" s="13"/>
      <c r="J14" s="32"/>
      <c r="K14" s="29" t="s">
        <v>16</v>
      </c>
      <c r="L14" s="25"/>
      <c r="M14" s="26"/>
    </row>
    <row r="15" spans="1:15" x14ac:dyDescent="0.2">
      <c r="A15" s="33"/>
      <c r="B15" s="19"/>
      <c r="C15" s="18"/>
      <c r="D15" s="20"/>
      <c r="E15" s="28" t="s">
        <v>23</v>
      </c>
      <c r="F15" s="21"/>
      <c r="G15" s="22"/>
      <c r="H15" s="22" t="s">
        <v>4</v>
      </c>
      <c r="I15" s="34"/>
      <c r="J15" s="35"/>
      <c r="K15" s="29" t="s">
        <v>4</v>
      </c>
      <c r="L15" s="25"/>
      <c r="M15" s="26"/>
    </row>
    <row r="16" spans="1:15" x14ac:dyDescent="0.2">
      <c r="A16" s="96"/>
      <c r="B16" s="97"/>
      <c r="C16" s="98"/>
      <c r="D16" s="99"/>
      <c r="E16" s="100" t="s">
        <v>24</v>
      </c>
      <c r="F16" s="101"/>
      <c r="G16" s="99"/>
      <c r="H16" s="102"/>
      <c r="I16" s="103"/>
      <c r="J16" s="104"/>
      <c r="K16" s="105"/>
      <c r="L16" s="106"/>
      <c r="M16" s="107"/>
    </row>
    <row r="17" spans="1:18" x14ac:dyDescent="0.2">
      <c r="A17" s="108">
        <v>1</v>
      </c>
      <c r="B17" s="109">
        <v>2</v>
      </c>
      <c r="C17" s="109">
        <v>3</v>
      </c>
      <c r="D17" s="110">
        <v>4</v>
      </c>
      <c r="E17" s="111">
        <v>5</v>
      </c>
      <c r="F17" s="111">
        <v>6</v>
      </c>
      <c r="G17" s="111">
        <v>7</v>
      </c>
      <c r="H17" s="112">
        <v>8</v>
      </c>
      <c r="I17" s="113">
        <v>9</v>
      </c>
      <c r="J17" s="114">
        <v>10</v>
      </c>
      <c r="K17" s="115">
        <v>11</v>
      </c>
      <c r="L17" s="108">
        <v>12</v>
      </c>
      <c r="M17" s="116">
        <v>13</v>
      </c>
    </row>
    <row r="18" spans="1:18" x14ac:dyDescent="0.2">
      <c r="A18" s="42"/>
      <c r="B18" s="19"/>
      <c r="C18" s="92"/>
      <c r="D18" s="20"/>
      <c r="E18" s="20"/>
      <c r="F18" s="20"/>
      <c r="G18" s="20"/>
      <c r="H18" s="20"/>
      <c r="I18" s="13"/>
      <c r="J18" s="20"/>
      <c r="K18" s="93"/>
      <c r="L18" s="13"/>
      <c r="M18" s="93"/>
    </row>
    <row r="19" spans="1:18" x14ac:dyDescent="0.2">
      <c r="A19" s="42" t="s">
        <v>63</v>
      </c>
      <c r="B19" s="43" t="s">
        <v>26</v>
      </c>
      <c r="C19" s="118">
        <f>SUM(D19:M19)</f>
        <v>24635382</v>
      </c>
      <c r="D19" s="119">
        <f>1364405+3493133+1719786+4562000</f>
        <v>11139324</v>
      </c>
      <c r="E19" s="119">
        <f>211489+454118+223560+593060</f>
        <v>1482227</v>
      </c>
      <c r="F19" s="119">
        <v>1670032</v>
      </c>
      <c r="G19" s="119"/>
      <c r="H19" s="119">
        <v>8188649</v>
      </c>
      <c r="I19" s="120">
        <v>2155150</v>
      </c>
      <c r="J19" s="121"/>
      <c r="K19" s="121"/>
      <c r="L19" s="122"/>
      <c r="M19" s="123"/>
    </row>
    <row r="20" spans="1:18" x14ac:dyDescent="0.2">
      <c r="A20" s="13"/>
      <c r="B20" s="44"/>
      <c r="C20" s="124"/>
      <c r="D20" s="121"/>
      <c r="E20" s="121"/>
      <c r="F20" s="121"/>
      <c r="G20" s="121"/>
      <c r="H20" s="121"/>
      <c r="I20" s="125"/>
      <c r="J20" s="121"/>
      <c r="K20" s="121"/>
      <c r="L20" s="122"/>
      <c r="M20" s="123"/>
    </row>
    <row r="21" spans="1:18" x14ac:dyDescent="0.2">
      <c r="A21" s="45" t="s">
        <v>25</v>
      </c>
      <c r="B21" s="46" t="s">
        <v>79</v>
      </c>
      <c r="C21" s="126">
        <f>SUM(C19:C20)</f>
        <v>24635382</v>
      </c>
      <c r="D21" s="127">
        <f>SUM(D19:D20)</f>
        <v>11139324</v>
      </c>
      <c r="E21" s="128">
        <f>SUM(E19:E20)</f>
        <v>1482227</v>
      </c>
      <c r="F21" s="128">
        <f t="shared" ref="F21:M21" si="0">SUM(F19:F20)</f>
        <v>1670032</v>
      </c>
      <c r="G21" s="128">
        <f t="shared" si="0"/>
        <v>0</v>
      </c>
      <c r="H21" s="128">
        <f t="shared" si="0"/>
        <v>8188649</v>
      </c>
      <c r="I21" s="129">
        <f t="shared" si="0"/>
        <v>2155150</v>
      </c>
      <c r="J21" s="128">
        <f t="shared" si="0"/>
        <v>0</v>
      </c>
      <c r="K21" s="130">
        <f t="shared" si="0"/>
        <v>0</v>
      </c>
      <c r="L21" s="131">
        <f t="shared" si="0"/>
        <v>0</v>
      </c>
      <c r="M21" s="132">
        <f t="shared" si="0"/>
        <v>0</v>
      </c>
    </row>
    <row r="22" spans="1:18" x14ac:dyDescent="0.2">
      <c r="A22" s="13"/>
      <c r="B22" s="47"/>
      <c r="C22" s="133"/>
      <c r="D22" s="121"/>
      <c r="E22" s="121"/>
      <c r="F22" s="121"/>
      <c r="G22" s="121"/>
      <c r="H22" s="121"/>
      <c r="I22" s="125"/>
      <c r="J22" s="121"/>
      <c r="K22" s="121"/>
      <c r="L22" s="122"/>
      <c r="M22" s="123"/>
    </row>
    <row r="23" spans="1:18" x14ac:dyDescent="0.2">
      <c r="A23" s="42" t="s">
        <v>63</v>
      </c>
      <c r="B23" s="43" t="s">
        <v>27</v>
      </c>
      <c r="C23" s="118">
        <f t="shared" ref="C23:C34" si="1">SUM(D23:M23)</f>
        <v>3492343</v>
      </c>
      <c r="D23" s="119">
        <f>-1065884-278474+755056</f>
        <v>-589302</v>
      </c>
      <c r="E23" s="119">
        <f>-138565-36202+98157</f>
        <v>-76610</v>
      </c>
      <c r="F23" s="119">
        <f>1204449+314676+323809</f>
        <v>1842934</v>
      </c>
      <c r="G23" s="119"/>
      <c r="H23" s="119"/>
      <c r="I23" s="120">
        <v>2315321</v>
      </c>
      <c r="J23" s="119"/>
      <c r="K23" s="121"/>
      <c r="L23" s="122"/>
      <c r="M23" s="123"/>
    </row>
    <row r="24" spans="1:18" x14ac:dyDescent="0.2">
      <c r="A24" s="42" t="s">
        <v>64</v>
      </c>
      <c r="B24" s="43" t="s">
        <v>29</v>
      </c>
      <c r="C24" s="118">
        <f t="shared" si="1"/>
        <v>1317917</v>
      </c>
      <c r="D24" s="119">
        <f>-1370380-337051+989182</f>
        <v>-718249</v>
      </c>
      <c r="E24" s="119">
        <f>-178150-43817+128594</f>
        <v>-93373</v>
      </c>
      <c r="F24" s="119">
        <f>1548530+380868+100782</f>
        <v>2030180</v>
      </c>
      <c r="G24" s="119"/>
      <c r="H24" s="119"/>
      <c r="I24" s="120">
        <v>99359</v>
      </c>
      <c r="J24" s="119"/>
      <c r="K24" s="121"/>
      <c r="L24" s="122"/>
      <c r="M24" s="123"/>
    </row>
    <row r="25" spans="1:18" x14ac:dyDescent="0.2">
      <c r="A25" s="42" t="s">
        <v>65</v>
      </c>
      <c r="B25" s="43" t="s">
        <v>31</v>
      </c>
      <c r="C25" s="118">
        <f>SUM(D25:M25)</f>
        <v>2128331</v>
      </c>
      <c r="D25" s="119">
        <f>-993415-337051+200000</f>
        <v>-1130466</v>
      </c>
      <c r="E25" s="119">
        <f>-129144-43817+26000</f>
        <v>-146961</v>
      </c>
      <c r="F25" s="119">
        <f>1122559+380868+562331</f>
        <v>2065758</v>
      </c>
      <c r="G25" s="119"/>
      <c r="H25" s="119"/>
      <c r="I25" s="120">
        <v>1340000</v>
      </c>
      <c r="J25" s="119"/>
      <c r="K25" s="121"/>
      <c r="L25" s="122"/>
      <c r="M25" s="123"/>
    </row>
    <row r="26" spans="1:18" x14ac:dyDescent="0.2">
      <c r="A26" s="42" t="s">
        <v>66</v>
      </c>
      <c r="B26" s="43" t="s">
        <v>33</v>
      </c>
      <c r="C26" s="118">
        <f t="shared" si="1"/>
        <v>2523695</v>
      </c>
      <c r="D26" s="119">
        <f>-2361576-787192</f>
        <v>-3148768</v>
      </c>
      <c r="E26" s="119">
        <f>-307005-102335</f>
        <v>-409340</v>
      </c>
      <c r="F26" s="119">
        <f>2668581+889527+1723695</f>
        <v>5281803</v>
      </c>
      <c r="G26" s="119"/>
      <c r="H26" s="119"/>
      <c r="I26" s="120">
        <v>800000</v>
      </c>
      <c r="J26" s="119"/>
      <c r="K26" s="121"/>
      <c r="L26" s="122"/>
      <c r="M26" s="123"/>
    </row>
    <row r="27" spans="1:18" x14ac:dyDescent="0.2">
      <c r="A27" s="42" t="s">
        <v>67</v>
      </c>
      <c r="B27" s="43" t="s">
        <v>34</v>
      </c>
      <c r="C27" s="118">
        <f t="shared" si="1"/>
        <v>2622702</v>
      </c>
      <c r="D27" s="119">
        <f>-4585789-1444334</f>
        <v>-6030123</v>
      </c>
      <c r="E27" s="119">
        <f>-596153-187763</f>
        <v>-783916</v>
      </c>
      <c r="F27" s="119">
        <f>5181942+1632097+608726</f>
        <v>7422765</v>
      </c>
      <c r="G27" s="119"/>
      <c r="H27" s="119">
        <v>1053976</v>
      </c>
      <c r="I27" s="120">
        <v>960000</v>
      </c>
      <c r="J27" s="119"/>
      <c r="K27" s="121"/>
      <c r="L27" s="122"/>
      <c r="M27" s="123"/>
    </row>
    <row r="28" spans="1:18" x14ac:dyDescent="0.2">
      <c r="A28" s="42" t="s">
        <v>68</v>
      </c>
      <c r="B28" s="43" t="s">
        <v>35</v>
      </c>
      <c r="C28" s="118">
        <f t="shared" si="1"/>
        <v>4459343</v>
      </c>
      <c r="D28" s="119">
        <f>-2755014-918338</f>
        <v>-3673352</v>
      </c>
      <c r="E28" s="119">
        <f>-358152-119384</f>
        <v>-477536</v>
      </c>
      <c r="F28" s="119">
        <f>3113166+1037722+901343</f>
        <v>5052231</v>
      </c>
      <c r="G28" s="119"/>
      <c r="H28" s="119"/>
      <c r="I28" s="120">
        <v>3558000</v>
      </c>
      <c r="J28" s="119"/>
      <c r="K28" s="121"/>
      <c r="L28" s="122"/>
      <c r="M28" s="123"/>
      <c r="R28" s="48"/>
    </row>
    <row r="29" spans="1:18" x14ac:dyDescent="0.2">
      <c r="A29" s="42" t="s">
        <v>69</v>
      </c>
      <c r="B29" s="43" t="s">
        <v>36</v>
      </c>
      <c r="C29" s="118">
        <f t="shared" si="1"/>
        <v>3227439</v>
      </c>
      <c r="D29" s="119">
        <v>1500000</v>
      </c>
      <c r="E29" s="119">
        <v>195000</v>
      </c>
      <c r="F29" s="119">
        <v>1532439</v>
      </c>
      <c r="G29" s="119"/>
      <c r="H29" s="119"/>
      <c r="I29" s="120"/>
      <c r="J29" s="119"/>
      <c r="K29" s="121"/>
      <c r="L29" s="122"/>
      <c r="M29" s="123"/>
    </row>
    <row r="30" spans="1:18" s="85" customFormat="1" x14ac:dyDescent="0.2">
      <c r="A30" s="25" t="s">
        <v>70</v>
      </c>
      <c r="B30" s="86" t="s">
        <v>37</v>
      </c>
      <c r="C30" s="118">
        <f t="shared" si="1"/>
        <v>5756399</v>
      </c>
      <c r="D30" s="119">
        <f>-488130-209656+3441594</f>
        <v>2743808</v>
      </c>
      <c r="E30" s="119">
        <f>-63457-27255+447407</f>
        <v>356695</v>
      </c>
      <c r="F30" s="119">
        <f>551587+236911+1167398</f>
        <v>1955896</v>
      </c>
      <c r="G30" s="119"/>
      <c r="H30" s="119"/>
      <c r="I30" s="120">
        <v>700000</v>
      </c>
      <c r="J30" s="119"/>
      <c r="K30" s="121"/>
      <c r="L30" s="122"/>
      <c r="M30" s="123"/>
    </row>
    <row r="31" spans="1:18" x14ac:dyDescent="0.2">
      <c r="A31" s="42" t="s">
        <v>73</v>
      </c>
      <c r="B31" s="43" t="s">
        <v>38</v>
      </c>
      <c r="C31" s="118">
        <f>SUM(D31:M31)</f>
        <v>5281852</v>
      </c>
      <c r="D31" s="119">
        <f>-2786340-835422+2691754</f>
        <v>-930008</v>
      </c>
      <c r="E31" s="119">
        <f>-362224-108605+349928</f>
        <v>-120901</v>
      </c>
      <c r="F31" s="119">
        <f>3148564+944027+441550</f>
        <v>4534141</v>
      </c>
      <c r="G31" s="119"/>
      <c r="H31" s="119"/>
      <c r="I31" s="120">
        <v>1798620</v>
      </c>
      <c r="J31" s="119"/>
      <c r="K31" s="121"/>
      <c r="L31" s="122"/>
      <c r="M31" s="123"/>
    </row>
    <row r="32" spans="1:18" x14ac:dyDescent="0.2">
      <c r="A32" s="42" t="s">
        <v>71</v>
      </c>
      <c r="B32" s="43" t="s">
        <v>39</v>
      </c>
      <c r="C32" s="118">
        <f t="shared" si="1"/>
        <v>6544243</v>
      </c>
      <c r="D32" s="119">
        <f>-2997982-771670+1886604</f>
        <v>-1883048</v>
      </c>
      <c r="E32" s="119">
        <f>-389738-100317+245259</f>
        <v>-244796</v>
      </c>
      <c r="F32" s="119">
        <f>3387720+871987+1663380</f>
        <v>5923087</v>
      </c>
      <c r="G32" s="119"/>
      <c r="H32" s="119"/>
      <c r="I32" s="120">
        <v>2749000</v>
      </c>
      <c r="J32" s="119"/>
      <c r="K32" s="121"/>
      <c r="L32" s="122"/>
      <c r="M32" s="123"/>
    </row>
    <row r="33" spans="1:19" x14ac:dyDescent="0.2">
      <c r="A33" s="42" t="s">
        <v>72</v>
      </c>
      <c r="B33" s="43" t="s">
        <v>84</v>
      </c>
      <c r="C33" s="118">
        <f t="shared" si="1"/>
        <v>3078431</v>
      </c>
      <c r="D33" s="119">
        <f>-1154572-384857+1200000</f>
        <v>-339429</v>
      </c>
      <c r="E33" s="119">
        <f>-150094-50032+156000</f>
        <v>-44126</v>
      </c>
      <c r="F33" s="119">
        <f>1304666+434889+1452431</f>
        <v>3191986</v>
      </c>
      <c r="G33" s="119"/>
      <c r="H33" s="119"/>
      <c r="I33" s="120">
        <v>270000</v>
      </c>
      <c r="J33" s="119"/>
      <c r="K33" s="121"/>
      <c r="L33" s="122"/>
      <c r="M33" s="123"/>
      <c r="R33" s="48"/>
    </row>
    <row r="34" spans="1:19" x14ac:dyDescent="0.2">
      <c r="A34" s="42" t="s">
        <v>86</v>
      </c>
      <c r="B34" s="43" t="s">
        <v>87</v>
      </c>
      <c r="C34" s="118">
        <f t="shared" si="1"/>
        <v>1990536</v>
      </c>
      <c r="D34" s="119">
        <f>-952612-238153+211900</f>
        <v>-978865</v>
      </c>
      <c r="E34" s="119">
        <f>-123840-30960+27547</f>
        <v>-127253</v>
      </c>
      <c r="F34" s="119">
        <f>1076452+269113+1501089</f>
        <v>2846654</v>
      </c>
      <c r="G34" s="119"/>
      <c r="H34" s="119"/>
      <c r="I34" s="120">
        <v>250000</v>
      </c>
      <c r="J34" s="119"/>
      <c r="K34" s="121"/>
      <c r="L34" s="122"/>
      <c r="M34" s="123"/>
    </row>
    <row r="35" spans="1:19" x14ac:dyDescent="0.2">
      <c r="A35" s="42"/>
      <c r="B35" s="49"/>
      <c r="C35" s="118"/>
      <c r="D35" s="119"/>
      <c r="E35" s="119"/>
      <c r="F35" s="119"/>
      <c r="G35" s="119"/>
      <c r="H35" s="119"/>
      <c r="I35" s="120"/>
      <c r="J35" s="119"/>
      <c r="K35" s="121"/>
      <c r="L35" s="122"/>
      <c r="M35" s="123"/>
    </row>
    <row r="36" spans="1:19" x14ac:dyDescent="0.2">
      <c r="A36" s="45" t="s">
        <v>28</v>
      </c>
      <c r="B36" s="46" t="s">
        <v>80</v>
      </c>
      <c r="C36" s="126">
        <f>SUM(C23:C35)</f>
        <v>42423231</v>
      </c>
      <c r="D36" s="127">
        <f>SUM(D23:D34)</f>
        <v>-15177802</v>
      </c>
      <c r="E36" s="134">
        <f t="shared" ref="E36:M36" si="2">SUM(E23:E34)</f>
        <v>-1973117</v>
      </c>
      <c r="F36" s="134">
        <f t="shared" si="2"/>
        <v>43679874</v>
      </c>
      <c r="G36" s="127">
        <f t="shared" si="2"/>
        <v>0</v>
      </c>
      <c r="H36" s="134">
        <f t="shared" si="2"/>
        <v>1053976</v>
      </c>
      <c r="I36" s="135">
        <f t="shared" si="2"/>
        <v>14840300</v>
      </c>
      <c r="J36" s="134">
        <f t="shared" si="2"/>
        <v>0</v>
      </c>
      <c r="K36" s="127">
        <f t="shared" si="2"/>
        <v>0</v>
      </c>
      <c r="L36" s="136">
        <f t="shared" si="2"/>
        <v>0</v>
      </c>
      <c r="M36" s="137">
        <f t="shared" si="2"/>
        <v>0</v>
      </c>
    </row>
    <row r="37" spans="1:19" x14ac:dyDescent="0.2">
      <c r="A37" s="13"/>
      <c r="B37" s="14"/>
      <c r="C37" s="124"/>
      <c r="D37" s="121"/>
      <c r="E37" s="121"/>
      <c r="F37" s="121"/>
      <c r="G37" s="121"/>
      <c r="H37" s="121"/>
      <c r="I37" s="125"/>
      <c r="J37" s="121"/>
      <c r="K37" s="121"/>
      <c r="L37" s="122"/>
      <c r="M37" s="123"/>
    </row>
    <row r="38" spans="1:19" x14ac:dyDescent="0.2">
      <c r="A38" s="42" t="s">
        <v>63</v>
      </c>
      <c r="B38" s="43" t="s">
        <v>40</v>
      </c>
      <c r="C38" s="118">
        <f t="shared" ref="C38:C42" si="3">SUM(D38:M38)</f>
        <v>9648031</v>
      </c>
      <c r="D38" s="119">
        <f>940532+2926277+1411206+800000</f>
        <v>6078015</v>
      </c>
      <c r="E38" s="119">
        <f>145783+381774+183455+104000</f>
        <v>815012</v>
      </c>
      <c r="F38" s="119">
        <v>2405004</v>
      </c>
      <c r="G38" s="119"/>
      <c r="H38" s="119"/>
      <c r="I38" s="120">
        <v>350000</v>
      </c>
      <c r="J38" s="119"/>
      <c r="K38" s="119"/>
      <c r="L38" s="122"/>
      <c r="M38" s="123"/>
    </row>
    <row r="39" spans="1:19" x14ac:dyDescent="0.2">
      <c r="A39" s="42" t="s">
        <v>64</v>
      </c>
      <c r="B39" s="43" t="s">
        <v>41</v>
      </c>
      <c r="C39" s="118">
        <f t="shared" si="3"/>
        <v>17087107</v>
      </c>
      <c r="D39" s="119">
        <f>1573382+92023+4005031+184046-997649+1972906+92023-17515+1360640</f>
        <v>8264887</v>
      </c>
      <c r="E39" s="119">
        <f>243874+14264+520243+23926-129694+256474+11963-2277+176883</f>
        <v>1115656</v>
      </c>
      <c r="F39" s="119">
        <f>1127343+19792+6559429</f>
        <v>7706564</v>
      </c>
      <c r="G39" s="119"/>
      <c r="H39" s="119"/>
      <c r="I39" s="120"/>
      <c r="J39" s="119"/>
      <c r="K39" s="119"/>
      <c r="L39" s="122"/>
      <c r="M39" s="123"/>
      <c r="S39" s="48"/>
    </row>
    <row r="40" spans="1:19" x14ac:dyDescent="0.2">
      <c r="A40" s="42" t="s">
        <v>65</v>
      </c>
      <c r="B40" s="43" t="s">
        <v>42</v>
      </c>
      <c r="C40" s="118">
        <f t="shared" si="3"/>
        <v>15019989</v>
      </c>
      <c r="D40" s="119">
        <f>1470008+3831472-611668+1921799-158694+1320640</f>
        <v>7773557</v>
      </c>
      <c r="E40" s="119">
        <f>227860+498351-79517+249838-20630+171683</f>
        <v>1047585</v>
      </c>
      <c r="F40" s="119">
        <f>691185+179324+3514026</f>
        <v>4384535</v>
      </c>
      <c r="G40" s="119"/>
      <c r="H40" s="119">
        <v>1264312</v>
      </c>
      <c r="I40" s="120">
        <v>550000</v>
      </c>
      <c r="J40" s="119"/>
      <c r="K40" s="119"/>
      <c r="L40" s="122"/>
      <c r="M40" s="123"/>
    </row>
    <row r="41" spans="1:19" x14ac:dyDescent="0.2">
      <c r="A41" s="42" t="s">
        <v>66</v>
      </c>
      <c r="B41" s="43" t="s">
        <v>43</v>
      </c>
      <c r="C41" s="118">
        <f t="shared" si="3"/>
        <v>11763901</v>
      </c>
      <c r="D41" s="119">
        <f>732769+1944097-725478+1001728-389281</f>
        <v>2563835</v>
      </c>
      <c r="E41" s="119">
        <f>113574+252736-94312+130228-50606</f>
        <v>351620</v>
      </c>
      <c r="F41" s="119">
        <f>819790+439887+4588769</f>
        <v>5848446</v>
      </c>
      <c r="G41" s="119"/>
      <c r="H41" s="119"/>
      <c r="I41" s="120">
        <v>3000000</v>
      </c>
      <c r="J41" s="119"/>
      <c r="K41" s="119"/>
      <c r="L41" s="122"/>
      <c r="M41" s="123"/>
      <c r="R41" s="48"/>
    </row>
    <row r="42" spans="1:19" x14ac:dyDescent="0.2">
      <c r="A42" s="42" t="s">
        <v>67</v>
      </c>
      <c r="B42" s="43" t="s">
        <v>90</v>
      </c>
      <c r="C42" s="118">
        <f t="shared" si="3"/>
        <v>33962459</v>
      </c>
      <c r="D42" s="119">
        <f>4305723+10957839-2061851+5595055-694836-707965+2100000</f>
        <v>19493965</v>
      </c>
      <c r="E42" s="119">
        <f>667386+1424523-268040+727357-90329-92035+273000</f>
        <v>2641862</v>
      </c>
      <c r="F42" s="119">
        <f>2329891+785165+800000+7611678</f>
        <v>11526734</v>
      </c>
      <c r="G42" s="119"/>
      <c r="H42" s="119"/>
      <c r="I42" s="120">
        <v>299898</v>
      </c>
      <c r="J42" s="119"/>
      <c r="K42" s="119"/>
      <c r="L42" s="122"/>
      <c r="M42" s="123"/>
    </row>
    <row r="43" spans="1:19" x14ac:dyDescent="0.2">
      <c r="A43" s="42"/>
      <c r="B43" s="14"/>
      <c r="C43" s="124"/>
      <c r="D43" s="121"/>
      <c r="E43" s="121"/>
      <c r="F43" s="121"/>
      <c r="G43" s="121"/>
      <c r="H43" s="121"/>
      <c r="I43" s="125"/>
      <c r="J43" s="121"/>
      <c r="K43" s="121"/>
      <c r="L43" s="122"/>
      <c r="M43" s="123"/>
    </row>
    <row r="44" spans="1:19" x14ac:dyDescent="0.2">
      <c r="A44" s="45" t="s">
        <v>30</v>
      </c>
      <c r="B44" s="50" t="s">
        <v>81</v>
      </c>
      <c r="C44" s="126">
        <f>SUM(C38:C43)</f>
        <v>87481487</v>
      </c>
      <c r="D44" s="127">
        <f>SUM(D38:D42)</f>
        <v>44174259</v>
      </c>
      <c r="E44" s="127">
        <f t="shared" ref="E44:M44" si="4">SUM(E38:E42)</f>
        <v>5971735</v>
      </c>
      <c r="F44" s="127">
        <f t="shared" si="4"/>
        <v>31871283</v>
      </c>
      <c r="G44" s="127">
        <f t="shared" si="4"/>
        <v>0</v>
      </c>
      <c r="H44" s="138">
        <f t="shared" si="4"/>
        <v>1264312</v>
      </c>
      <c r="I44" s="127">
        <f t="shared" si="4"/>
        <v>4199898</v>
      </c>
      <c r="J44" s="127">
        <f t="shared" si="4"/>
        <v>0</v>
      </c>
      <c r="K44" s="138">
        <f t="shared" si="4"/>
        <v>0</v>
      </c>
      <c r="L44" s="127">
        <f t="shared" si="4"/>
        <v>0</v>
      </c>
      <c r="M44" s="138">
        <f t="shared" si="4"/>
        <v>0</v>
      </c>
    </row>
    <row r="45" spans="1:19" x14ac:dyDescent="0.2">
      <c r="A45" s="51"/>
      <c r="B45" s="52"/>
      <c r="C45" s="139"/>
      <c r="D45" s="140"/>
      <c r="E45" s="140"/>
      <c r="F45" s="140"/>
      <c r="G45" s="140"/>
      <c r="H45" s="140"/>
      <c r="I45" s="141"/>
      <c r="J45" s="140"/>
      <c r="K45" s="142"/>
      <c r="L45" s="143"/>
      <c r="M45" s="144"/>
    </row>
    <row r="46" spans="1:19" x14ac:dyDescent="0.2">
      <c r="A46" s="41" t="s">
        <v>32</v>
      </c>
      <c r="B46" s="53" t="s">
        <v>44</v>
      </c>
      <c r="C46" s="145">
        <f>SUM(D46:M46)</f>
        <v>10946736</v>
      </c>
      <c r="D46" s="146"/>
      <c r="E46" s="147"/>
      <c r="F46" s="148">
        <v>8802742</v>
      </c>
      <c r="G46" s="148"/>
      <c r="H46" s="148">
        <v>2143994</v>
      </c>
      <c r="I46" s="149"/>
      <c r="J46" s="148"/>
      <c r="K46" s="150"/>
      <c r="L46" s="151"/>
      <c r="M46" s="152"/>
      <c r="R46" s="48"/>
      <c r="S46" s="48"/>
    </row>
    <row r="47" spans="1:19" ht="13.5" thickBot="1" x14ac:dyDescent="0.25">
      <c r="A47" s="13"/>
      <c r="B47" s="54"/>
      <c r="C47" s="153"/>
      <c r="D47" s="154"/>
      <c r="E47" s="154"/>
      <c r="F47" s="154"/>
      <c r="G47" s="154"/>
      <c r="H47" s="155"/>
      <c r="I47" s="154"/>
      <c r="J47" s="154"/>
      <c r="K47" s="155"/>
      <c r="L47" s="156"/>
      <c r="M47" s="155"/>
    </row>
    <row r="48" spans="1:19" ht="22.5" thickBot="1" x14ac:dyDescent="0.25">
      <c r="A48" s="55" t="s">
        <v>74</v>
      </c>
      <c r="B48" s="56" t="s">
        <v>78</v>
      </c>
      <c r="C48" s="157">
        <f>C21+C36+C44+C46</f>
        <v>165486836</v>
      </c>
      <c r="D48" s="157">
        <f t="shared" ref="D48:M48" si="5">D21+D36+D44+D46</f>
        <v>40135781</v>
      </c>
      <c r="E48" s="157">
        <f t="shared" si="5"/>
        <v>5480845</v>
      </c>
      <c r="F48" s="157">
        <f t="shared" si="5"/>
        <v>86023931</v>
      </c>
      <c r="G48" s="157">
        <f t="shared" si="5"/>
        <v>0</v>
      </c>
      <c r="H48" s="157">
        <f t="shared" si="5"/>
        <v>12650931</v>
      </c>
      <c r="I48" s="157">
        <f t="shared" si="5"/>
        <v>21195348</v>
      </c>
      <c r="J48" s="157">
        <f t="shared" si="5"/>
        <v>0</v>
      </c>
      <c r="K48" s="157">
        <f t="shared" si="5"/>
        <v>0</v>
      </c>
      <c r="L48" s="157">
        <f t="shared" si="5"/>
        <v>0</v>
      </c>
      <c r="M48" s="157">
        <f t="shared" si="5"/>
        <v>0</v>
      </c>
    </row>
    <row r="49" spans="1:15" x14ac:dyDescent="0.2">
      <c r="A49" s="38"/>
      <c r="B49" s="57"/>
      <c r="C49" s="158"/>
      <c r="D49" s="159"/>
      <c r="E49" s="159"/>
      <c r="F49" s="159"/>
      <c r="G49" s="159"/>
      <c r="H49" s="160"/>
      <c r="I49" s="159"/>
      <c r="J49" s="159"/>
      <c r="K49" s="160"/>
      <c r="L49" s="161"/>
      <c r="M49" s="160"/>
    </row>
    <row r="50" spans="1:15" x14ac:dyDescent="0.2">
      <c r="A50" s="60" t="s">
        <v>75</v>
      </c>
      <c r="B50" s="61" t="s">
        <v>76</v>
      </c>
      <c r="C50" s="162">
        <f>SUM(D50:M50)</f>
        <v>152451608</v>
      </c>
      <c r="D50" s="163">
        <f>29282215+25000000</f>
        <v>54282215</v>
      </c>
      <c r="E50" s="164">
        <f>3761876+3250000</f>
        <v>7011876</v>
      </c>
      <c r="F50" s="165">
        <f>6583297+60137012</f>
        <v>66720309</v>
      </c>
      <c r="G50" s="164"/>
      <c r="H50" s="166">
        <v>23916000</v>
      </c>
      <c r="I50" s="164">
        <v>521208</v>
      </c>
      <c r="J50" s="167"/>
      <c r="K50" s="166"/>
      <c r="L50" s="168"/>
      <c r="M50" s="166"/>
    </row>
    <row r="51" spans="1:15" ht="13.5" thickBot="1" x14ac:dyDescent="0.25">
      <c r="A51" s="34"/>
      <c r="B51" s="14"/>
      <c r="C51" s="153"/>
      <c r="D51" s="154"/>
      <c r="E51" s="154"/>
      <c r="F51" s="154"/>
      <c r="G51" s="154"/>
      <c r="H51" s="155"/>
      <c r="I51" s="154"/>
      <c r="J51" s="154"/>
      <c r="K51" s="155"/>
      <c r="L51" s="156"/>
      <c r="M51" s="155"/>
    </row>
    <row r="52" spans="1:15" ht="13.5" thickBot="1" x14ac:dyDescent="0.25">
      <c r="A52" s="62" t="s">
        <v>77</v>
      </c>
      <c r="B52" s="63" t="s">
        <v>83</v>
      </c>
      <c r="C52" s="169">
        <f>C48+C50</f>
        <v>317938444</v>
      </c>
      <c r="D52" s="170">
        <f t="shared" ref="D52:M52" si="6">D48+D50</f>
        <v>94417996</v>
      </c>
      <c r="E52" s="171">
        <f t="shared" si="6"/>
        <v>12492721</v>
      </c>
      <c r="F52" s="171">
        <f t="shared" si="6"/>
        <v>152744240</v>
      </c>
      <c r="G52" s="171">
        <f t="shared" si="6"/>
        <v>0</v>
      </c>
      <c r="H52" s="172">
        <f t="shared" si="6"/>
        <v>36566931</v>
      </c>
      <c r="I52" s="170">
        <f t="shared" si="6"/>
        <v>21716556</v>
      </c>
      <c r="J52" s="171">
        <f t="shared" si="6"/>
        <v>0</v>
      </c>
      <c r="K52" s="171">
        <f t="shared" si="6"/>
        <v>0</v>
      </c>
      <c r="L52" s="171">
        <f t="shared" si="6"/>
        <v>0</v>
      </c>
      <c r="M52" s="172">
        <f t="shared" si="6"/>
        <v>0</v>
      </c>
    </row>
    <row r="53" spans="1:15" x14ac:dyDescent="0.2">
      <c r="A53" s="64"/>
      <c r="B53" s="20"/>
      <c r="C53" s="173"/>
      <c r="D53" s="174"/>
      <c r="E53" s="174"/>
      <c r="F53" s="174"/>
      <c r="G53" s="174"/>
      <c r="H53" s="174"/>
      <c r="I53" s="174"/>
      <c r="J53" s="174"/>
      <c r="K53" s="174"/>
      <c r="L53" s="174"/>
      <c r="M53" s="174"/>
    </row>
    <row r="54" spans="1:15" x14ac:dyDescent="0.2"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2"/>
      <c r="O54" s="2"/>
    </row>
    <row r="55" spans="1:15" x14ac:dyDescent="0.2">
      <c r="C55" s="173"/>
      <c r="D55" s="173"/>
      <c r="E55" s="173"/>
      <c r="F55" s="173"/>
      <c r="G55" s="173"/>
      <c r="H55" s="173"/>
      <c r="I55" s="173"/>
      <c r="J55" s="173"/>
      <c r="K55" s="173"/>
      <c r="L55" s="173"/>
      <c r="M55" s="173"/>
      <c r="N55" s="2"/>
      <c r="O55" s="2"/>
    </row>
    <row r="56" spans="1:15" x14ac:dyDescent="0.2"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173"/>
      <c r="N56" s="95"/>
      <c r="O56" s="95"/>
    </row>
    <row r="57" spans="1:15" x14ac:dyDescent="0.2"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95"/>
      <c r="O57" s="95"/>
    </row>
    <row r="58" spans="1:15" x14ac:dyDescent="0.2"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17"/>
      <c r="O58" s="117"/>
    </row>
    <row r="59" spans="1:15" x14ac:dyDescent="0.2">
      <c r="C59" s="173"/>
      <c r="D59" s="173"/>
      <c r="E59" s="173"/>
      <c r="F59" s="173"/>
      <c r="G59" s="173"/>
      <c r="H59" s="173"/>
      <c r="I59" s="173"/>
      <c r="J59" s="173"/>
      <c r="K59" s="173"/>
      <c r="L59" s="173"/>
      <c r="M59" s="173"/>
      <c r="N59" s="2"/>
      <c r="O59" s="2"/>
    </row>
    <row r="61" spans="1:15" x14ac:dyDescent="0.2"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2"/>
      <c r="O61" s="2"/>
    </row>
    <row r="62" spans="1:15" x14ac:dyDescent="0.2">
      <c r="C62" s="173"/>
      <c r="D62" s="173"/>
      <c r="E62" s="173"/>
      <c r="F62" s="173"/>
      <c r="G62" s="173"/>
      <c r="H62" s="173"/>
      <c r="I62" s="173"/>
      <c r="J62" s="173"/>
      <c r="K62" s="173"/>
      <c r="L62" s="173"/>
      <c r="M62" s="173"/>
      <c r="N62" s="2"/>
      <c r="O62" s="2"/>
    </row>
    <row r="63" spans="1:15" x14ac:dyDescent="0.2"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2"/>
      <c r="O63" s="2"/>
    </row>
    <row r="64" spans="1:15" x14ac:dyDescent="0.2"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2"/>
      <c r="O64" s="2"/>
    </row>
    <row r="65" spans="1:15" x14ac:dyDescent="0.2">
      <c r="C65" s="173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2"/>
      <c r="O65" s="2"/>
    </row>
    <row r="66" spans="1:15" x14ac:dyDescent="0.2"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2"/>
      <c r="O66" s="2"/>
    </row>
    <row r="67" spans="1:15" x14ac:dyDescent="0.2"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2"/>
      <c r="O67" s="2"/>
    </row>
    <row r="68" spans="1:15" x14ac:dyDescent="0.2">
      <c r="A68" s="204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2"/>
      <c r="O68" s="2"/>
    </row>
    <row r="69" spans="1:15" x14ac:dyDescent="0.2">
      <c r="C69" s="173"/>
      <c r="D69" s="175"/>
      <c r="E69" s="175"/>
      <c r="F69" s="175"/>
      <c r="G69" s="175"/>
      <c r="H69" s="175"/>
      <c r="I69" s="175"/>
      <c r="J69" s="175"/>
      <c r="K69" s="175"/>
      <c r="L69" s="175"/>
      <c r="M69" s="175"/>
      <c r="N69" s="2"/>
      <c r="O69" s="2"/>
    </row>
    <row r="70" spans="1:15" x14ac:dyDescent="0.2">
      <c r="C70" s="173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2"/>
      <c r="O70" s="2"/>
    </row>
    <row r="71" spans="1:15" x14ac:dyDescent="0.2">
      <c r="C71" s="173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2"/>
      <c r="O71" s="2"/>
    </row>
    <row r="72" spans="1:15" x14ac:dyDescent="0.2">
      <c r="C72" s="173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2"/>
      <c r="O72" s="2"/>
    </row>
    <row r="73" spans="1:15" x14ac:dyDescent="0.2"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2"/>
      <c r="O73" s="2"/>
    </row>
    <row r="74" spans="1:15" x14ac:dyDescent="0.2">
      <c r="C74" s="175"/>
      <c r="D74" s="175"/>
      <c r="E74" s="175"/>
      <c r="F74" s="175"/>
      <c r="G74" s="175"/>
      <c r="H74" s="175"/>
      <c r="I74" s="175"/>
      <c r="J74" s="175"/>
      <c r="K74" s="175"/>
      <c r="L74" s="175"/>
      <c r="M74" s="175"/>
      <c r="N74" s="2"/>
      <c r="O74" s="2"/>
    </row>
    <row r="75" spans="1:15" x14ac:dyDescent="0.2">
      <c r="C75" s="175"/>
      <c r="D75" s="175"/>
      <c r="E75" s="175"/>
      <c r="F75" s="175"/>
      <c r="G75" s="175"/>
      <c r="H75" s="175"/>
      <c r="I75" s="175"/>
      <c r="J75" s="175"/>
      <c r="K75" s="175"/>
      <c r="L75" s="175"/>
      <c r="M75" s="175"/>
      <c r="N75" s="2"/>
      <c r="O75" s="2"/>
    </row>
    <row r="76" spans="1:15" x14ac:dyDescent="0.2">
      <c r="C76" s="175"/>
      <c r="D76" s="175"/>
      <c r="E76" s="175"/>
      <c r="F76" s="175"/>
      <c r="G76" s="175"/>
      <c r="H76" s="175"/>
      <c r="I76" s="175"/>
      <c r="J76" s="175"/>
      <c r="K76" s="175"/>
      <c r="L76" s="175"/>
      <c r="M76" s="175"/>
      <c r="N76" s="2"/>
      <c r="O76" s="2"/>
    </row>
    <row r="77" spans="1:15" x14ac:dyDescent="0.2">
      <c r="C77" s="175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2"/>
      <c r="O77" s="2"/>
    </row>
    <row r="78" spans="1:15" x14ac:dyDescent="0.2"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2"/>
      <c r="O78" s="2"/>
    </row>
    <row r="79" spans="1:15" x14ac:dyDescent="0.2">
      <c r="C79" s="175"/>
      <c r="D79" s="175"/>
      <c r="E79" s="175"/>
      <c r="F79" s="175"/>
      <c r="G79" s="175"/>
      <c r="H79" s="175"/>
      <c r="I79" s="175"/>
      <c r="J79" s="175"/>
      <c r="K79" s="175"/>
      <c r="L79" s="175"/>
      <c r="M79" s="175"/>
      <c r="N79" s="2"/>
      <c r="O79" s="2"/>
    </row>
    <row r="80" spans="1:15" x14ac:dyDescent="0.2"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2"/>
      <c r="O80" s="2"/>
    </row>
    <row r="81" spans="3:15" x14ac:dyDescent="0.2"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2"/>
      <c r="O81" s="2"/>
    </row>
    <row r="82" spans="3:15" x14ac:dyDescent="0.2"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2"/>
      <c r="O82" s="2"/>
    </row>
    <row r="83" spans="3:15" x14ac:dyDescent="0.2"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75"/>
      <c r="N83" s="2"/>
      <c r="O83" s="2"/>
    </row>
    <row r="84" spans="3:15" x14ac:dyDescent="0.2"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2"/>
      <c r="O84" s="2"/>
    </row>
    <row r="85" spans="3:15" x14ac:dyDescent="0.2"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2"/>
      <c r="O85" s="2"/>
    </row>
    <row r="86" spans="3:15" x14ac:dyDescent="0.2"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2"/>
      <c r="O86" s="2"/>
    </row>
    <row r="87" spans="3:15" x14ac:dyDescent="0.2"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2"/>
      <c r="O87" s="2"/>
    </row>
    <row r="88" spans="3:15" x14ac:dyDescent="0.2"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2"/>
      <c r="O88" s="2"/>
    </row>
    <row r="89" spans="3:15" x14ac:dyDescent="0.2"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2"/>
      <c r="O89" s="2"/>
    </row>
    <row r="90" spans="3:15" x14ac:dyDescent="0.2"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2"/>
      <c r="O90" s="2"/>
    </row>
    <row r="91" spans="3:15" x14ac:dyDescent="0.2"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2"/>
      <c r="O91" s="2"/>
    </row>
    <row r="92" spans="3:15" x14ac:dyDescent="0.2"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2"/>
      <c r="O92" s="2"/>
    </row>
    <row r="93" spans="3:15" x14ac:dyDescent="0.2"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2"/>
      <c r="O93" s="2"/>
    </row>
    <row r="94" spans="3:15" x14ac:dyDescent="0.2"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2"/>
      <c r="O94" s="2"/>
    </row>
    <row r="95" spans="3:15" x14ac:dyDescent="0.2"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2"/>
      <c r="O95" s="2"/>
    </row>
    <row r="96" spans="3:15" x14ac:dyDescent="0.2"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2"/>
      <c r="O96" s="2"/>
    </row>
    <row r="97" spans="3:15" x14ac:dyDescent="0.2"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2"/>
      <c r="O97" s="2"/>
    </row>
    <row r="98" spans="3:15" x14ac:dyDescent="0.2"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2"/>
      <c r="O98" s="2"/>
    </row>
    <row r="99" spans="3:15" x14ac:dyDescent="0.2"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2"/>
      <c r="O99" s="2"/>
    </row>
    <row r="100" spans="3:15" x14ac:dyDescent="0.2">
      <c r="C100" s="175"/>
      <c r="D100" s="175"/>
      <c r="E100" s="175"/>
      <c r="F100" s="175"/>
      <c r="G100" s="175"/>
      <c r="H100" s="175"/>
      <c r="I100" s="175"/>
      <c r="J100" s="175"/>
      <c r="K100" s="175"/>
      <c r="L100" s="175"/>
      <c r="M100" s="175"/>
      <c r="N100" s="2"/>
      <c r="O100" s="2"/>
    </row>
    <row r="101" spans="3:15" x14ac:dyDescent="0.2">
      <c r="C101" s="175"/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2"/>
      <c r="O101" s="2"/>
    </row>
    <row r="102" spans="3:15" x14ac:dyDescent="0.2">
      <c r="C102" s="175"/>
      <c r="D102" s="175"/>
      <c r="E102" s="175"/>
      <c r="F102" s="175"/>
      <c r="G102" s="175"/>
      <c r="H102" s="175"/>
      <c r="I102" s="175"/>
      <c r="J102" s="175"/>
      <c r="K102" s="175"/>
      <c r="L102" s="175"/>
      <c r="M102" s="175"/>
      <c r="N102" s="2"/>
      <c r="O102" s="2"/>
    </row>
    <row r="103" spans="3:15" x14ac:dyDescent="0.2"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2"/>
      <c r="O103" s="2"/>
    </row>
    <row r="104" spans="3:15" x14ac:dyDescent="0.2">
      <c r="C104" s="175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2"/>
      <c r="O104" s="2"/>
    </row>
    <row r="105" spans="3:15" x14ac:dyDescent="0.2">
      <c r="C105" s="175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2"/>
      <c r="O105" s="2"/>
    </row>
    <row r="106" spans="3:15" x14ac:dyDescent="0.2">
      <c r="C106" s="175"/>
      <c r="D106" s="175"/>
      <c r="E106" s="175"/>
      <c r="F106" s="175"/>
      <c r="G106" s="175"/>
      <c r="H106" s="175"/>
      <c r="I106" s="175"/>
      <c r="J106" s="175"/>
      <c r="K106" s="175"/>
      <c r="L106" s="175"/>
      <c r="M106" s="175"/>
      <c r="N106" s="2"/>
      <c r="O106" s="2"/>
    </row>
    <row r="107" spans="3:1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3:1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</sheetData>
  <mergeCells count="6">
    <mergeCell ref="L1:M1"/>
    <mergeCell ref="A4:M4"/>
    <mergeCell ref="D9:K9"/>
    <mergeCell ref="D10:H10"/>
    <mergeCell ref="I10:K10"/>
    <mergeCell ref="A6:M6"/>
  </mergeCells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2"/>
  <sheetViews>
    <sheetView zoomScale="110" zoomScaleNormal="110" workbookViewId="0">
      <pane xSplit="2" ySplit="16" topLeftCell="C38" activePane="bottomRight" state="frozen"/>
      <selection activeCell="M1" sqref="M1:M65536"/>
      <selection pane="topRight" activeCell="M1" sqref="M1:M65536"/>
      <selection pane="bottomLeft" activeCell="M1" sqref="M1:M65536"/>
      <selection pane="bottomRight" activeCell="R13" sqref="R13"/>
    </sheetView>
  </sheetViews>
  <sheetFormatPr defaultRowHeight="12.75" x14ac:dyDescent="0.2"/>
  <cols>
    <col min="1" max="1" width="4.85546875" style="1" customWidth="1"/>
    <col min="2" max="2" width="30.7109375" style="1" customWidth="1"/>
    <col min="3" max="3" width="15.85546875" style="1" bestFit="1" customWidth="1"/>
    <col min="4" max="4" width="13.5703125" style="1" bestFit="1" customWidth="1"/>
    <col min="5" max="6" width="10.7109375" style="1" customWidth="1"/>
    <col min="7" max="7" width="13.5703125" style="1" bestFit="1" customWidth="1"/>
    <col min="8" max="15" width="10.7109375" style="1" customWidth="1"/>
    <col min="16" max="16" width="9.42578125" style="1" bestFit="1" customWidth="1"/>
    <col min="17" max="16384" width="9.140625" style="1"/>
  </cols>
  <sheetData>
    <row r="1" spans="1:16" x14ac:dyDescent="0.2">
      <c r="M1" s="2"/>
      <c r="N1" s="205" t="s">
        <v>92</v>
      </c>
      <c r="O1" s="205"/>
    </row>
    <row r="2" spans="1:16" x14ac:dyDescent="0.2">
      <c r="M2" s="2"/>
      <c r="N2" s="2"/>
      <c r="O2" s="66"/>
    </row>
    <row r="3" spans="1:16" x14ac:dyDescent="0.2">
      <c r="M3" s="2"/>
      <c r="N3" s="2"/>
      <c r="O3" s="66"/>
    </row>
    <row r="4" spans="1:16" x14ac:dyDescent="0.2">
      <c r="A4" s="206" t="s">
        <v>89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</row>
    <row r="5" spans="1:16" hidden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5"/>
    </row>
    <row r="6" spans="1:16" x14ac:dyDescent="0.2">
      <c r="A6" s="3"/>
      <c r="B6" s="206" t="s">
        <v>94</v>
      </c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4"/>
      <c r="P6" s="5"/>
    </row>
    <row r="7" spans="1:16" x14ac:dyDescent="0.2">
      <c r="A7" s="3"/>
      <c r="B7" s="4"/>
      <c r="C7" s="4"/>
      <c r="D7" s="4"/>
      <c r="E7" s="4"/>
      <c r="F7" s="4"/>
      <c r="G7" s="4"/>
      <c r="H7" s="67"/>
      <c r="I7" s="4"/>
      <c r="J7" s="4"/>
      <c r="K7" s="4"/>
      <c r="L7" s="4"/>
      <c r="M7" s="4"/>
      <c r="N7" s="4"/>
      <c r="O7" s="6"/>
      <c r="P7" s="5"/>
    </row>
    <row r="8" spans="1:16" ht="13.5" thickBot="1" x14ac:dyDescent="0.2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8" t="s">
        <v>95</v>
      </c>
      <c r="P8" s="68"/>
    </row>
    <row r="9" spans="1:16" ht="13.5" thickBot="1" x14ac:dyDescent="0.25">
      <c r="A9" s="9"/>
      <c r="B9" s="10"/>
      <c r="C9" s="10"/>
      <c r="D9" s="212" t="s">
        <v>0</v>
      </c>
      <c r="E9" s="212"/>
      <c r="F9" s="212"/>
      <c r="G9" s="207"/>
      <c r="H9" s="207"/>
      <c r="I9" s="207"/>
      <c r="J9" s="212"/>
      <c r="K9" s="212"/>
      <c r="L9" s="212"/>
      <c r="M9" s="212"/>
      <c r="N9" s="213" t="s">
        <v>1</v>
      </c>
      <c r="O9" s="208"/>
      <c r="P9" s="64"/>
    </row>
    <row r="10" spans="1:16" ht="13.5" thickBot="1" x14ac:dyDescent="0.25">
      <c r="A10" s="13"/>
      <c r="B10" s="69"/>
      <c r="C10" s="69"/>
      <c r="D10" s="214" t="s">
        <v>60</v>
      </c>
      <c r="E10" s="215"/>
      <c r="F10" s="215"/>
      <c r="G10" s="215"/>
      <c r="H10" s="215"/>
      <c r="I10" s="216"/>
      <c r="J10" s="214" t="s">
        <v>55</v>
      </c>
      <c r="K10" s="215"/>
      <c r="L10" s="215"/>
      <c r="M10" s="215"/>
      <c r="N10" s="70"/>
      <c r="O10" s="71"/>
      <c r="P10" s="64"/>
    </row>
    <row r="11" spans="1:16" ht="12.75" customHeight="1" x14ac:dyDescent="0.2">
      <c r="A11" s="72"/>
      <c r="B11" s="19" t="s">
        <v>59</v>
      </c>
      <c r="C11" s="19" t="s">
        <v>2</v>
      </c>
      <c r="D11" s="64"/>
      <c r="E11" s="35"/>
      <c r="F11" s="73"/>
      <c r="G11" s="9"/>
      <c r="H11" s="74"/>
      <c r="I11" s="75"/>
      <c r="J11" s="76"/>
      <c r="K11" s="77"/>
      <c r="L11" s="76"/>
      <c r="M11" s="77"/>
      <c r="N11" s="25" t="s">
        <v>9</v>
      </c>
      <c r="O11" s="26" t="s">
        <v>12</v>
      </c>
      <c r="P11" s="64"/>
    </row>
    <row r="12" spans="1:16" x14ac:dyDescent="0.2">
      <c r="A12" s="72"/>
      <c r="B12" s="19" t="s">
        <v>19</v>
      </c>
      <c r="C12" s="19" t="s">
        <v>93</v>
      </c>
      <c r="D12" s="78" t="s">
        <v>9</v>
      </c>
      <c r="E12" s="79" t="s">
        <v>9</v>
      </c>
      <c r="F12" s="79" t="s">
        <v>9</v>
      </c>
      <c r="G12" s="25" t="s">
        <v>12</v>
      </c>
      <c r="H12" s="79" t="s">
        <v>48</v>
      </c>
      <c r="I12" s="26" t="s">
        <v>12</v>
      </c>
      <c r="J12" s="80" t="s">
        <v>9</v>
      </c>
      <c r="K12" s="29" t="s">
        <v>9</v>
      </c>
      <c r="L12" s="80" t="s">
        <v>12</v>
      </c>
      <c r="M12" s="29" t="s">
        <v>12</v>
      </c>
      <c r="N12" s="25" t="s">
        <v>16</v>
      </c>
      <c r="O12" s="26" t="s">
        <v>16</v>
      </c>
      <c r="P12" s="64"/>
    </row>
    <row r="13" spans="1:16" x14ac:dyDescent="0.2">
      <c r="A13" s="81"/>
      <c r="B13" s="19"/>
      <c r="C13" s="19" t="s">
        <v>45</v>
      </c>
      <c r="D13" s="78" t="s">
        <v>45</v>
      </c>
      <c r="E13" s="79" t="s">
        <v>45</v>
      </c>
      <c r="F13" s="79" t="s">
        <v>16</v>
      </c>
      <c r="G13" s="25" t="s">
        <v>45</v>
      </c>
      <c r="H13" s="79" t="s">
        <v>45</v>
      </c>
      <c r="I13" s="26" t="s">
        <v>16</v>
      </c>
      <c r="J13" s="80" t="s">
        <v>56</v>
      </c>
      <c r="K13" s="29" t="s">
        <v>58</v>
      </c>
      <c r="L13" s="80" t="s">
        <v>56</v>
      </c>
      <c r="M13" s="29" t="s">
        <v>58</v>
      </c>
      <c r="N13" s="25"/>
      <c r="O13" s="26"/>
      <c r="P13" s="64"/>
    </row>
    <row r="14" spans="1:16" x14ac:dyDescent="0.2">
      <c r="A14" s="31" t="s">
        <v>18</v>
      </c>
      <c r="B14" s="19"/>
      <c r="C14" s="37" t="s">
        <v>13</v>
      </c>
      <c r="D14" s="27" t="s">
        <v>49</v>
      </c>
      <c r="E14" s="79"/>
      <c r="F14" s="79" t="s">
        <v>53</v>
      </c>
      <c r="G14" s="42" t="s">
        <v>49</v>
      </c>
      <c r="H14" s="79"/>
      <c r="I14" s="26" t="s">
        <v>53</v>
      </c>
      <c r="J14" s="80" t="s">
        <v>54</v>
      </c>
      <c r="K14" s="29" t="s">
        <v>47</v>
      </c>
      <c r="L14" s="80" t="s">
        <v>54</v>
      </c>
      <c r="M14" s="29" t="s">
        <v>47</v>
      </c>
      <c r="N14" s="25"/>
      <c r="O14" s="26"/>
      <c r="P14" s="64"/>
    </row>
    <row r="15" spans="1:16" x14ac:dyDescent="0.2">
      <c r="A15" s="31"/>
      <c r="B15" s="19"/>
      <c r="C15" s="37"/>
      <c r="D15" s="27" t="s">
        <v>51</v>
      </c>
      <c r="E15" s="79"/>
      <c r="F15" s="79" t="s">
        <v>22</v>
      </c>
      <c r="G15" s="42" t="s">
        <v>51</v>
      </c>
      <c r="H15" s="79"/>
      <c r="I15" s="26" t="s">
        <v>22</v>
      </c>
      <c r="J15" s="80" t="s">
        <v>57</v>
      </c>
      <c r="K15" s="26"/>
      <c r="L15" s="80" t="s">
        <v>57</v>
      </c>
      <c r="M15" s="26"/>
      <c r="N15" s="25"/>
      <c r="O15" s="26"/>
      <c r="P15" s="64"/>
    </row>
    <row r="16" spans="1:16" x14ac:dyDescent="0.2">
      <c r="A16" s="30"/>
      <c r="B16" s="36"/>
      <c r="C16" s="37"/>
      <c r="D16" s="58"/>
      <c r="E16" s="79"/>
      <c r="F16" s="79"/>
      <c r="G16" s="59"/>
      <c r="H16" s="79"/>
      <c r="I16" s="26"/>
      <c r="J16" s="82"/>
      <c r="K16" s="26"/>
      <c r="L16" s="82"/>
      <c r="M16" s="39"/>
      <c r="N16" s="13"/>
      <c r="O16" s="40"/>
      <c r="P16" s="64"/>
    </row>
    <row r="17" spans="1:17" x14ac:dyDescent="0.2">
      <c r="A17" s="108">
        <v>1</v>
      </c>
      <c r="B17" s="109">
        <v>2</v>
      </c>
      <c r="C17" s="109">
        <v>3</v>
      </c>
      <c r="D17" s="110">
        <v>4</v>
      </c>
      <c r="E17" s="110">
        <v>5</v>
      </c>
      <c r="F17" s="112">
        <v>6</v>
      </c>
      <c r="G17" s="108">
        <v>7</v>
      </c>
      <c r="H17" s="112">
        <v>8</v>
      </c>
      <c r="I17" s="115">
        <v>9</v>
      </c>
      <c r="J17" s="108">
        <v>10</v>
      </c>
      <c r="K17" s="115">
        <v>11</v>
      </c>
      <c r="L17" s="108">
        <v>12</v>
      </c>
      <c r="M17" s="115">
        <v>13</v>
      </c>
      <c r="N17" s="108">
        <v>14</v>
      </c>
      <c r="O17" s="115">
        <v>15</v>
      </c>
      <c r="P17" s="64"/>
    </row>
    <row r="18" spans="1:17" x14ac:dyDescent="0.2">
      <c r="A18" s="42"/>
      <c r="B18" s="19"/>
      <c r="C18" s="87"/>
      <c r="D18" s="88"/>
      <c r="E18" s="91"/>
      <c r="F18" s="88"/>
      <c r="G18" s="89"/>
      <c r="H18" s="88"/>
      <c r="I18" s="90"/>
      <c r="J18" s="89"/>
      <c r="K18" s="90"/>
      <c r="L18" s="89"/>
      <c r="M18" s="90"/>
      <c r="N18" s="89"/>
      <c r="O18" s="90"/>
      <c r="P18" s="64"/>
    </row>
    <row r="19" spans="1:17" x14ac:dyDescent="0.2">
      <c r="A19" s="42" t="s">
        <v>63</v>
      </c>
      <c r="B19" s="43" t="s">
        <v>26</v>
      </c>
      <c r="C19" s="153">
        <f>SUM(D19:M19)</f>
        <v>24635382</v>
      </c>
      <c r="D19" s="154"/>
      <c r="E19" s="176"/>
      <c r="F19" s="154"/>
      <c r="G19" s="156"/>
      <c r="H19" s="154"/>
      <c r="I19" s="155"/>
      <c r="J19" s="156">
        <v>15013741</v>
      </c>
      <c r="K19" s="155">
        <f>1575894+3947251+1943346</f>
        <v>7466491</v>
      </c>
      <c r="L19" s="156">
        <v>2155150</v>
      </c>
      <c r="M19" s="155"/>
      <c r="N19" s="156"/>
      <c r="O19" s="155"/>
      <c r="P19" s="64"/>
      <c r="Q19" s="94"/>
    </row>
    <row r="20" spans="1:17" x14ac:dyDescent="0.2">
      <c r="A20" s="13"/>
      <c r="B20" s="44"/>
      <c r="C20" s="153"/>
      <c r="D20" s="154"/>
      <c r="E20" s="176"/>
      <c r="F20" s="154"/>
      <c r="G20" s="156"/>
      <c r="H20" s="154"/>
      <c r="I20" s="155"/>
      <c r="J20" s="156"/>
      <c r="K20" s="155"/>
      <c r="L20" s="156"/>
      <c r="M20" s="155"/>
      <c r="N20" s="156"/>
      <c r="O20" s="155"/>
      <c r="P20" s="64"/>
      <c r="Q20" s="94"/>
    </row>
    <row r="21" spans="1:17" x14ac:dyDescent="0.2">
      <c r="A21" s="45" t="s">
        <v>25</v>
      </c>
      <c r="B21" s="46" t="s">
        <v>79</v>
      </c>
      <c r="C21" s="177">
        <f>SUM(C19:C20)</f>
        <v>24635382</v>
      </c>
      <c r="D21" s="178">
        <f>SUM(D19:D20)</f>
        <v>0</v>
      </c>
      <c r="E21" s="179">
        <f t="shared" ref="E21:O21" si="0">SUM(E19:E20)</f>
        <v>0</v>
      </c>
      <c r="F21" s="180">
        <f t="shared" si="0"/>
        <v>0</v>
      </c>
      <c r="G21" s="178">
        <f t="shared" si="0"/>
        <v>0</v>
      </c>
      <c r="H21" s="179">
        <f t="shared" si="0"/>
        <v>0</v>
      </c>
      <c r="I21" s="180">
        <f t="shared" si="0"/>
        <v>0</v>
      </c>
      <c r="J21" s="178">
        <f t="shared" si="0"/>
        <v>15013741</v>
      </c>
      <c r="K21" s="180">
        <f t="shared" si="0"/>
        <v>7466491</v>
      </c>
      <c r="L21" s="178">
        <f t="shared" si="0"/>
        <v>2155150</v>
      </c>
      <c r="M21" s="180">
        <f t="shared" si="0"/>
        <v>0</v>
      </c>
      <c r="N21" s="178">
        <f t="shared" si="0"/>
        <v>0</v>
      </c>
      <c r="O21" s="180">
        <f t="shared" si="0"/>
        <v>0</v>
      </c>
      <c r="P21" s="64"/>
      <c r="Q21" s="94"/>
    </row>
    <row r="22" spans="1:17" x14ac:dyDescent="0.2">
      <c r="A22" s="13"/>
      <c r="B22" s="83"/>
      <c r="C22" s="181"/>
      <c r="D22" s="154"/>
      <c r="E22" s="176"/>
      <c r="F22" s="154"/>
      <c r="G22" s="156"/>
      <c r="H22" s="154"/>
      <c r="I22" s="155"/>
      <c r="J22" s="156"/>
      <c r="K22" s="155"/>
      <c r="L22" s="156"/>
      <c r="M22" s="155"/>
      <c r="N22" s="156"/>
      <c r="O22" s="155"/>
      <c r="P22" s="64"/>
      <c r="Q22" s="94"/>
    </row>
    <row r="23" spans="1:17" x14ac:dyDescent="0.2">
      <c r="A23" s="42" t="s">
        <v>63</v>
      </c>
      <c r="B23" s="43" t="s">
        <v>27</v>
      </c>
      <c r="C23" s="153">
        <f>SUM(D23:M23)</f>
        <v>3492343</v>
      </c>
      <c r="D23" s="154"/>
      <c r="E23" s="176"/>
      <c r="F23" s="154"/>
      <c r="G23" s="156"/>
      <c r="H23" s="154"/>
      <c r="I23" s="155"/>
      <c r="J23" s="156">
        <v>1177022</v>
      </c>
      <c r="K23" s="155"/>
      <c r="L23" s="156">
        <v>188697</v>
      </c>
      <c r="M23" s="155">
        <v>2126624</v>
      </c>
      <c r="N23" s="156"/>
      <c r="O23" s="155"/>
      <c r="P23" s="64"/>
      <c r="Q23" s="94"/>
    </row>
    <row r="24" spans="1:17" x14ac:dyDescent="0.2">
      <c r="A24" s="42" t="s">
        <v>64</v>
      </c>
      <c r="B24" s="43" t="s">
        <v>29</v>
      </c>
      <c r="C24" s="153">
        <f t="shared" ref="C24:C34" si="1">SUM(D24:M24)</f>
        <v>1317917</v>
      </c>
      <c r="D24" s="154"/>
      <c r="E24" s="176"/>
      <c r="F24" s="154"/>
      <c r="G24" s="156"/>
      <c r="H24" s="154"/>
      <c r="I24" s="155"/>
      <c r="J24" s="156">
        <v>1134910</v>
      </c>
      <c r="K24" s="155">
        <v>83648</v>
      </c>
      <c r="L24" s="156">
        <v>99359</v>
      </c>
      <c r="M24" s="155"/>
      <c r="N24" s="156"/>
      <c r="O24" s="155"/>
      <c r="P24" s="64"/>
      <c r="Q24" s="94"/>
    </row>
    <row r="25" spans="1:17" x14ac:dyDescent="0.2">
      <c r="A25" s="42" t="s">
        <v>65</v>
      </c>
      <c r="B25" s="43" t="s">
        <v>31</v>
      </c>
      <c r="C25" s="153">
        <f t="shared" si="1"/>
        <v>2128331</v>
      </c>
      <c r="D25" s="154"/>
      <c r="E25" s="176"/>
      <c r="F25" s="154"/>
      <c r="G25" s="156"/>
      <c r="H25" s="154"/>
      <c r="I25" s="155"/>
      <c r="J25" s="156"/>
      <c r="K25" s="155">
        <v>788331</v>
      </c>
      <c r="L25" s="156">
        <v>875005</v>
      </c>
      <c r="M25" s="155">
        <v>464995</v>
      </c>
      <c r="N25" s="156"/>
      <c r="O25" s="155"/>
      <c r="P25" s="64"/>
      <c r="Q25" s="94"/>
    </row>
    <row r="26" spans="1:17" x14ac:dyDescent="0.2">
      <c r="A26" s="42" t="s">
        <v>66</v>
      </c>
      <c r="B26" s="43" t="s">
        <v>33</v>
      </c>
      <c r="C26" s="153">
        <f t="shared" si="1"/>
        <v>2523695</v>
      </c>
      <c r="D26" s="154"/>
      <c r="E26" s="176"/>
      <c r="F26" s="154"/>
      <c r="G26" s="156"/>
      <c r="H26" s="154"/>
      <c r="I26" s="155"/>
      <c r="J26" s="156">
        <v>583029</v>
      </c>
      <c r="K26" s="155">
        <v>1140666</v>
      </c>
      <c r="L26" s="156">
        <v>800000</v>
      </c>
      <c r="M26" s="155"/>
      <c r="N26" s="156"/>
      <c r="O26" s="155"/>
      <c r="P26" s="64"/>
      <c r="Q26" s="94"/>
    </row>
    <row r="27" spans="1:17" x14ac:dyDescent="0.2">
      <c r="A27" s="42" t="s">
        <v>67</v>
      </c>
      <c r="B27" s="43" t="s">
        <v>34</v>
      </c>
      <c r="C27" s="153">
        <f t="shared" si="1"/>
        <v>2622702</v>
      </c>
      <c r="D27" s="154"/>
      <c r="E27" s="176"/>
      <c r="F27" s="154"/>
      <c r="G27" s="156"/>
      <c r="H27" s="154"/>
      <c r="I27" s="155"/>
      <c r="J27" s="156">
        <v>1662702</v>
      </c>
      <c r="K27" s="155"/>
      <c r="L27" s="156">
        <v>960000</v>
      </c>
      <c r="M27" s="155"/>
      <c r="N27" s="156"/>
      <c r="O27" s="155"/>
      <c r="P27" s="64"/>
      <c r="Q27" s="94"/>
    </row>
    <row r="28" spans="1:17" x14ac:dyDescent="0.2">
      <c r="A28" s="42" t="s">
        <v>68</v>
      </c>
      <c r="B28" s="43" t="s">
        <v>35</v>
      </c>
      <c r="C28" s="153">
        <f t="shared" si="1"/>
        <v>4459343</v>
      </c>
      <c r="D28" s="154"/>
      <c r="E28" s="176"/>
      <c r="F28" s="154"/>
      <c r="G28" s="156"/>
      <c r="H28" s="154"/>
      <c r="I28" s="155"/>
      <c r="J28" s="156">
        <v>901343</v>
      </c>
      <c r="K28" s="155"/>
      <c r="L28" s="156">
        <v>231229</v>
      </c>
      <c r="M28" s="155">
        <v>3326771</v>
      </c>
      <c r="N28" s="156"/>
      <c r="O28" s="155"/>
      <c r="P28" s="64"/>
      <c r="Q28" s="94"/>
    </row>
    <row r="29" spans="1:17" x14ac:dyDescent="0.2">
      <c r="A29" s="42" t="s">
        <v>69</v>
      </c>
      <c r="B29" s="43" t="s">
        <v>36</v>
      </c>
      <c r="C29" s="153">
        <f t="shared" si="1"/>
        <v>3227439</v>
      </c>
      <c r="D29" s="154"/>
      <c r="E29" s="176"/>
      <c r="F29" s="154"/>
      <c r="G29" s="156"/>
      <c r="H29" s="154"/>
      <c r="I29" s="155"/>
      <c r="J29" s="156">
        <v>1098708</v>
      </c>
      <c r="K29" s="155">
        <v>2128731</v>
      </c>
      <c r="L29" s="156"/>
      <c r="M29" s="155"/>
      <c r="N29" s="156"/>
      <c r="O29" s="155"/>
      <c r="P29" s="64"/>
      <c r="Q29" s="94"/>
    </row>
    <row r="30" spans="1:17" x14ac:dyDescent="0.2">
      <c r="A30" s="42" t="s">
        <v>70</v>
      </c>
      <c r="B30" s="43" t="s">
        <v>37</v>
      </c>
      <c r="C30" s="153">
        <f t="shared" si="1"/>
        <v>5756399</v>
      </c>
      <c r="D30" s="154"/>
      <c r="E30" s="176"/>
      <c r="F30" s="154"/>
      <c r="G30" s="156"/>
      <c r="H30" s="154"/>
      <c r="I30" s="155"/>
      <c r="J30" s="156">
        <v>1239156</v>
      </c>
      <c r="K30" s="155">
        <v>3817243</v>
      </c>
      <c r="L30" s="156">
        <v>700000</v>
      </c>
      <c r="M30" s="155"/>
      <c r="N30" s="156"/>
      <c r="O30" s="155"/>
      <c r="P30" s="64"/>
      <c r="Q30" s="94"/>
    </row>
    <row r="31" spans="1:17" x14ac:dyDescent="0.2">
      <c r="A31" s="42" t="s">
        <v>73</v>
      </c>
      <c r="B31" s="43" t="s">
        <v>38</v>
      </c>
      <c r="C31" s="153">
        <f t="shared" si="1"/>
        <v>5281852</v>
      </c>
      <c r="D31" s="154"/>
      <c r="E31" s="176"/>
      <c r="F31" s="154"/>
      <c r="G31" s="156"/>
      <c r="H31" s="154"/>
      <c r="I31" s="155"/>
      <c r="J31" s="156">
        <v>2265346</v>
      </c>
      <c r="K31" s="155">
        <v>1217886</v>
      </c>
      <c r="L31" s="156">
        <v>687845</v>
      </c>
      <c r="M31" s="155">
        <v>1110775</v>
      </c>
      <c r="N31" s="156"/>
      <c r="O31" s="155"/>
      <c r="P31" s="64"/>
      <c r="Q31" s="94"/>
    </row>
    <row r="32" spans="1:17" x14ac:dyDescent="0.2">
      <c r="A32" s="42" t="s">
        <v>71</v>
      </c>
      <c r="B32" s="43" t="s">
        <v>39</v>
      </c>
      <c r="C32" s="153">
        <f t="shared" si="1"/>
        <v>6544243</v>
      </c>
      <c r="D32" s="154"/>
      <c r="E32" s="176"/>
      <c r="F32" s="154"/>
      <c r="G32" s="156"/>
      <c r="H32" s="154"/>
      <c r="I32" s="155"/>
      <c r="K32" s="155">
        <v>3795243</v>
      </c>
      <c r="L32" s="156">
        <v>2302536</v>
      </c>
      <c r="M32" s="155">
        <v>446464</v>
      </c>
      <c r="N32" s="156"/>
      <c r="O32" s="155"/>
      <c r="P32" s="64"/>
      <c r="Q32" s="94"/>
    </row>
    <row r="33" spans="1:17" x14ac:dyDescent="0.2">
      <c r="A33" s="42" t="s">
        <v>72</v>
      </c>
      <c r="B33" s="43" t="s">
        <v>84</v>
      </c>
      <c r="C33" s="153">
        <f t="shared" si="1"/>
        <v>3078431</v>
      </c>
      <c r="D33" s="154"/>
      <c r="E33" s="176"/>
      <c r="F33" s="154"/>
      <c r="G33" s="156"/>
      <c r="H33" s="154"/>
      <c r="I33" s="155"/>
      <c r="J33" s="156">
        <v>1187725</v>
      </c>
      <c r="K33" s="155">
        <v>1620706</v>
      </c>
      <c r="L33" s="156">
        <v>270000</v>
      </c>
      <c r="M33" s="155"/>
      <c r="N33" s="156"/>
      <c r="O33" s="155"/>
      <c r="P33" s="64"/>
      <c r="Q33" s="94"/>
    </row>
    <row r="34" spans="1:17" x14ac:dyDescent="0.2">
      <c r="A34" s="42" t="s">
        <v>86</v>
      </c>
      <c r="B34" s="43" t="s">
        <v>88</v>
      </c>
      <c r="C34" s="153">
        <f t="shared" si="1"/>
        <v>1990536</v>
      </c>
      <c r="D34" s="154"/>
      <c r="E34" s="176"/>
      <c r="F34" s="154"/>
      <c r="G34" s="156"/>
      <c r="H34" s="154"/>
      <c r="I34" s="155"/>
      <c r="J34" s="156">
        <v>1740536</v>
      </c>
      <c r="K34" s="155"/>
      <c r="L34" s="156">
        <v>250000</v>
      </c>
      <c r="M34" s="155"/>
      <c r="N34" s="156"/>
      <c r="O34" s="155"/>
      <c r="P34" s="64"/>
      <c r="Q34" s="94"/>
    </row>
    <row r="35" spans="1:17" x14ac:dyDescent="0.2">
      <c r="A35" s="42"/>
      <c r="B35" s="14"/>
      <c r="C35" s="153"/>
      <c r="D35" s="154"/>
      <c r="E35" s="176"/>
      <c r="F35" s="154"/>
      <c r="G35" s="156"/>
      <c r="H35" s="154"/>
      <c r="I35" s="155"/>
      <c r="J35" s="156"/>
      <c r="K35" s="155"/>
      <c r="L35" s="156"/>
      <c r="M35" s="155"/>
      <c r="N35" s="156"/>
      <c r="O35" s="155"/>
      <c r="P35" s="64"/>
      <c r="Q35" s="94"/>
    </row>
    <row r="36" spans="1:17" x14ac:dyDescent="0.2">
      <c r="A36" s="45" t="s">
        <v>28</v>
      </c>
      <c r="B36" s="50" t="s">
        <v>80</v>
      </c>
      <c r="C36" s="177">
        <f>SUM(C23:C35)</f>
        <v>42423231</v>
      </c>
      <c r="D36" s="182">
        <f>SUM(D23:D35)</f>
        <v>0</v>
      </c>
      <c r="E36" s="179">
        <f t="shared" ref="E36:O36" si="2">SUM(E23:E35)</f>
        <v>0</v>
      </c>
      <c r="F36" s="180">
        <f t="shared" si="2"/>
        <v>0</v>
      </c>
      <c r="G36" s="182">
        <f t="shared" si="2"/>
        <v>0</v>
      </c>
      <c r="H36" s="179">
        <f t="shared" si="2"/>
        <v>0</v>
      </c>
      <c r="I36" s="180">
        <f t="shared" si="2"/>
        <v>0</v>
      </c>
      <c r="J36" s="182">
        <f t="shared" si="2"/>
        <v>12990477</v>
      </c>
      <c r="K36" s="180">
        <f t="shared" si="2"/>
        <v>14592454</v>
      </c>
      <c r="L36" s="182">
        <f t="shared" si="2"/>
        <v>7364671</v>
      </c>
      <c r="M36" s="180">
        <f t="shared" si="2"/>
        <v>7475629</v>
      </c>
      <c r="N36" s="182">
        <f t="shared" si="2"/>
        <v>0</v>
      </c>
      <c r="O36" s="180">
        <f t="shared" si="2"/>
        <v>0</v>
      </c>
      <c r="P36" s="64"/>
      <c r="Q36" s="94"/>
    </row>
    <row r="37" spans="1:17" x14ac:dyDescent="0.2">
      <c r="A37" s="13"/>
      <c r="B37" s="14"/>
      <c r="C37" s="153"/>
      <c r="D37" s="154"/>
      <c r="E37" s="176"/>
      <c r="F37" s="154"/>
      <c r="G37" s="156"/>
      <c r="H37" s="154"/>
      <c r="I37" s="155"/>
      <c r="J37" s="156"/>
      <c r="K37" s="155"/>
      <c r="L37" s="156"/>
      <c r="M37" s="155"/>
      <c r="N37" s="156"/>
      <c r="O37" s="155"/>
      <c r="P37" s="64"/>
      <c r="Q37" s="94"/>
    </row>
    <row r="38" spans="1:17" x14ac:dyDescent="0.2">
      <c r="A38" s="42" t="s">
        <v>63</v>
      </c>
      <c r="B38" s="43" t="s">
        <v>40</v>
      </c>
      <c r="C38" s="153">
        <f>SUM(D38:M38)</f>
        <v>9648031</v>
      </c>
      <c r="D38" s="154"/>
      <c r="E38" s="176"/>
      <c r="F38" s="154"/>
      <c r="G38" s="156"/>
      <c r="H38" s="154"/>
      <c r="I38" s="155"/>
      <c r="J38" s="156">
        <v>1104603</v>
      </c>
      <c r="K38" s="155">
        <f>1086315+3308051+1594661+2204401</f>
        <v>8193428</v>
      </c>
      <c r="L38" s="156">
        <v>350000</v>
      </c>
      <c r="M38" s="155"/>
      <c r="N38" s="156"/>
      <c r="O38" s="155"/>
      <c r="P38" s="64"/>
      <c r="Q38" s="94"/>
    </row>
    <row r="39" spans="1:17" x14ac:dyDescent="0.2">
      <c r="A39" s="42" t="s">
        <v>64</v>
      </c>
      <c r="B39" s="43" t="s">
        <v>41</v>
      </c>
      <c r="C39" s="153">
        <f t="shared" ref="C39:C42" si="3">SUM(D39:M39)</f>
        <v>17087107</v>
      </c>
      <c r="D39" s="154"/>
      <c r="E39" s="176"/>
      <c r="F39" s="154"/>
      <c r="G39" s="156"/>
      <c r="H39" s="154"/>
      <c r="I39" s="155"/>
      <c r="J39" s="156">
        <v>2842718</v>
      </c>
      <c r="K39" s="155">
        <f>1817256+106287+4525274+207972+2229380+103986+5254234</f>
        <v>14244389</v>
      </c>
      <c r="L39" s="156"/>
      <c r="M39" s="155"/>
      <c r="N39" s="156"/>
      <c r="O39" s="155"/>
      <c r="P39" s="64"/>
      <c r="Q39" s="94"/>
    </row>
    <row r="40" spans="1:17" x14ac:dyDescent="0.2">
      <c r="A40" s="42" t="s">
        <v>65</v>
      </c>
      <c r="B40" s="43" t="s">
        <v>42</v>
      </c>
      <c r="C40" s="153">
        <f t="shared" si="3"/>
        <v>15019989</v>
      </c>
      <c r="D40" s="154"/>
      <c r="E40" s="176"/>
      <c r="F40" s="154"/>
      <c r="G40" s="156"/>
      <c r="H40" s="154"/>
      <c r="I40" s="155"/>
      <c r="J40" s="156">
        <v>6270661</v>
      </c>
      <c r="K40" s="155">
        <f>1697868+4329823+2171637</f>
        <v>8199328</v>
      </c>
      <c r="L40" s="156">
        <v>550000</v>
      </c>
      <c r="M40" s="155"/>
      <c r="N40" s="156"/>
      <c r="O40" s="155"/>
      <c r="P40" s="64"/>
      <c r="Q40" s="94"/>
    </row>
    <row r="41" spans="1:17" x14ac:dyDescent="0.2">
      <c r="A41" s="42" t="s">
        <v>66</v>
      </c>
      <c r="B41" s="43" t="s">
        <v>43</v>
      </c>
      <c r="C41" s="153">
        <f t="shared" si="3"/>
        <v>11763901</v>
      </c>
      <c r="D41" s="154"/>
      <c r="E41" s="176"/>
      <c r="F41" s="154"/>
      <c r="G41" s="156"/>
      <c r="H41" s="154"/>
      <c r="I41" s="155"/>
      <c r="J41" s="156">
        <v>3309659</v>
      </c>
      <c r="K41" s="155">
        <f>846343+2196833+1131956+1279110</f>
        <v>5454242</v>
      </c>
      <c r="L41" s="156">
        <v>32800</v>
      </c>
      <c r="M41" s="155">
        <v>2967200</v>
      </c>
      <c r="N41" s="156"/>
      <c r="O41" s="155"/>
      <c r="P41" s="64"/>
      <c r="Q41" s="94"/>
    </row>
    <row r="42" spans="1:17" x14ac:dyDescent="0.2">
      <c r="A42" s="42" t="s">
        <v>67</v>
      </c>
      <c r="B42" s="43" t="s">
        <v>90</v>
      </c>
      <c r="C42" s="153">
        <f t="shared" si="3"/>
        <v>33962459</v>
      </c>
      <c r="D42" s="154"/>
      <c r="E42" s="176"/>
      <c r="F42" s="154"/>
      <c r="G42" s="156"/>
      <c r="H42" s="154"/>
      <c r="I42" s="155"/>
      <c r="J42" s="156">
        <v>9984678</v>
      </c>
      <c r="K42" s="155">
        <f>4973109+12382362+6322412</f>
        <v>23677883</v>
      </c>
      <c r="L42" s="156">
        <v>299898</v>
      </c>
      <c r="M42" s="155"/>
      <c r="N42" s="156"/>
      <c r="O42" s="155"/>
      <c r="P42" s="64"/>
      <c r="Q42" s="94"/>
    </row>
    <row r="43" spans="1:17" x14ac:dyDescent="0.2">
      <c r="A43" s="42"/>
      <c r="B43" s="43"/>
      <c r="C43" s="153"/>
      <c r="D43" s="154"/>
      <c r="E43" s="176"/>
      <c r="F43" s="154"/>
      <c r="G43" s="156"/>
      <c r="H43" s="154"/>
      <c r="I43" s="155"/>
      <c r="J43" s="156"/>
      <c r="K43" s="155"/>
      <c r="L43" s="156"/>
      <c r="M43" s="155"/>
      <c r="N43" s="156"/>
      <c r="O43" s="155"/>
      <c r="P43" s="64"/>
      <c r="Q43" s="94"/>
    </row>
    <row r="44" spans="1:17" x14ac:dyDescent="0.2">
      <c r="A44" s="45" t="s">
        <v>30</v>
      </c>
      <c r="B44" s="50" t="s">
        <v>82</v>
      </c>
      <c r="C44" s="177">
        <f>SUM(C38:C43)</f>
        <v>87481487</v>
      </c>
      <c r="D44" s="178">
        <f t="shared" ref="D44:O44" si="4">SUM(D38:D43)</f>
        <v>0</v>
      </c>
      <c r="E44" s="179">
        <f t="shared" si="4"/>
        <v>0</v>
      </c>
      <c r="F44" s="180">
        <f t="shared" si="4"/>
        <v>0</v>
      </c>
      <c r="G44" s="178">
        <f t="shared" si="4"/>
        <v>0</v>
      </c>
      <c r="H44" s="179">
        <f t="shared" si="4"/>
        <v>0</v>
      </c>
      <c r="I44" s="180">
        <f t="shared" si="4"/>
        <v>0</v>
      </c>
      <c r="J44" s="178">
        <f t="shared" si="4"/>
        <v>23512319</v>
      </c>
      <c r="K44" s="180">
        <f t="shared" si="4"/>
        <v>59769270</v>
      </c>
      <c r="L44" s="178">
        <f t="shared" si="4"/>
        <v>1232698</v>
      </c>
      <c r="M44" s="180">
        <f t="shared" si="4"/>
        <v>2967200</v>
      </c>
      <c r="N44" s="178">
        <f t="shared" si="4"/>
        <v>0</v>
      </c>
      <c r="O44" s="180">
        <f t="shared" si="4"/>
        <v>0</v>
      </c>
      <c r="P44" s="64"/>
      <c r="Q44" s="94"/>
    </row>
    <row r="45" spans="1:17" x14ac:dyDescent="0.2">
      <c r="A45" s="51"/>
      <c r="B45" s="52"/>
      <c r="C45" s="183"/>
      <c r="D45" s="184"/>
      <c r="E45" s="185"/>
      <c r="F45" s="184"/>
      <c r="G45" s="186"/>
      <c r="H45" s="184"/>
      <c r="I45" s="187"/>
      <c r="J45" s="186"/>
      <c r="K45" s="187"/>
      <c r="L45" s="186"/>
      <c r="M45" s="187"/>
      <c r="N45" s="186"/>
      <c r="O45" s="187"/>
      <c r="P45" s="64"/>
      <c r="Q45" s="94"/>
    </row>
    <row r="46" spans="1:17" x14ac:dyDescent="0.2">
      <c r="A46" s="41" t="s">
        <v>32</v>
      </c>
      <c r="B46" s="53" t="s">
        <v>44</v>
      </c>
      <c r="C46" s="188">
        <f>SUM(D46:M46)</f>
        <v>10946736</v>
      </c>
      <c r="D46" s="189"/>
      <c r="E46" s="179"/>
      <c r="F46" s="189"/>
      <c r="G46" s="190"/>
      <c r="H46" s="191"/>
      <c r="I46" s="192"/>
      <c r="J46" s="190">
        <v>10946736</v>
      </c>
      <c r="K46" s="193"/>
      <c r="L46" s="190"/>
      <c r="M46" s="194"/>
      <c r="N46" s="190"/>
      <c r="O46" s="180"/>
      <c r="P46" s="64"/>
      <c r="Q46" s="94"/>
    </row>
    <row r="47" spans="1:17" ht="13.5" thickBot="1" x14ac:dyDescent="0.25">
      <c r="A47" s="13"/>
      <c r="B47" s="54"/>
      <c r="C47" s="153"/>
      <c r="D47" s="154"/>
      <c r="E47" s="176"/>
      <c r="F47" s="154"/>
      <c r="G47" s="156"/>
      <c r="H47" s="154"/>
      <c r="I47" s="155"/>
      <c r="J47" s="156"/>
      <c r="K47" s="155"/>
      <c r="L47" s="156"/>
      <c r="M47" s="155"/>
      <c r="N47" s="156"/>
      <c r="O47" s="155"/>
      <c r="P47" s="64"/>
      <c r="Q47" s="94"/>
    </row>
    <row r="48" spans="1:17" ht="22.5" thickBot="1" x14ac:dyDescent="0.25">
      <c r="A48" s="55" t="s">
        <v>74</v>
      </c>
      <c r="B48" s="56" t="s">
        <v>78</v>
      </c>
      <c r="C48" s="157">
        <f>SUM(C21+C36+C44+C46)</f>
        <v>165486836</v>
      </c>
      <c r="D48" s="195">
        <f>SUM(D21+D36+D44+D46)</f>
        <v>0</v>
      </c>
      <c r="E48" s="195">
        <f t="shared" ref="E48:O48" si="5">SUM(E21+E36+E44+E46)</f>
        <v>0</v>
      </c>
      <c r="F48" s="195">
        <f t="shared" si="5"/>
        <v>0</v>
      </c>
      <c r="G48" s="195">
        <f t="shared" si="5"/>
        <v>0</v>
      </c>
      <c r="H48" s="195">
        <f t="shared" si="5"/>
        <v>0</v>
      </c>
      <c r="I48" s="195">
        <f t="shared" si="5"/>
        <v>0</v>
      </c>
      <c r="J48" s="195">
        <f t="shared" si="5"/>
        <v>62463273</v>
      </c>
      <c r="K48" s="195">
        <f t="shared" si="5"/>
        <v>81828215</v>
      </c>
      <c r="L48" s="195">
        <f t="shared" si="5"/>
        <v>10752519</v>
      </c>
      <c r="M48" s="195">
        <f t="shared" si="5"/>
        <v>10442829</v>
      </c>
      <c r="N48" s="195">
        <f t="shared" si="5"/>
        <v>0</v>
      </c>
      <c r="O48" s="196">
        <f t="shared" si="5"/>
        <v>0</v>
      </c>
      <c r="P48" s="64"/>
      <c r="Q48" s="94"/>
    </row>
    <row r="49" spans="1:17" x14ac:dyDescent="0.2">
      <c r="A49" s="38"/>
      <c r="B49" s="57"/>
      <c r="C49" s="158"/>
      <c r="D49" s="197"/>
      <c r="E49" s="198"/>
      <c r="F49" s="154"/>
      <c r="G49" s="156"/>
      <c r="H49" s="154"/>
      <c r="I49" s="155"/>
      <c r="J49" s="156"/>
      <c r="K49" s="155"/>
      <c r="L49" s="156"/>
      <c r="M49" s="155"/>
      <c r="N49" s="156"/>
      <c r="O49" s="155"/>
      <c r="P49" s="64"/>
      <c r="Q49" s="94"/>
    </row>
    <row r="50" spans="1:17" x14ac:dyDescent="0.2">
      <c r="A50" s="60" t="s">
        <v>75</v>
      </c>
      <c r="B50" s="61" t="s">
        <v>76</v>
      </c>
      <c r="C50" s="188">
        <f>SUM(D50:M50)</f>
        <v>152451608</v>
      </c>
      <c r="D50" s="154">
        <v>39627388</v>
      </c>
      <c r="E50" s="165"/>
      <c r="F50" s="199"/>
      <c r="G50" s="168"/>
      <c r="H50" s="167"/>
      <c r="I50" s="166"/>
      <c r="J50" s="168">
        <v>112303012</v>
      </c>
      <c r="K50" s="166"/>
      <c r="L50" s="168"/>
      <c r="M50" s="166">
        <v>521208</v>
      </c>
      <c r="N50" s="168"/>
      <c r="O50" s="166"/>
      <c r="P50" s="64"/>
      <c r="Q50" s="94"/>
    </row>
    <row r="51" spans="1:17" ht="13.5" thickBot="1" x14ac:dyDescent="0.25">
      <c r="A51" s="34"/>
      <c r="B51" s="14"/>
      <c r="C51" s="153"/>
      <c r="D51" s="200"/>
      <c r="E51" s="201"/>
      <c r="F51" s="154"/>
      <c r="G51" s="156"/>
      <c r="H51" s="154"/>
      <c r="I51" s="155"/>
      <c r="J51" s="156"/>
      <c r="K51" s="155"/>
      <c r="L51" s="156"/>
      <c r="M51" s="155"/>
      <c r="N51" s="156"/>
      <c r="O51" s="155"/>
      <c r="P51" s="64"/>
      <c r="Q51" s="94"/>
    </row>
    <row r="52" spans="1:17" ht="13.5" thickBot="1" x14ac:dyDescent="0.25">
      <c r="A52" s="84" t="s">
        <v>77</v>
      </c>
      <c r="B52" s="63" t="s">
        <v>83</v>
      </c>
      <c r="C52" s="169">
        <f>SUM(+C48+C50)</f>
        <v>317938444</v>
      </c>
      <c r="D52" s="169">
        <f>SUM(+D48+D50)</f>
        <v>39627388</v>
      </c>
      <c r="E52" s="169">
        <f t="shared" ref="E52:O52" si="6">SUM(+E48+E50)</f>
        <v>0</v>
      </c>
      <c r="F52" s="169">
        <f t="shared" si="6"/>
        <v>0</v>
      </c>
      <c r="G52" s="169">
        <f t="shared" si="6"/>
        <v>0</v>
      </c>
      <c r="H52" s="169">
        <f t="shared" si="6"/>
        <v>0</v>
      </c>
      <c r="I52" s="169">
        <f t="shared" si="6"/>
        <v>0</v>
      </c>
      <c r="J52" s="169">
        <f t="shared" si="6"/>
        <v>174766285</v>
      </c>
      <c r="K52" s="169">
        <f t="shared" si="6"/>
        <v>81828215</v>
      </c>
      <c r="L52" s="169">
        <f t="shared" si="6"/>
        <v>10752519</v>
      </c>
      <c r="M52" s="169">
        <f t="shared" si="6"/>
        <v>10964037</v>
      </c>
      <c r="N52" s="169">
        <f t="shared" si="6"/>
        <v>0</v>
      </c>
      <c r="O52" s="169">
        <f t="shared" si="6"/>
        <v>0</v>
      </c>
      <c r="P52" s="64"/>
      <c r="Q52" s="94"/>
    </row>
    <row r="53" spans="1:17" x14ac:dyDescent="0.2">
      <c r="C53" s="175"/>
      <c r="D53" s="202"/>
      <c r="E53" s="202"/>
      <c r="F53" s="202"/>
      <c r="G53" s="202"/>
      <c r="H53" s="202"/>
      <c r="I53" s="202"/>
      <c r="J53" s="202"/>
      <c r="K53" s="202"/>
      <c r="L53" s="202"/>
      <c r="M53" s="202"/>
      <c r="N53" s="202"/>
      <c r="O53" s="202"/>
      <c r="P53" s="64"/>
      <c r="Q53" s="94"/>
    </row>
    <row r="54" spans="1:17" hidden="1" x14ac:dyDescent="0.2">
      <c r="C54" s="175"/>
      <c r="D54" s="202"/>
      <c r="E54" s="202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64"/>
      <c r="Q54" s="94"/>
    </row>
    <row r="55" spans="1:17" hidden="1" x14ac:dyDescent="0.2">
      <c r="C55" s="175" t="s">
        <v>91</v>
      </c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  <c r="O55" s="202"/>
      <c r="P55" s="64"/>
      <c r="Q55" s="94"/>
    </row>
    <row r="56" spans="1:17" hidden="1" x14ac:dyDescent="0.2">
      <c r="B56" s="1">
        <v>2400000</v>
      </c>
      <c r="C56" s="175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/>
      <c r="P56" s="64"/>
      <c r="Q56" s="94"/>
    </row>
    <row r="57" spans="1:17" hidden="1" x14ac:dyDescent="0.2">
      <c r="B57" s="1">
        <v>378900</v>
      </c>
      <c r="C57" s="175"/>
      <c r="D57" s="175"/>
      <c r="E57" s="202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64"/>
      <c r="Q57" s="94"/>
    </row>
    <row r="58" spans="1:17" hidden="1" x14ac:dyDescent="0.2">
      <c r="B58" s="1">
        <v>2500000</v>
      </c>
      <c r="C58" s="175"/>
      <c r="D58" s="175"/>
      <c r="E58" s="202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64"/>
      <c r="Q58" s="94"/>
    </row>
    <row r="59" spans="1:17" hidden="1" x14ac:dyDescent="0.2">
      <c r="C59" s="202">
        <v>702648</v>
      </c>
      <c r="D59" s="202"/>
      <c r="E59" s="202"/>
      <c r="F59" s="175"/>
      <c r="G59" s="175"/>
      <c r="H59" s="175"/>
      <c r="I59" s="175"/>
      <c r="J59" s="202"/>
      <c r="K59" s="202"/>
      <c r="L59" s="202"/>
      <c r="M59" s="175"/>
      <c r="N59" s="175"/>
      <c r="O59" s="175"/>
      <c r="P59" s="64"/>
      <c r="Q59" s="94"/>
    </row>
    <row r="60" spans="1:17" hidden="1" x14ac:dyDescent="0.2">
      <c r="B60" s="1">
        <v>1600000</v>
      </c>
      <c r="C60" s="175"/>
      <c r="D60" s="202"/>
      <c r="E60" s="202"/>
      <c r="F60" s="175"/>
      <c r="G60" s="175"/>
      <c r="H60" s="175"/>
      <c r="I60" s="175"/>
      <c r="J60" s="202"/>
      <c r="K60" s="202"/>
      <c r="L60" s="202"/>
      <c r="M60" s="175"/>
      <c r="N60" s="175"/>
      <c r="O60" s="175"/>
      <c r="P60" s="64"/>
      <c r="Q60" s="94"/>
    </row>
    <row r="61" spans="1:17" hidden="1" x14ac:dyDescent="0.2">
      <c r="C61" s="202">
        <v>1288000</v>
      </c>
      <c r="D61" s="202"/>
      <c r="E61" s="202"/>
      <c r="F61" s="175"/>
      <c r="G61" s="175"/>
      <c r="H61" s="175"/>
      <c r="I61" s="175"/>
      <c r="J61" s="202"/>
      <c r="K61" s="202"/>
      <c r="L61" s="202"/>
      <c r="M61" s="175"/>
      <c r="N61" s="175"/>
      <c r="O61" s="175"/>
      <c r="P61" s="64"/>
      <c r="Q61" s="94"/>
    </row>
    <row r="62" spans="1:17" hidden="1" x14ac:dyDescent="0.2">
      <c r="B62" s="1">
        <v>1166000</v>
      </c>
      <c r="C62" s="175"/>
      <c r="D62" s="202"/>
      <c r="E62" s="202"/>
      <c r="F62" s="175"/>
      <c r="G62" s="175"/>
      <c r="H62" s="175"/>
      <c r="I62" s="175"/>
      <c r="J62" s="202"/>
      <c r="K62" s="202"/>
      <c r="L62" s="202"/>
      <c r="M62" s="175"/>
      <c r="N62" s="175"/>
      <c r="O62" s="175"/>
      <c r="P62" s="64"/>
      <c r="Q62" s="94"/>
    </row>
    <row r="63" spans="1:17" hidden="1" x14ac:dyDescent="0.2">
      <c r="B63" s="1">
        <v>4816560</v>
      </c>
      <c r="C63" s="175"/>
      <c r="D63" s="202"/>
      <c r="E63" s="202"/>
      <c r="F63" s="175"/>
      <c r="G63" s="175"/>
      <c r="H63" s="175"/>
      <c r="I63" s="175"/>
      <c r="J63" s="202"/>
      <c r="K63" s="202"/>
      <c r="L63" s="202"/>
      <c r="M63" s="175"/>
      <c r="N63" s="175"/>
      <c r="O63" s="175"/>
      <c r="P63" s="64"/>
      <c r="Q63" s="94"/>
    </row>
    <row r="64" spans="1:17" hidden="1" x14ac:dyDescent="0.2">
      <c r="C64" s="202">
        <v>4976624</v>
      </c>
      <c r="D64" s="202"/>
      <c r="E64" s="202"/>
      <c r="F64" s="175"/>
      <c r="G64" s="175"/>
      <c r="H64" s="175"/>
      <c r="I64" s="175"/>
      <c r="J64" s="202"/>
      <c r="K64" s="202"/>
      <c r="L64" s="202"/>
      <c r="M64" s="175"/>
      <c r="N64" s="175"/>
      <c r="O64" s="175"/>
      <c r="P64" s="64"/>
      <c r="Q64" s="94"/>
    </row>
    <row r="65" spans="2:17" hidden="1" x14ac:dyDescent="0.2">
      <c r="B65" s="1">
        <v>23507261</v>
      </c>
      <c r="C65" s="175"/>
      <c r="D65" s="202"/>
      <c r="E65" s="202"/>
      <c r="F65" s="175"/>
      <c r="G65" s="175"/>
      <c r="H65" s="175"/>
      <c r="I65" s="175"/>
      <c r="J65" s="202"/>
      <c r="K65" s="202"/>
      <c r="L65" s="202"/>
      <c r="M65" s="175"/>
      <c r="N65" s="175"/>
      <c r="O65" s="175"/>
      <c r="P65" s="64"/>
      <c r="Q65" s="94"/>
    </row>
    <row r="66" spans="2:17" hidden="1" x14ac:dyDescent="0.2">
      <c r="B66" s="1">
        <v>7290774</v>
      </c>
      <c r="C66" s="175"/>
      <c r="D66" s="175"/>
      <c r="E66" s="202"/>
      <c r="F66" s="175"/>
      <c r="G66" s="175"/>
      <c r="H66" s="175"/>
      <c r="I66" s="175"/>
      <c r="J66" s="202"/>
      <c r="K66" s="202"/>
      <c r="L66" s="202"/>
      <c r="M66" s="175"/>
      <c r="N66" s="175"/>
      <c r="O66" s="175"/>
      <c r="P66" s="64"/>
      <c r="Q66" s="94"/>
    </row>
    <row r="67" spans="2:17" hidden="1" x14ac:dyDescent="0.2">
      <c r="B67" s="1">
        <v>1570000</v>
      </c>
      <c r="C67" s="175"/>
      <c r="D67" s="175"/>
      <c r="E67" s="202"/>
      <c r="F67" s="175"/>
      <c r="G67" s="175"/>
      <c r="H67" s="175"/>
      <c r="I67" s="175"/>
      <c r="J67" s="202"/>
      <c r="K67" s="202"/>
      <c r="L67" s="202"/>
      <c r="M67" s="175"/>
      <c r="N67" s="175"/>
      <c r="O67" s="175"/>
      <c r="P67" s="64"/>
      <c r="Q67" s="94"/>
    </row>
    <row r="68" spans="2:17" hidden="1" x14ac:dyDescent="0.2">
      <c r="B68" s="1">
        <v>10550000</v>
      </c>
      <c r="C68" s="175"/>
      <c r="D68" s="175"/>
      <c r="E68" s="202"/>
      <c r="F68" s="175"/>
      <c r="G68" s="175"/>
      <c r="H68" s="175"/>
      <c r="I68" s="175"/>
      <c r="J68" s="202"/>
      <c r="K68" s="202"/>
      <c r="L68" s="202"/>
      <c r="M68" s="175"/>
      <c r="N68" s="175"/>
      <c r="O68" s="175"/>
      <c r="P68" s="64"/>
      <c r="Q68" s="94"/>
    </row>
    <row r="69" spans="2:17" hidden="1" x14ac:dyDescent="0.2">
      <c r="B69" s="1">
        <v>6600000</v>
      </c>
      <c r="C69" s="175"/>
      <c r="D69" s="175"/>
      <c r="E69" s="202"/>
      <c r="F69" s="175"/>
      <c r="G69" s="175"/>
      <c r="H69" s="175"/>
      <c r="I69" s="175"/>
      <c r="J69" s="175"/>
      <c r="K69" s="175"/>
      <c r="L69" s="175"/>
      <c r="M69" s="175"/>
      <c r="N69" s="175"/>
      <c r="O69" s="175"/>
      <c r="P69" s="64"/>
      <c r="Q69" s="94"/>
    </row>
    <row r="70" spans="2:17" hidden="1" x14ac:dyDescent="0.2">
      <c r="B70" s="1">
        <v>4392000</v>
      </c>
      <c r="C70" s="175"/>
      <c r="D70" s="175"/>
      <c r="E70" s="202"/>
      <c r="F70" s="175"/>
      <c r="G70" s="175"/>
      <c r="H70" s="175"/>
      <c r="I70" s="175"/>
      <c r="J70" s="175"/>
      <c r="K70" s="175"/>
      <c r="L70" s="175"/>
      <c r="M70" s="175"/>
      <c r="N70" s="175"/>
      <c r="O70" s="175"/>
      <c r="P70" s="64"/>
      <c r="Q70" s="94"/>
    </row>
    <row r="71" spans="2:17" hidden="1" x14ac:dyDescent="0.2">
      <c r="B71" s="1">
        <v>4514000</v>
      </c>
      <c r="C71" s="175"/>
      <c r="D71" s="175"/>
      <c r="E71" s="202"/>
      <c r="F71" s="175"/>
      <c r="G71" s="175"/>
      <c r="H71" s="175"/>
      <c r="I71" s="175"/>
      <c r="J71" s="175"/>
      <c r="K71" s="175"/>
      <c r="L71" s="175"/>
      <c r="M71" s="175"/>
      <c r="N71" s="175"/>
      <c r="O71" s="175"/>
      <c r="P71" s="64"/>
      <c r="Q71" s="94"/>
    </row>
    <row r="72" spans="2:17" hidden="1" x14ac:dyDescent="0.2">
      <c r="C72" s="175">
        <v>244000</v>
      </c>
      <c r="D72" s="175"/>
      <c r="E72" s="202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64"/>
      <c r="Q72" s="94"/>
    </row>
    <row r="73" spans="2:17" hidden="1" x14ac:dyDescent="0.2">
      <c r="B73" s="1">
        <v>1464000</v>
      </c>
      <c r="C73" s="175"/>
      <c r="D73" s="175"/>
      <c r="E73" s="202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64"/>
      <c r="Q73" s="94"/>
    </row>
    <row r="74" spans="2:17" hidden="1" x14ac:dyDescent="0.2">
      <c r="C74" s="202">
        <v>10000000</v>
      </c>
      <c r="D74" s="175"/>
      <c r="E74" s="202"/>
      <c r="F74" s="175"/>
      <c r="G74" s="175"/>
      <c r="H74" s="175"/>
      <c r="I74" s="175"/>
      <c r="J74" s="175"/>
      <c r="K74" s="175"/>
      <c r="L74" s="175"/>
      <c r="M74" s="175"/>
      <c r="N74" s="175"/>
      <c r="O74" s="175"/>
      <c r="P74" s="64"/>
      <c r="Q74" s="94"/>
    </row>
    <row r="75" spans="2:17" hidden="1" x14ac:dyDescent="0.2">
      <c r="B75" s="1">
        <v>2658136</v>
      </c>
      <c r="C75" s="202"/>
      <c r="D75" s="175"/>
      <c r="E75" s="202"/>
      <c r="F75" s="175"/>
      <c r="G75" s="175"/>
      <c r="H75" s="175"/>
      <c r="I75" s="175"/>
      <c r="J75" s="175"/>
      <c r="K75" s="175"/>
      <c r="L75" s="175"/>
      <c r="M75" s="175"/>
      <c r="N75" s="175"/>
      <c r="O75" s="175"/>
      <c r="P75" s="64"/>
      <c r="Q75" s="94"/>
    </row>
    <row r="76" spans="2:17" hidden="1" x14ac:dyDescent="0.2">
      <c r="B76" s="1">
        <v>1291000</v>
      </c>
      <c r="C76" s="202"/>
      <c r="D76" s="175"/>
      <c r="E76" s="202"/>
      <c r="F76" s="175"/>
      <c r="G76" s="175"/>
      <c r="H76" s="175"/>
      <c r="I76" s="175"/>
      <c r="J76" s="175"/>
      <c r="K76" s="175"/>
      <c r="L76" s="175"/>
      <c r="M76" s="175"/>
      <c r="N76" s="175"/>
      <c r="O76" s="175"/>
      <c r="P76" s="64"/>
      <c r="Q76" s="94"/>
    </row>
    <row r="77" spans="2:17" hidden="1" x14ac:dyDescent="0.2">
      <c r="B77" s="1">
        <v>10595000</v>
      </c>
      <c r="C77" s="202"/>
      <c r="D77" s="175"/>
      <c r="E77" s="202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64"/>
      <c r="Q77" s="94"/>
    </row>
    <row r="78" spans="2:17" hidden="1" x14ac:dyDescent="0.2">
      <c r="B78" s="1">
        <v>400672</v>
      </c>
      <c r="C78" s="175"/>
      <c r="D78" s="175"/>
      <c r="E78" s="202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64"/>
      <c r="Q78" s="94"/>
    </row>
    <row r="79" spans="2:17" hidden="1" x14ac:dyDescent="0.2">
      <c r="C79" s="175">
        <v>3285142</v>
      </c>
      <c r="D79" s="175"/>
      <c r="E79" s="202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64"/>
      <c r="Q79" s="94"/>
    </row>
    <row r="80" spans="2:17" hidden="1" x14ac:dyDescent="0.2">
      <c r="B80" s="1">
        <v>1695750</v>
      </c>
      <c r="C80" s="202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64"/>
      <c r="Q80" s="94"/>
    </row>
    <row r="81" spans="2:17" hidden="1" x14ac:dyDescent="0.2">
      <c r="B81" s="1">
        <v>3522994</v>
      </c>
      <c r="C81" s="175"/>
      <c r="D81" s="175"/>
      <c r="E81" s="175"/>
      <c r="F81" s="175"/>
      <c r="G81" s="175"/>
      <c r="H81" s="175"/>
      <c r="I81" s="175"/>
      <c r="J81" s="175"/>
      <c r="K81" s="175"/>
      <c r="L81" s="175"/>
      <c r="M81" s="175"/>
      <c r="N81" s="175"/>
      <c r="O81" s="175"/>
      <c r="P81" s="64"/>
      <c r="Q81" s="94"/>
    </row>
    <row r="82" spans="2:17" hidden="1" x14ac:dyDescent="0.2">
      <c r="B82" s="1">
        <v>2968000</v>
      </c>
      <c r="C82" s="175"/>
      <c r="D82" s="175"/>
      <c r="E82" s="175"/>
      <c r="F82" s="175"/>
      <c r="G82" s="175"/>
      <c r="H82" s="175"/>
      <c r="I82" s="175"/>
      <c r="J82" s="175"/>
      <c r="K82" s="175"/>
      <c r="L82" s="175"/>
      <c r="M82" s="175"/>
      <c r="N82" s="175"/>
      <c r="O82" s="175"/>
      <c r="P82" s="64"/>
      <c r="Q82" s="94"/>
    </row>
    <row r="83" spans="2:17" hidden="1" x14ac:dyDescent="0.2">
      <c r="B83" s="1">
        <v>2228000</v>
      </c>
      <c r="C83" s="175"/>
      <c r="D83" s="175"/>
      <c r="E83" s="175"/>
      <c r="F83" s="175"/>
      <c r="G83" s="175"/>
      <c r="H83" s="175"/>
      <c r="I83" s="175"/>
      <c r="J83" s="175"/>
      <c r="K83" s="175"/>
      <c r="L83" s="175"/>
      <c r="M83" s="175"/>
      <c r="N83" s="175"/>
      <c r="O83" s="175"/>
      <c r="P83" s="64"/>
      <c r="Q83" s="94"/>
    </row>
    <row r="84" spans="2:17" hidden="1" x14ac:dyDescent="0.2">
      <c r="B84" s="1">
        <v>3182000</v>
      </c>
      <c r="C84" s="175"/>
      <c r="D84" s="175"/>
      <c r="E84" s="175"/>
      <c r="F84" s="175"/>
      <c r="G84" s="175"/>
      <c r="H84" s="175"/>
      <c r="I84" s="175"/>
      <c r="J84" s="175"/>
      <c r="K84" s="175"/>
      <c r="L84" s="175"/>
      <c r="M84" s="175"/>
      <c r="N84" s="175"/>
      <c r="O84" s="175"/>
      <c r="P84" s="64"/>
      <c r="Q84" s="94"/>
    </row>
    <row r="85" spans="2:17" hidden="1" x14ac:dyDescent="0.2">
      <c r="B85" s="1">
        <v>3405000</v>
      </c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64"/>
      <c r="Q85" s="94"/>
    </row>
    <row r="86" spans="2:17" hidden="1" x14ac:dyDescent="0.2"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64"/>
      <c r="Q86" s="94"/>
    </row>
    <row r="87" spans="2:17" hidden="1" x14ac:dyDescent="0.2"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64"/>
      <c r="Q87" s="94"/>
    </row>
    <row r="88" spans="2:17" hidden="1" x14ac:dyDescent="0.2"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64"/>
      <c r="Q88" s="94"/>
    </row>
    <row r="89" spans="2:17" hidden="1" x14ac:dyDescent="0.2"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64"/>
      <c r="Q89" s="94"/>
    </row>
    <row r="90" spans="2:17" hidden="1" x14ac:dyDescent="0.2"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64"/>
      <c r="Q90" s="94"/>
    </row>
    <row r="91" spans="2:17" hidden="1" x14ac:dyDescent="0.2"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64"/>
      <c r="Q91" s="94"/>
    </row>
    <row r="92" spans="2:17" x14ac:dyDescent="0.2">
      <c r="C92" s="174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5"/>
      <c r="O92" s="175"/>
      <c r="P92" s="64"/>
      <c r="Q92" s="94"/>
    </row>
    <row r="93" spans="2:17" x14ac:dyDescent="0.2">
      <c r="C93" s="174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5"/>
      <c r="O93" s="175"/>
      <c r="P93" s="64"/>
      <c r="Q93" s="94"/>
    </row>
    <row r="94" spans="2:17" x14ac:dyDescent="0.2">
      <c r="C94" s="203"/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64"/>
      <c r="Q94" s="94"/>
    </row>
    <row r="95" spans="2:17" x14ac:dyDescent="0.2">
      <c r="C95" s="202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64"/>
      <c r="Q95" s="94"/>
    </row>
    <row r="96" spans="2:17" x14ac:dyDescent="0.2">
      <c r="C96" s="202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64"/>
      <c r="Q96" s="94"/>
    </row>
    <row r="97" spans="2:17" x14ac:dyDescent="0.2">
      <c r="C97" s="202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64"/>
      <c r="Q97" s="94"/>
    </row>
    <row r="98" spans="2:17" x14ac:dyDescent="0.2">
      <c r="C98" s="202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64"/>
      <c r="Q98" s="94"/>
    </row>
    <row r="99" spans="2:17" x14ac:dyDescent="0.2">
      <c r="C99" s="202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5"/>
      <c r="O99" s="175"/>
      <c r="P99" s="64"/>
      <c r="Q99" s="94"/>
    </row>
    <row r="100" spans="2:17" x14ac:dyDescent="0.2">
      <c r="C100" s="202"/>
      <c r="D100" s="175"/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64"/>
      <c r="Q100" s="94"/>
    </row>
    <row r="101" spans="2:17" x14ac:dyDescent="0.2">
      <c r="C101" s="202"/>
      <c r="D101" s="175"/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64"/>
      <c r="Q101" s="94"/>
    </row>
    <row r="102" spans="2:17" x14ac:dyDescent="0.2">
      <c r="C102" s="202"/>
      <c r="D102" s="175"/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64"/>
      <c r="Q102" s="94"/>
    </row>
    <row r="103" spans="2:17" x14ac:dyDescent="0.2">
      <c r="C103" s="202"/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5"/>
      <c r="O103" s="175"/>
      <c r="P103" s="64"/>
    </row>
    <row r="104" spans="2:17" x14ac:dyDescent="0.2">
      <c r="B104" s="65"/>
      <c r="C104" s="202"/>
      <c r="D104" s="175"/>
      <c r="E104" s="175"/>
      <c r="F104" s="175"/>
      <c r="G104" s="175"/>
      <c r="H104" s="175"/>
      <c r="I104" s="175"/>
      <c r="J104" s="175"/>
      <c r="K104" s="175"/>
      <c r="L104" s="175"/>
      <c r="M104" s="175"/>
      <c r="N104" s="175"/>
      <c r="O104" s="175"/>
      <c r="P104" s="2"/>
    </row>
    <row r="105" spans="2:17" x14ac:dyDescent="0.2">
      <c r="B105" s="65"/>
      <c r="C105" s="202"/>
      <c r="D105" s="175"/>
      <c r="E105" s="175"/>
      <c r="F105" s="175"/>
      <c r="G105" s="175"/>
      <c r="H105" s="175"/>
      <c r="I105" s="175"/>
      <c r="J105" s="175"/>
      <c r="K105" s="175"/>
      <c r="L105" s="175"/>
      <c r="M105" s="175"/>
      <c r="N105" s="175"/>
      <c r="O105" s="175"/>
      <c r="P105" s="2"/>
    </row>
    <row r="106" spans="2:17" x14ac:dyDescent="0.2">
      <c r="B106" s="65"/>
      <c r="C106" s="202"/>
      <c r="D106" s="175"/>
      <c r="E106" s="175"/>
      <c r="F106" s="175"/>
      <c r="G106" s="175"/>
      <c r="H106" s="175"/>
      <c r="I106" s="175"/>
      <c r="J106" s="175"/>
      <c r="K106" s="175"/>
      <c r="L106" s="175"/>
      <c r="M106" s="175"/>
      <c r="N106" s="175"/>
      <c r="O106" s="175"/>
      <c r="P106" s="2"/>
    </row>
    <row r="107" spans="2:17" x14ac:dyDescent="0.2">
      <c r="C107" s="202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5"/>
      <c r="O107" s="175"/>
      <c r="P107" s="2"/>
    </row>
    <row r="108" spans="2:17" x14ac:dyDescent="0.2">
      <c r="C108" s="202"/>
      <c r="D108" s="175"/>
      <c r="E108" s="175"/>
      <c r="F108" s="175"/>
      <c r="G108" s="175"/>
      <c r="H108" s="175"/>
      <c r="I108" s="175"/>
      <c r="J108" s="175"/>
      <c r="K108" s="175"/>
      <c r="L108" s="175"/>
      <c r="M108" s="175"/>
      <c r="N108" s="175"/>
      <c r="O108" s="175"/>
      <c r="P108" s="2"/>
    </row>
    <row r="109" spans="2:17" x14ac:dyDescent="0.2">
      <c r="C109" s="202"/>
      <c r="D109" s="175"/>
      <c r="E109" s="175"/>
      <c r="F109" s="175"/>
      <c r="G109" s="175"/>
      <c r="H109" s="175"/>
      <c r="I109" s="175"/>
      <c r="J109" s="175"/>
      <c r="K109" s="175"/>
      <c r="L109" s="175"/>
      <c r="M109" s="175"/>
      <c r="N109" s="175"/>
      <c r="O109" s="175"/>
      <c r="P109" s="2"/>
    </row>
    <row r="110" spans="2:17" x14ac:dyDescent="0.2">
      <c r="C110" s="202"/>
      <c r="D110" s="175"/>
      <c r="E110" s="175"/>
      <c r="F110" s="175"/>
      <c r="G110" s="175"/>
      <c r="H110" s="175"/>
      <c r="I110" s="175"/>
      <c r="J110" s="175"/>
      <c r="K110" s="175"/>
      <c r="L110" s="175"/>
      <c r="M110" s="175"/>
      <c r="N110" s="175"/>
      <c r="O110" s="175"/>
      <c r="P110" s="2"/>
    </row>
    <row r="111" spans="2:17" x14ac:dyDescent="0.2">
      <c r="C111" s="202"/>
      <c r="D111" s="175"/>
      <c r="E111" s="175"/>
      <c r="F111" s="175"/>
      <c r="G111" s="175"/>
      <c r="H111" s="175"/>
      <c r="I111" s="175"/>
      <c r="J111" s="175"/>
      <c r="K111" s="175"/>
      <c r="L111" s="175"/>
      <c r="M111" s="175"/>
      <c r="N111" s="175"/>
      <c r="O111" s="175"/>
      <c r="P111" s="2"/>
    </row>
    <row r="112" spans="2:17" x14ac:dyDescent="0.2">
      <c r="C112" s="202"/>
      <c r="D112" s="175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2"/>
    </row>
    <row r="113" spans="3:16" x14ac:dyDescent="0.2">
      <c r="C113" s="202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2"/>
    </row>
    <row r="114" spans="3:16" x14ac:dyDescent="0.2">
      <c r="C114" s="202"/>
      <c r="D114" s="175"/>
      <c r="E114" s="175"/>
      <c r="F114" s="175"/>
      <c r="G114" s="175"/>
      <c r="H114" s="175"/>
      <c r="I114" s="175"/>
      <c r="J114" s="175"/>
      <c r="K114" s="175"/>
      <c r="L114" s="175"/>
      <c r="M114" s="175"/>
      <c r="N114" s="175"/>
      <c r="O114" s="175"/>
      <c r="P114" s="2"/>
    </row>
    <row r="115" spans="3:16" x14ac:dyDescent="0.2">
      <c r="C115" s="202"/>
      <c r="D115" s="175"/>
      <c r="E115" s="175"/>
      <c r="F115" s="175"/>
      <c r="G115" s="175"/>
      <c r="H115" s="175"/>
      <c r="I115" s="175"/>
      <c r="J115" s="175"/>
      <c r="K115" s="175"/>
      <c r="L115" s="175"/>
      <c r="M115" s="175"/>
      <c r="N115" s="175"/>
      <c r="O115" s="175"/>
      <c r="P115" s="2"/>
    </row>
    <row r="116" spans="3:16" x14ac:dyDescent="0.2">
      <c r="C116" s="202"/>
      <c r="D116" s="175"/>
      <c r="E116" s="175"/>
      <c r="F116" s="175"/>
      <c r="G116" s="175"/>
      <c r="H116" s="175"/>
      <c r="I116" s="175"/>
      <c r="J116" s="175"/>
      <c r="K116" s="175"/>
      <c r="L116" s="175"/>
      <c r="M116" s="175"/>
      <c r="N116" s="175"/>
      <c r="O116" s="175"/>
      <c r="P116" s="2"/>
    </row>
    <row r="117" spans="3:16" x14ac:dyDescent="0.2">
      <c r="C117" s="202"/>
      <c r="D117" s="175"/>
      <c r="E117" s="175"/>
      <c r="F117" s="175"/>
      <c r="G117" s="175"/>
      <c r="H117" s="175"/>
      <c r="I117" s="175"/>
      <c r="J117" s="175"/>
      <c r="K117" s="175"/>
      <c r="L117" s="175"/>
      <c r="M117" s="175"/>
      <c r="N117" s="175"/>
      <c r="O117" s="175"/>
      <c r="P117" s="2"/>
    </row>
    <row r="118" spans="3:16" x14ac:dyDescent="0.2">
      <c r="C118" s="202"/>
      <c r="D118" s="175"/>
      <c r="E118" s="175"/>
      <c r="F118" s="175"/>
      <c r="G118" s="175"/>
      <c r="H118" s="175"/>
      <c r="I118" s="175"/>
      <c r="J118" s="175"/>
      <c r="K118" s="175"/>
      <c r="L118" s="175"/>
      <c r="M118" s="175"/>
      <c r="N118" s="175"/>
      <c r="O118" s="175"/>
      <c r="P118" s="2"/>
    </row>
    <row r="119" spans="3:16" x14ac:dyDescent="0.2">
      <c r="C119" s="202"/>
      <c r="D119" s="175"/>
      <c r="E119" s="175"/>
      <c r="F119" s="175"/>
      <c r="G119" s="175"/>
      <c r="H119" s="175"/>
      <c r="I119" s="175"/>
      <c r="J119" s="175"/>
      <c r="K119" s="175"/>
      <c r="L119" s="175"/>
      <c r="M119" s="175"/>
      <c r="N119" s="175"/>
      <c r="O119" s="175"/>
      <c r="P119" s="2"/>
    </row>
    <row r="120" spans="3:16" x14ac:dyDescent="0.2">
      <c r="C120" s="202"/>
      <c r="D120" s="175"/>
      <c r="E120" s="175"/>
      <c r="F120" s="175"/>
      <c r="G120" s="175"/>
      <c r="H120" s="175"/>
      <c r="I120" s="175"/>
      <c r="J120" s="175"/>
      <c r="K120" s="175"/>
      <c r="L120" s="175"/>
      <c r="M120" s="175"/>
      <c r="N120" s="175"/>
      <c r="O120" s="175"/>
      <c r="P120" s="2"/>
    </row>
    <row r="121" spans="3:16" x14ac:dyDescent="0.2">
      <c r="C121" s="202"/>
      <c r="D121" s="175"/>
      <c r="E121" s="175"/>
      <c r="F121" s="175"/>
      <c r="G121" s="175"/>
      <c r="H121" s="175"/>
      <c r="I121" s="175"/>
      <c r="J121" s="175"/>
      <c r="K121" s="175"/>
      <c r="L121" s="175"/>
      <c r="M121" s="175"/>
      <c r="N121" s="175"/>
      <c r="O121" s="175"/>
      <c r="P121" s="2"/>
    </row>
    <row r="122" spans="3:16" x14ac:dyDescent="0.2">
      <c r="C122" s="202"/>
      <c r="D122" s="175"/>
      <c r="E122" s="175"/>
      <c r="F122" s="175"/>
      <c r="G122" s="175"/>
      <c r="H122" s="175"/>
      <c r="I122" s="175"/>
      <c r="J122" s="175"/>
      <c r="K122" s="175"/>
      <c r="L122" s="175"/>
      <c r="M122" s="175"/>
      <c r="N122" s="175"/>
      <c r="O122" s="175"/>
      <c r="P122" s="2"/>
    </row>
    <row r="123" spans="3:16" x14ac:dyDescent="0.2">
      <c r="C123" s="202"/>
      <c r="D123" s="175"/>
      <c r="E123" s="175"/>
      <c r="F123" s="175"/>
      <c r="G123" s="175"/>
      <c r="H123" s="175"/>
      <c r="I123" s="175"/>
      <c r="J123" s="175"/>
      <c r="K123" s="175"/>
      <c r="L123" s="175"/>
      <c r="M123" s="175"/>
      <c r="N123" s="175"/>
      <c r="O123" s="175"/>
      <c r="P123" s="2"/>
    </row>
    <row r="124" spans="3:16" x14ac:dyDescent="0.2">
      <c r="C124" s="202"/>
      <c r="D124" s="175"/>
      <c r="E124" s="175"/>
      <c r="F124" s="175"/>
      <c r="G124" s="175"/>
      <c r="H124" s="175"/>
      <c r="I124" s="175"/>
      <c r="J124" s="175"/>
      <c r="K124" s="175"/>
      <c r="L124" s="175"/>
      <c r="M124" s="175"/>
      <c r="N124" s="175"/>
      <c r="O124" s="175"/>
      <c r="P124" s="2"/>
    </row>
    <row r="125" spans="3:16" x14ac:dyDescent="0.2">
      <c r="C125" s="202"/>
      <c r="D125" s="175"/>
      <c r="E125" s="175"/>
      <c r="F125" s="175"/>
      <c r="G125" s="175"/>
      <c r="H125" s="175"/>
      <c r="I125" s="175"/>
      <c r="J125" s="175"/>
      <c r="K125" s="175"/>
      <c r="L125" s="175"/>
      <c r="M125" s="175"/>
      <c r="N125" s="175"/>
      <c r="O125" s="175"/>
      <c r="P125" s="2"/>
    </row>
    <row r="126" spans="3:16" x14ac:dyDescent="0.2">
      <c r="C126" s="202"/>
      <c r="D126" s="175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2"/>
    </row>
    <row r="127" spans="3:16" x14ac:dyDescent="0.2">
      <c r="C127" s="202"/>
      <c r="D127" s="175"/>
      <c r="E127" s="175"/>
      <c r="F127" s="175"/>
      <c r="G127" s="175"/>
      <c r="H127" s="175"/>
      <c r="I127" s="175"/>
      <c r="J127" s="175"/>
      <c r="K127" s="175"/>
      <c r="L127" s="175"/>
      <c r="M127" s="175"/>
      <c r="N127" s="175"/>
      <c r="O127" s="175"/>
      <c r="P127" s="2"/>
    </row>
    <row r="128" spans="3:16" x14ac:dyDescent="0.2">
      <c r="C128" s="202"/>
      <c r="D128" s="175"/>
      <c r="E128" s="175"/>
      <c r="F128" s="175"/>
      <c r="G128" s="175"/>
      <c r="H128" s="175"/>
      <c r="I128" s="175"/>
      <c r="J128" s="175"/>
      <c r="K128" s="175"/>
      <c r="L128" s="175"/>
      <c r="M128" s="175"/>
      <c r="N128" s="175"/>
      <c r="O128" s="175"/>
      <c r="P128" s="2"/>
    </row>
    <row r="129" spans="3:16" x14ac:dyDescent="0.2">
      <c r="C129" s="175"/>
      <c r="D129" s="175"/>
      <c r="E129" s="175"/>
      <c r="F129" s="175"/>
      <c r="G129" s="175"/>
      <c r="H129" s="175"/>
      <c r="I129" s="175"/>
      <c r="J129" s="175"/>
      <c r="K129" s="175"/>
      <c r="L129" s="175"/>
      <c r="M129" s="175"/>
      <c r="N129" s="175"/>
      <c r="O129" s="175"/>
      <c r="P129" s="2"/>
    </row>
    <row r="130" spans="3:16" x14ac:dyDescent="0.2">
      <c r="C130" s="175"/>
      <c r="D130" s="175"/>
      <c r="E130" s="175"/>
      <c r="F130" s="175"/>
      <c r="G130" s="175"/>
      <c r="H130" s="175"/>
      <c r="I130" s="175"/>
      <c r="J130" s="175"/>
      <c r="K130" s="175"/>
      <c r="L130" s="175"/>
      <c r="M130" s="175"/>
      <c r="N130" s="175"/>
      <c r="O130" s="175"/>
      <c r="P130" s="2"/>
    </row>
    <row r="131" spans="3:16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</row>
    <row r="132" spans="3:16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</row>
  </sheetData>
  <mergeCells count="7">
    <mergeCell ref="N1:O1"/>
    <mergeCell ref="D9:M9"/>
    <mergeCell ref="N9:O9"/>
    <mergeCell ref="D10:I10"/>
    <mergeCell ref="J10:M10"/>
    <mergeCell ref="A4:O4"/>
    <mergeCell ref="B6:N6"/>
  </mergeCells>
  <phoneticPr fontId="19" type="noConversion"/>
  <printOptions horizontalCentered="1" verticalCentered="1"/>
  <pageMargins left="7.874015748031496E-2" right="7.874015748031496E-2" top="0.31496062992125984" bottom="0.31496062992125984" header="0.19685039370078741" footer="0.1574803149606299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5.sz. melléklet</vt:lpstr>
      <vt:lpstr>6. sz. melléklet</vt:lpstr>
      <vt:lpstr>'5.sz. melléklet'!Nyomtatási_terület</vt:lpstr>
      <vt:lpstr>'6. sz. melléklet'!Nyomtatási_terület</vt:lpstr>
    </vt:vector>
  </TitlesOfParts>
  <Company>Budapest II. Kerületi Önkormányzat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</dc:creator>
  <cp:lastModifiedBy>Annus Béláné</cp:lastModifiedBy>
  <cp:lastPrinted>2020-05-20T07:09:51Z</cp:lastPrinted>
  <dcterms:created xsi:type="dcterms:W3CDTF">2013-05-29T08:17:59Z</dcterms:created>
  <dcterms:modified xsi:type="dcterms:W3CDTF">2022-05-23T09:43:50Z</dcterms:modified>
</cp:coreProperties>
</file>