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Rendelet módosítások\Első módosítás maradványos\"/>
    </mc:Choice>
  </mc:AlternateContent>
  <bookViews>
    <workbookView xWindow="0" yWindow="0" windowWidth="28800" windowHeight="11835" activeTab="1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M50" i="2" l="1"/>
  <c r="K50" i="2"/>
  <c r="J50" i="20"/>
  <c r="I50" i="20"/>
  <c r="I46" i="20"/>
  <c r="F50" i="20"/>
  <c r="F46" i="20"/>
  <c r="F40" i="20"/>
  <c r="F39" i="20"/>
  <c r="E42" i="20"/>
  <c r="E40" i="20"/>
  <c r="E39" i="20"/>
  <c r="E38" i="20"/>
  <c r="D42" i="20"/>
  <c r="D40" i="20"/>
  <c r="D39" i="20"/>
  <c r="D38" i="20"/>
  <c r="K29" i="2"/>
  <c r="E33" i="20"/>
  <c r="D33" i="20"/>
  <c r="F32" i="20"/>
  <c r="D32" i="20"/>
  <c r="F31" i="20"/>
  <c r="E31" i="20"/>
  <c r="D31" i="20"/>
  <c r="E30" i="20"/>
  <c r="D30" i="20"/>
  <c r="F30" i="20"/>
  <c r="F29" i="20"/>
  <c r="F28" i="20"/>
  <c r="F27" i="20"/>
  <c r="F26" i="20"/>
  <c r="E26" i="20"/>
  <c r="D26" i="20"/>
  <c r="D24" i="20"/>
  <c r="F23" i="20"/>
  <c r="E23" i="20"/>
  <c r="D23" i="20"/>
  <c r="F19" i="20"/>
  <c r="E19" i="20"/>
  <c r="D19" i="20"/>
  <c r="K46" i="2"/>
  <c r="K42" i="2"/>
  <c r="K39" i="2"/>
  <c r="K38" i="2"/>
  <c r="K30" i="2"/>
  <c r="K27" i="2"/>
  <c r="M46" i="2"/>
  <c r="E50" i="20"/>
  <c r="D50" i="20"/>
  <c r="K41" i="2"/>
  <c r="K40" i="2"/>
  <c r="K19" i="2"/>
  <c r="D41" i="20"/>
  <c r="E41" i="20"/>
  <c r="E46" i="20"/>
  <c r="D46" i="20"/>
  <c r="D34" i="20"/>
  <c r="F33" i="20"/>
  <c r="E32" i="20"/>
  <c r="E29" i="20"/>
  <c r="D29" i="20"/>
  <c r="E28" i="20"/>
  <c r="D28" i="20"/>
  <c r="E27" i="20"/>
  <c r="D27" i="20"/>
  <c r="F25" i="20"/>
  <c r="E25" i="20"/>
  <c r="D25" i="20"/>
  <c r="C46" i="20" l="1"/>
  <c r="C50" i="20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C36" i="2"/>
  <c r="E21" i="2"/>
  <c r="E48" i="2" s="1"/>
  <c r="E52" i="2" s="1"/>
  <c r="F21" i="2"/>
  <c r="G21" i="2"/>
  <c r="G48" i="2" s="1"/>
  <c r="G52" i="2" s="1"/>
  <c r="H21" i="2"/>
  <c r="H48" i="2" s="1"/>
  <c r="H52" i="2" s="1"/>
  <c r="I21" i="2"/>
  <c r="I48" i="2" s="1"/>
  <c r="I52" i="2" s="1"/>
  <c r="J21" i="2"/>
  <c r="K21" i="2"/>
  <c r="L21" i="2"/>
  <c r="M21" i="2"/>
  <c r="N21" i="2"/>
  <c r="O21" i="2"/>
  <c r="O48" i="2" s="1"/>
  <c r="O52" i="2" s="1"/>
  <c r="D21" i="2"/>
  <c r="D48" i="2" s="1"/>
  <c r="D52" i="2" s="1"/>
  <c r="C21" i="2"/>
  <c r="C48" i="2" s="1"/>
  <c r="C52" i="2" s="1"/>
  <c r="K52" i="20"/>
  <c r="L52" i="20"/>
  <c r="M52" i="20"/>
  <c r="J48" i="20"/>
  <c r="J52" i="20" s="1"/>
  <c r="K48" i="20"/>
  <c r="L48" i="20"/>
  <c r="M48" i="20"/>
  <c r="D36" i="20"/>
  <c r="M44" i="20"/>
  <c r="L44" i="20"/>
  <c r="K44" i="20"/>
  <c r="J44" i="20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4" i="20"/>
  <c r="F36" i="20" s="1"/>
  <c r="E34" i="20"/>
  <c r="E36" i="20" s="1"/>
  <c r="C33" i="20"/>
  <c r="C32" i="20"/>
  <c r="C31" i="20"/>
  <c r="C30" i="20"/>
  <c r="C29" i="20"/>
  <c r="C28" i="20"/>
  <c r="C27" i="20"/>
  <c r="C26" i="20"/>
  <c r="C25" i="20"/>
  <c r="E24" i="20"/>
  <c r="C24" i="20"/>
  <c r="C23" i="20"/>
  <c r="M21" i="20"/>
  <c r="L21" i="20"/>
  <c r="K21" i="20"/>
  <c r="J21" i="20"/>
  <c r="I21" i="20"/>
  <c r="H21" i="20"/>
  <c r="G21" i="20"/>
  <c r="G48" i="20" s="1"/>
  <c r="G52" i="20" s="1"/>
  <c r="F21" i="20"/>
  <c r="E21" i="20"/>
  <c r="D21" i="20"/>
  <c r="M48" i="2" l="1"/>
  <c r="M52" i="2" s="1"/>
  <c r="N48" i="2"/>
  <c r="N52" i="2" s="1"/>
  <c r="F48" i="2"/>
  <c r="F52" i="2" s="1"/>
  <c r="H48" i="20"/>
  <c r="H52" i="20" s="1"/>
  <c r="I48" i="20"/>
  <c r="I52" i="20" s="1"/>
  <c r="L48" i="2"/>
  <c r="L52" i="2" s="1"/>
  <c r="J48" i="2"/>
  <c r="J52" i="2" s="1"/>
  <c r="K48" i="2"/>
  <c r="K52" i="2" s="1"/>
  <c r="E48" i="20"/>
  <c r="E52" i="20" s="1"/>
  <c r="F48" i="20"/>
  <c r="F52" i="20" s="1"/>
  <c r="D48" i="20"/>
  <c r="D52" i="20" s="1"/>
  <c r="C34" i="20"/>
  <c r="C19" i="20"/>
  <c r="C38" i="20"/>
  <c r="C36" i="20" l="1"/>
  <c r="C44" i="20"/>
  <c r="C21" i="20"/>
  <c r="C48" i="20" l="1"/>
  <c r="C52" i="20" l="1"/>
</calcChain>
</file>

<file path=xl/sharedStrings.xml><?xml version="1.0" encoding="utf-8"?>
<sst xmlns="http://schemas.openxmlformats.org/spreadsheetml/2006/main" count="194" uniqueCount="97">
  <si>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</si>
  <si>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</si>
  <si>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</si>
  <si>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</si>
  <si>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</si>
  <si>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</si>
  <si>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</si>
  <si>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</si>
  <si>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</si>
  <si>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</si>
  <si>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</si>
  <si>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</si>
  <si>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</si>
  <si>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</si>
  <si>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</si>
  <si>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</si>
  <si>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</si>
  <si>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</si>
  <si>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</si>
  <si>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</si>
  <si>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</si>
  <si>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</si>
  <si>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</si>
  <si>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</si>
  <si>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</si>
  <si>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</si>
  <si>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</si>
  <si>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</si>
  <si>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</si>
  <si>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</si>
  <si>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</si>
  <si>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</si>
  <si>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</si>
  <si>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</si>
  <si>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</si>
  <si>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</si>
  <si>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</si>
  <si>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</si>
  <si>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</si>
  <si>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</si>
  <si>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</si>
  <si>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</si>
  <si>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</si>
  <si>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</si>
  <si>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</si>
  <si>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</si>
  <si>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</si>
  <si>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</si>
  <si>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</si>
  <si>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</si>
  <si>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</si>
  <si>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</si>
  <si>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</si>
  <si>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</si>
  <si>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</si>
  <si>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</si>
  <si>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</si>
  <si>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</si>
  <si>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</si>
  <si>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</si>
  <si>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</si>
  <si>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</si>
  <si>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</si>
  <si>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</si>
  <si>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</si>
  <si>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</si>
  <si>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</si>
  <si>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</si>
  <si>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</si>
  <si>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</si>
  <si>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</si>
  <si>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</si>
  <si>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</si>
  <si>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</si>
  <si>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</si>
  <si>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</si>
  <si>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</si>
  <si>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</si>
  <si>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</si>
  <si>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</si>
  <si>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</si>
  <si>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</si>
  <si>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</si>
  <si>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</si>
  <si>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</si>
  <si>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</si>
  <si>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</si>
  <si>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</si>
  <si>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</si>
  <si>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</si>
  <si>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</si>
  <si>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</si>
  <si>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</si>
  <si>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</si>
  <si>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2020. január 1-től április30-ig.</t>
  </si>
  <si>
    <t>2020. január 1-től április 30-ig.</t>
  </si>
  <si>
    <t>5.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</si>
</sst>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09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2" fillId="0" borderId="16" xfId="43" applyNumberFormat="1" applyFont="1" applyBorder="1"/>
    <xf numFmtId="164" fontId="20" fillId="0" borderId="25" xfId="43" applyNumberFormat="1" applyFont="1" applyBorder="1"/>
    <xf numFmtId="164" fontId="20" fillId="0" borderId="26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30" xfId="43" applyNumberFormat="1" applyFont="1" applyBorder="1" applyAlignment="1">
      <alignment horizontal="center"/>
    </xf>
    <xf numFmtId="164" fontId="22" fillId="0" borderId="31" xfId="43" applyNumberFormat="1" applyFont="1" applyBorder="1" applyAlignment="1">
      <alignment horizontal="center"/>
    </xf>
    <xf numFmtId="164" fontId="22" fillId="0" borderId="32" xfId="43" applyNumberFormat="1" applyFont="1" applyBorder="1" applyAlignment="1">
      <alignment horizontal="center"/>
    </xf>
    <xf numFmtId="164" fontId="22" fillId="0" borderId="33" xfId="43" applyNumberFormat="1" applyFont="1" applyBorder="1" applyAlignment="1">
      <alignment horizontal="center"/>
    </xf>
    <xf numFmtId="164" fontId="22" fillId="0" borderId="28" xfId="43" applyNumberFormat="1" applyFont="1" applyBorder="1" applyAlignment="1">
      <alignment horizontal="center"/>
    </xf>
    <xf numFmtId="164" fontId="22" fillId="0" borderId="26" xfId="43" applyNumberFormat="1" applyFont="1" applyBorder="1" applyAlignment="1">
      <alignment horizontal="center"/>
    </xf>
    <xf numFmtId="164" fontId="22" fillId="0" borderId="37" xfId="43" applyNumberFormat="1" applyFont="1" applyBorder="1" applyAlignment="1">
      <alignment horizontal="center"/>
    </xf>
    <xf numFmtId="164" fontId="22" fillId="0" borderId="27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6" fontId="22" fillId="0" borderId="17" xfId="44" applyNumberFormat="1" applyFont="1" applyFill="1" applyBorder="1" applyAlignment="1">
      <alignment horizontal="right"/>
    </xf>
    <xf numFmtId="166" fontId="22" fillId="0" borderId="0" xfId="44" applyNumberFormat="1" applyFont="1" applyFill="1" applyBorder="1"/>
    <xf numFmtId="166" fontId="22" fillId="0" borderId="15" xfId="44" applyNumberFormat="1" applyFont="1" applyFill="1" applyBorder="1"/>
    <xf numFmtId="166" fontId="22" fillId="0" borderId="0" xfId="44" applyNumberFormat="1" applyFont="1" applyBorder="1"/>
    <xf numFmtId="166" fontId="22" fillId="0" borderId="15" xfId="0" applyNumberFormat="1" applyFont="1" applyBorder="1"/>
    <xf numFmtId="166" fontId="22" fillId="0" borderId="19" xfId="0" applyNumberFormat="1" applyFont="1" applyBorder="1"/>
    <xf numFmtId="166" fontId="22" fillId="0" borderId="17" xfId="44" applyNumberFormat="1" applyFont="1" applyBorder="1" applyAlignment="1">
      <alignment horizontal="right"/>
    </xf>
    <xf numFmtId="166" fontId="22" fillId="0" borderId="15" xfId="44" applyNumberFormat="1" applyFont="1" applyBorder="1"/>
    <xf numFmtId="166" fontId="29" fillId="0" borderId="30" xfId="44" applyNumberFormat="1" applyFont="1" applyBorder="1" applyAlignment="1">
      <alignment horizontal="right" vertical="center"/>
    </xf>
    <xf numFmtId="166" fontId="29" fillId="0" borderId="55" xfId="44" applyNumberFormat="1" applyFont="1" applyBorder="1" applyAlignment="1">
      <alignment horizontal="right" vertical="center"/>
    </xf>
    <xf numFmtId="166" fontId="29" fillId="0" borderId="32" xfId="44" applyNumberFormat="1" applyFont="1" applyBorder="1" applyAlignment="1">
      <alignment vertical="center"/>
    </xf>
    <xf numFmtId="166" fontId="29" fillId="0" borderId="34" xfId="44" applyNumberFormat="1" applyFont="1" applyBorder="1" applyAlignment="1">
      <alignment vertical="center"/>
    </xf>
    <xf numFmtId="166" fontId="29" fillId="0" borderId="55" xfId="44" applyNumberFormat="1" applyFont="1" applyBorder="1" applyAlignment="1">
      <alignment vertical="center"/>
    </xf>
    <xf numFmtId="166" fontId="29" fillId="0" borderId="34" xfId="0" applyNumberFormat="1" applyFont="1" applyBorder="1" applyAlignment="1">
      <alignment vertical="center"/>
    </xf>
    <xf numFmtId="166" fontId="29" fillId="0" borderId="37" xfId="0" applyNumberFormat="1" applyFont="1" applyBorder="1" applyAlignment="1">
      <alignment vertical="center"/>
    </xf>
    <xf numFmtId="166" fontId="22" fillId="0" borderId="56" xfId="44" applyNumberFormat="1" applyFont="1" applyBorder="1" applyAlignment="1">
      <alignment horizontal="right"/>
    </xf>
    <xf numFmtId="166" fontId="29" fillId="0" borderId="32" xfId="44" applyNumberFormat="1" applyFont="1" applyBorder="1" applyAlignment="1">
      <alignment horizontal="right" vertical="center"/>
    </xf>
    <xf numFmtId="166" fontId="29" fillId="0" borderId="34" xfId="44" applyNumberFormat="1" applyFont="1" applyBorder="1" applyAlignment="1">
      <alignment horizontal="right" vertical="center"/>
    </xf>
    <xf numFmtId="166" fontId="29" fillId="0" borderId="34" xfId="0" applyNumberFormat="1" applyFont="1" applyBorder="1" applyAlignment="1">
      <alignment horizontal="right" vertical="center"/>
    </xf>
    <xf numFmtId="166" fontId="29" fillId="0" borderId="37" xfId="0" applyNumberFormat="1" applyFont="1" applyBorder="1" applyAlignment="1">
      <alignment horizontal="right" vertical="center"/>
    </xf>
    <xf numFmtId="166" fontId="29" fillId="0" borderId="57" xfId="44" applyNumberFormat="1" applyFont="1" applyBorder="1" applyAlignment="1">
      <alignment horizontal="right" vertical="center"/>
    </xf>
    <xf numFmtId="166" fontId="29" fillId="0" borderId="17" xfId="44" applyNumberFormat="1" applyFont="1" applyBorder="1" applyAlignment="1">
      <alignment horizontal="right"/>
    </xf>
    <xf numFmtId="166" fontId="29" fillId="0" borderId="0" xfId="44" applyNumberFormat="1" applyFont="1" applyFill="1" applyBorder="1" applyAlignment="1"/>
    <xf numFmtId="166" fontId="29" fillId="0" borderId="15" xfId="44" applyNumberFormat="1" applyFont="1" applyFill="1" applyBorder="1" applyAlignment="1"/>
    <xf numFmtId="166" fontId="29" fillId="0" borderId="0" xfId="44" applyNumberFormat="1" applyFont="1" applyBorder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9" xfId="0" applyNumberFormat="1" applyFont="1" applyBorder="1" applyAlignment="1">
      <alignment horizontal="right"/>
    </xf>
    <xf numFmtId="166" fontId="31" fillId="0" borderId="30" xfId="44" applyNumberFormat="1" applyFont="1" applyBorder="1" applyAlignment="1">
      <alignment horizontal="right"/>
    </xf>
    <xf numFmtId="166" fontId="31" fillId="0" borderId="28" xfId="44" applyNumberFormat="1" applyFont="1" applyFill="1" applyBorder="1" applyAlignment="1"/>
    <xf numFmtId="166" fontId="31" fillId="0" borderId="33" xfId="44" applyNumberFormat="1" applyFont="1" applyFill="1" applyBorder="1" applyAlignment="1"/>
    <xf numFmtId="166" fontId="31" fillId="0" borderId="33" xfId="44" applyNumberFormat="1" applyFont="1" applyFill="1" applyBorder="1" applyAlignment="1">
      <alignment horizontal="right"/>
    </xf>
    <xf numFmtId="166" fontId="31" fillId="0" borderId="34" xfId="44" applyNumberFormat="1" applyFont="1" applyFill="1" applyBorder="1" applyAlignment="1">
      <alignment horizontal="right"/>
    </xf>
    <xf numFmtId="166" fontId="29" fillId="0" borderId="33" xfId="44" applyNumberFormat="1" applyFont="1" applyBorder="1" applyAlignment="1">
      <alignment horizontal="right"/>
    </xf>
    <xf numFmtId="166" fontId="29" fillId="0" borderId="34" xfId="0" applyNumberFormat="1" applyFont="1" applyBorder="1" applyAlignment="1">
      <alignment horizontal="right"/>
    </xf>
    <xf numFmtId="166" fontId="29" fillId="0" borderId="37" xfId="0" applyNumberFormat="1" applyFont="1" applyBorder="1" applyAlignment="1">
      <alignment horizontal="right"/>
    </xf>
    <xf numFmtId="166" fontId="22" fillId="0" borderId="17" xfId="43" applyNumberFormat="1" applyFont="1" applyBorder="1" applyAlignment="1">
      <alignment horizontal="right"/>
    </xf>
    <xf numFmtId="166" fontId="22" fillId="0" borderId="0" xfId="43" applyNumberFormat="1" applyFont="1" applyBorder="1"/>
    <xf numFmtId="166" fontId="22" fillId="0" borderId="19" xfId="43" applyNumberFormat="1" applyFont="1" applyBorder="1"/>
    <xf numFmtId="166" fontId="22" fillId="0" borderId="15" xfId="43" applyNumberFormat="1" applyFont="1" applyBorder="1"/>
    <xf numFmtId="166" fontId="29" fillId="0" borderId="40" xfId="43" applyNumberFormat="1" applyFont="1" applyBorder="1" applyAlignment="1">
      <alignment horizontal="right"/>
    </xf>
    <xf numFmtId="166" fontId="22" fillId="0" borderId="44" xfId="43" applyNumberFormat="1" applyFont="1" applyBorder="1" applyAlignment="1">
      <alignment horizontal="right"/>
    </xf>
    <xf numFmtId="166" fontId="22" fillId="0" borderId="43" xfId="43" applyNumberFormat="1" applyFont="1" applyBorder="1"/>
    <xf numFmtId="166" fontId="22" fillId="0" borderId="47" xfId="43" applyNumberFormat="1" applyFont="1" applyBorder="1"/>
    <xf numFmtId="166" fontId="22" fillId="0" borderId="25" xfId="43" applyNumberFormat="1" applyFont="1" applyBorder="1"/>
    <xf numFmtId="166" fontId="31" fillId="0" borderId="30" xfId="43" applyNumberFormat="1" applyFont="1" applyBorder="1" applyAlignment="1">
      <alignment horizontal="right"/>
    </xf>
    <xf numFmtId="166" fontId="22" fillId="0" borderId="28" xfId="43" applyNumberFormat="1" applyFont="1" applyBorder="1"/>
    <xf numFmtId="166" fontId="22" fillId="0" borderId="29" xfId="43" applyNumberFormat="1" applyFont="1" applyBorder="1"/>
    <xf numFmtId="166" fontId="22" fillId="0" borderId="32" xfId="43" applyNumberFormat="1" applyFont="1" applyBorder="1"/>
    <xf numFmtId="166" fontId="22" fillId="0" borderId="37" xfId="43" applyNumberFormat="1" applyFont="1" applyBorder="1"/>
    <xf numFmtId="166" fontId="22" fillId="0" borderId="33" xfId="43" applyNumberFormat="1" applyFont="1" applyBorder="1"/>
    <xf numFmtId="166" fontId="22" fillId="0" borderId="34" xfId="43" applyNumberFormat="1" applyFont="1" applyBorder="1"/>
    <xf numFmtId="166" fontId="36" fillId="0" borderId="40" xfId="43" applyNumberFormat="1" applyFont="1" applyBorder="1" applyAlignment="1">
      <alignment horizontal="right"/>
    </xf>
    <xf numFmtId="166" fontId="36" fillId="0" borderId="54" xfId="43" applyNumberFormat="1" applyFont="1" applyBorder="1" applyAlignment="1">
      <alignment horizontal="right"/>
    </xf>
    <xf numFmtId="166" fontId="36" fillId="0" borderId="42" xfId="43" applyNumberFormat="1" applyFont="1" applyBorder="1" applyAlignment="1">
      <alignment horizontal="right"/>
    </xf>
    <xf numFmtId="166" fontId="36" fillId="0" borderId="39" xfId="43" applyNumberFormat="1" applyFont="1" applyBorder="1" applyAlignment="1">
      <alignment horizontal="right"/>
    </xf>
    <xf numFmtId="1" fontId="22" fillId="0" borderId="17" xfId="43" applyNumberFormat="1" applyFont="1" applyBorder="1" applyAlignment="1">
      <alignment horizontal="right"/>
    </xf>
    <xf numFmtId="1" fontId="22" fillId="0" borderId="0" xfId="43" applyNumberFormat="1" applyFont="1" applyBorder="1"/>
    <xf numFmtId="1" fontId="22" fillId="0" borderId="51" xfId="43" applyNumberFormat="1" applyFont="1" applyBorder="1"/>
    <xf numFmtId="1" fontId="22" fillId="0" borderId="15" xfId="43" applyNumberFormat="1" applyFont="1" applyBorder="1"/>
    <xf numFmtId="1" fontId="22" fillId="0" borderId="19" xfId="43" applyNumberFormat="1" applyFont="1" applyBorder="1"/>
    <xf numFmtId="1" fontId="29" fillId="0" borderId="30" xfId="43" applyNumberFormat="1" applyFont="1" applyBorder="1" applyAlignment="1">
      <alignment horizontal="right"/>
    </xf>
    <xf numFmtId="1" fontId="29" fillId="0" borderId="28" xfId="43" applyNumberFormat="1" applyFont="1" applyBorder="1" applyAlignment="1">
      <alignment horizontal="right"/>
    </xf>
    <xf numFmtId="1" fontId="29" fillId="0" borderId="32" xfId="43" applyNumberFormat="1" applyFont="1" applyBorder="1" applyAlignment="1">
      <alignment horizontal="right"/>
    </xf>
    <xf numFmtId="1" fontId="29" fillId="0" borderId="37" xfId="43" applyNumberFormat="1" applyFont="1" applyBorder="1" applyAlignment="1">
      <alignment horizontal="right"/>
    </xf>
    <xf numFmtId="1" fontId="22" fillId="0" borderId="36" xfId="43" applyNumberFormat="1" applyFont="1" applyBorder="1" applyAlignment="1">
      <alignment horizontal="right"/>
    </xf>
    <xf numFmtId="1" fontId="29" fillId="0" borderId="58" xfId="43" applyNumberFormat="1" applyFont="1" applyBorder="1" applyAlignment="1">
      <alignment horizontal="right"/>
    </xf>
    <xf numFmtId="1" fontId="29" fillId="0" borderId="17" xfId="43" applyNumberFormat="1" applyFont="1" applyBorder="1" applyAlignment="1">
      <alignment horizontal="right"/>
    </xf>
    <xf numFmtId="1" fontId="29" fillId="0" borderId="0" xfId="43" applyNumberFormat="1" applyFont="1" applyBorder="1" applyAlignment="1">
      <alignment horizontal="right"/>
    </xf>
    <xf numFmtId="1" fontId="29" fillId="0" borderId="51" xfId="43" applyNumberFormat="1" applyFont="1" applyBorder="1" applyAlignment="1">
      <alignment horizontal="right"/>
    </xf>
    <xf numFmtId="1" fontId="29" fillId="0" borderId="15" xfId="43" applyNumberFormat="1" applyFont="1" applyBorder="1" applyAlignment="1">
      <alignment horizontal="right"/>
    </xf>
    <xf numFmtId="1" fontId="29" fillId="0" borderId="19" xfId="43" applyNumberFormat="1" applyFont="1" applyBorder="1" applyAlignment="1">
      <alignment horizontal="right"/>
    </xf>
    <xf numFmtId="1" fontId="22" fillId="0" borderId="30" xfId="43" applyNumberFormat="1" applyFont="1" applyBorder="1" applyAlignment="1">
      <alignment horizontal="right"/>
    </xf>
    <xf numFmtId="1" fontId="22" fillId="0" borderId="29" xfId="43" applyNumberFormat="1" applyFont="1" applyBorder="1" applyAlignment="1">
      <alignment horizontal="right"/>
    </xf>
    <xf numFmtId="1" fontId="29" fillId="0" borderId="34" xfId="43" applyNumberFormat="1" applyFont="1" applyBorder="1" applyAlignment="1">
      <alignment horizontal="right"/>
    </xf>
    <xf numFmtId="1" fontId="22" fillId="0" borderId="32" xfId="43" applyNumberFormat="1" applyFont="1" applyBorder="1" applyAlignment="1">
      <alignment horizontal="right"/>
    </xf>
    <xf numFmtId="1" fontId="31" fillId="0" borderId="35" xfId="43" applyNumberFormat="1" applyFont="1" applyBorder="1" applyAlignment="1">
      <alignment horizontal="right"/>
    </xf>
    <xf numFmtId="1" fontId="22" fillId="0" borderId="35" xfId="43" applyNumberFormat="1" applyFont="1" applyBorder="1" applyAlignment="1">
      <alignment horizontal="right"/>
    </xf>
    <xf numFmtId="1" fontId="31" fillId="0" borderId="37" xfId="43" applyNumberFormat="1" applyFont="1" applyBorder="1" applyAlignment="1">
      <alignment horizontal="right"/>
    </xf>
    <xf numFmtId="1" fontId="29" fillId="0" borderId="40" xfId="43" applyNumberFormat="1" applyFont="1" applyBorder="1" applyAlignment="1">
      <alignment horizontal="right"/>
    </xf>
    <xf numFmtId="1" fontId="36" fillId="0" borderId="53" xfId="43" applyNumberFormat="1" applyFont="1" applyBorder="1"/>
    <xf numFmtId="1" fontId="36" fillId="0" borderId="40" xfId="43" applyNumberFormat="1" applyFont="1" applyBorder="1"/>
    <xf numFmtId="1" fontId="22" fillId="0" borderId="44" xfId="43" applyNumberFormat="1" applyFont="1" applyBorder="1" applyAlignment="1">
      <alignment horizontal="right"/>
    </xf>
    <xf numFmtId="1" fontId="22" fillId="0" borderId="48" xfId="43" applyNumberFormat="1" applyFont="1" applyBorder="1"/>
    <xf numFmtId="1" fontId="22" fillId="0" borderId="52" xfId="43" applyNumberFormat="1" applyFont="1" applyBorder="1"/>
    <xf numFmtId="1" fontId="22" fillId="0" borderId="32" xfId="43" applyNumberFormat="1" applyFont="1" applyBorder="1"/>
    <xf numFmtId="1" fontId="22" fillId="0" borderId="35" xfId="43" applyNumberFormat="1" applyFont="1" applyBorder="1"/>
    <xf numFmtId="1" fontId="22" fillId="0" borderId="34" xfId="43" applyNumberFormat="1" applyFont="1" applyBorder="1"/>
    <xf numFmtId="1" fontId="22" fillId="0" borderId="33" xfId="43" applyNumberFormat="1" applyFont="1" applyBorder="1"/>
    <xf numFmtId="1" fontId="22" fillId="0" borderId="37" xfId="43" applyNumberFormat="1" applyFont="1" applyBorder="1"/>
    <xf numFmtId="1" fontId="22" fillId="0" borderId="38" xfId="43" applyNumberFormat="1" applyFont="1" applyBorder="1"/>
    <xf numFmtId="1" fontId="22" fillId="0" borderId="49" xfId="43" applyNumberFormat="1" applyFont="1" applyBorder="1"/>
    <xf numFmtId="1" fontId="36" fillId="0" borderId="40" xfId="43" applyNumberFormat="1" applyFont="1" applyBorder="1" applyAlignment="1">
      <alignment horizontal="right"/>
    </xf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3" sqref="L3"/>
    </sheetView>
  </sheetViews>
  <sheetFormatPr defaultRowHeight="12.75" x14ac:dyDescent="0.2"/>
  <cols>
    <col min="1" max="1" width="7.85546875" style="1" bestFit="1" customWidth="1"/>
    <col min="2" max="2" width="30.7109375" style="1" customWidth="1"/>
    <col min="3" max="3" width="12.5703125" style="1" bestFit="1" customWidth="1"/>
    <col min="4" max="5" width="10.7109375" style="1" customWidth="1"/>
    <col min="6" max="6" width="12.5703125" style="1" bestFit="1" customWidth="1"/>
    <col min="7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97" t="s">
        <v>96</v>
      </c>
      <c r="M1" s="197"/>
    </row>
    <row r="2" spans="1:15" x14ac:dyDescent="0.2">
      <c r="M2" s="2"/>
    </row>
    <row r="3" spans="1:15" x14ac:dyDescent="0.2">
      <c r="M3" s="2"/>
    </row>
    <row r="4" spans="1:15" x14ac:dyDescent="0.2">
      <c r="A4" s="198" t="s">
        <v>86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198" t="s">
        <v>94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0</v>
      </c>
      <c r="N8" s="4"/>
      <c r="O8" s="5"/>
    </row>
    <row r="9" spans="1:15" ht="13.5" thickBot="1" x14ac:dyDescent="0.25">
      <c r="A9" s="9"/>
      <c r="B9" s="10"/>
      <c r="C9" s="10"/>
      <c r="D9" s="199" t="s">
        <v>1</v>
      </c>
      <c r="E9" s="199"/>
      <c r="F9" s="199"/>
      <c r="G9" s="199"/>
      <c r="H9" s="199"/>
      <c r="I9" s="199"/>
      <c r="J9" s="199"/>
      <c r="K9" s="200"/>
      <c r="L9" s="11" t="s">
        <v>2</v>
      </c>
      <c r="M9" s="12"/>
    </row>
    <row r="10" spans="1:15" ht="13.5" thickBot="1" x14ac:dyDescent="0.25">
      <c r="A10" s="13"/>
      <c r="B10" s="14"/>
      <c r="C10" s="14"/>
      <c r="D10" s="201" t="s">
        <v>62</v>
      </c>
      <c r="E10" s="201"/>
      <c r="F10" s="201"/>
      <c r="G10" s="201"/>
      <c r="H10" s="201"/>
      <c r="I10" s="202" t="s">
        <v>63</v>
      </c>
      <c r="J10" s="201"/>
      <c r="K10" s="203"/>
      <c r="L10" s="15"/>
      <c r="M10" s="16"/>
    </row>
    <row r="11" spans="1:15" ht="12.75" customHeight="1" x14ac:dyDescent="0.2">
      <c r="A11" s="17"/>
      <c r="B11" s="18"/>
      <c r="C11" s="19" t="s">
        <v>3</v>
      </c>
      <c r="D11" s="20"/>
      <c r="E11" s="21" t="s">
        <v>4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60</v>
      </c>
      <c r="C12" s="19" t="s">
        <v>5</v>
      </c>
      <c r="D12" s="27" t="s">
        <v>6</v>
      </c>
      <c r="E12" s="21" t="s">
        <v>7</v>
      </c>
      <c r="F12" s="21" t="s">
        <v>8</v>
      </c>
      <c r="G12" s="22" t="s">
        <v>9</v>
      </c>
      <c r="H12" s="22" t="s">
        <v>47</v>
      </c>
      <c r="I12" s="25" t="s">
        <v>11</v>
      </c>
      <c r="J12" s="28" t="s">
        <v>12</v>
      </c>
      <c r="K12" s="29" t="s">
        <v>47</v>
      </c>
      <c r="L12" s="25" t="s">
        <v>10</v>
      </c>
      <c r="M12" s="26" t="s">
        <v>13</v>
      </c>
    </row>
    <row r="13" spans="1:15" x14ac:dyDescent="0.2">
      <c r="A13" s="30"/>
      <c r="B13" s="19" t="s">
        <v>20</v>
      </c>
      <c r="C13" s="19" t="s">
        <v>14</v>
      </c>
      <c r="D13" s="27" t="s">
        <v>15</v>
      </c>
      <c r="E13" s="21" t="s">
        <v>53</v>
      </c>
      <c r="F13" s="21" t="s">
        <v>5</v>
      </c>
      <c r="G13" s="22" t="s">
        <v>16</v>
      </c>
      <c r="H13" s="22" t="s">
        <v>51</v>
      </c>
      <c r="I13" s="25"/>
      <c r="J13" s="28"/>
      <c r="K13" s="29" t="s">
        <v>18</v>
      </c>
      <c r="L13" s="25" t="s">
        <v>17</v>
      </c>
      <c r="M13" s="26" t="s">
        <v>17</v>
      </c>
    </row>
    <row r="14" spans="1:15" x14ac:dyDescent="0.2">
      <c r="A14" s="31" t="s">
        <v>19</v>
      </c>
      <c r="B14" s="19"/>
      <c r="C14" s="18"/>
      <c r="D14" s="20"/>
      <c r="E14" s="28" t="s">
        <v>21</v>
      </c>
      <c r="F14" s="21"/>
      <c r="G14" s="22" t="s">
        <v>22</v>
      </c>
      <c r="H14" s="22" t="s">
        <v>17</v>
      </c>
      <c r="I14" s="13"/>
      <c r="J14" s="32"/>
      <c r="K14" s="29" t="s">
        <v>17</v>
      </c>
      <c r="L14" s="25"/>
      <c r="M14" s="26"/>
    </row>
    <row r="15" spans="1:15" x14ac:dyDescent="0.2">
      <c r="A15" s="33"/>
      <c r="B15" s="19"/>
      <c r="C15" s="18"/>
      <c r="D15" s="20"/>
      <c r="E15" s="28" t="s">
        <v>24</v>
      </c>
      <c r="F15" s="21"/>
      <c r="G15" s="22"/>
      <c r="H15" s="22" t="s">
        <v>5</v>
      </c>
      <c r="I15" s="34"/>
      <c r="J15" s="35"/>
      <c r="K15" s="29" t="s">
        <v>5</v>
      </c>
      <c r="L15" s="25"/>
      <c r="M15" s="26"/>
    </row>
    <row r="16" spans="1:15" x14ac:dyDescent="0.2">
      <c r="A16" s="30"/>
      <c r="B16" s="36"/>
      <c r="C16" s="37"/>
      <c r="D16" s="20"/>
      <c r="E16" s="28" t="s">
        <v>25</v>
      </c>
      <c r="F16" s="21"/>
      <c r="G16" s="20"/>
      <c r="H16" s="38"/>
      <c r="I16" s="39"/>
      <c r="J16" s="40"/>
      <c r="K16" s="41"/>
      <c r="L16" s="13"/>
      <c r="M16" s="42"/>
    </row>
    <row r="17" spans="1:18" x14ac:dyDescent="0.2">
      <c r="A17" s="43">
        <v>1</v>
      </c>
      <c r="B17" s="44">
        <v>2</v>
      </c>
      <c r="C17" s="44">
        <v>3</v>
      </c>
      <c r="D17" s="45">
        <v>4</v>
      </c>
      <c r="E17" s="46">
        <v>5</v>
      </c>
      <c r="F17" s="46">
        <v>6</v>
      </c>
      <c r="G17" s="46">
        <v>7</v>
      </c>
      <c r="H17" s="47">
        <v>8</v>
      </c>
      <c r="I17" s="48">
        <v>9</v>
      </c>
      <c r="J17" s="49">
        <v>10</v>
      </c>
      <c r="K17" s="50">
        <v>11</v>
      </c>
      <c r="L17" s="43">
        <v>12</v>
      </c>
      <c r="M17" s="51">
        <v>13</v>
      </c>
    </row>
    <row r="18" spans="1:18" x14ac:dyDescent="0.2">
      <c r="A18" s="52"/>
      <c r="B18" s="19"/>
      <c r="C18" s="103"/>
      <c r="D18" s="20"/>
      <c r="E18" s="20"/>
      <c r="F18" s="20"/>
      <c r="G18" s="20"/>
      <c r="H18" s="20"/>
      <c r="I18" s="13"/>
      <c r="J18" s="20"/>
      <c r="K18" s="104"/>
      <c r="L18" s="13"/>
      <c r="M18" s="104"/>
    </row>
    <row r="19" spans="1:18" x14ac:dyDescent="0.2">
      <c r="A19" s="52" t="s">
        <v>64</v>
      </c>
      <c r="B19" s="53" t="s">
        <v>27</v>
      </c>
      <c r="C19" s="105">
        <f>SUM(D19:M19)</f>
        <v>31654.668000000001</v>
      </c>
      <c r="D19" s="106">
        <f>29.4+958.339+23.1+2380.819-378.142+10.6+1229.821+1600</f>
        <v>5853.9369999999999</v>
      </c>
      <c r="E19" s="106">
        <f>5.144+167.709+4.042+416.65-66.175+1.855+215.221+248</f>
        <v>992.44600000000003</v>
      </c>
      <c r="F19" s="106">
        <f>444.317+600</f>
        <v>1044.317</v>
      </c>
      <c r="G19" s="106"/>
      <c r="H19" s="106">
        <v>20876.968000000001</v>
      </c>
      <c r="I19" s="107">
        <v>2887</v>
      </c>
      <c r="J19" s="108"/>
      <c r="K19" s="108"/>
      <c r="L19" s="109"/>
      <c r="M19" s="110"/>
    </row>
    <row r="20" spans="1:18" x14ac:dyDescent="0.2">
      <c r="A20" s="13"/>
      <c r="B20" s="54"/>
      <c r="C20" s="111"/>
      <c r="D20" s="108"/>
      <c r="E20" s="108"/>
      <c r="F20" s="108"/>
      <c r="G20" s="108"/>
      <c r="H20" s="108"/>
      <c r="I20" s="112"/>
      <c r="J20" s="108"/>
      <c r="K20" s="108"/>
      <c r="L20" s="109"/>
      <c r="M20" s="110"/>
    </row>
    <row r="21" spans="1:18" x14ac:dyDescent="0.2">
      <c r="A21" s="55" t="s">
        <v>26</v>
      </c>
      <c r="B21" s="56" t="s">
        <v>80</v>
      </c>
      <c r="C21" s="113">
        <f>SUM(C19:C20)</f>
        <v>31654.668000000001</v>
      </c>
      <c r="D21" s="114">
        <f>SUM(D19:D20)</f>
        <v>5853.9369999999999</v>
      </c>
      <c r="E21" s="115">
        <f>SUM(E19:E20)</f>
        <v>992.44600000000003</v>
      </c>
      <c r="F21" s="115">
        <f t="shared" ref="F21:M21" si="0">SUM(F19:F20)</f>
        <v>1044.317</v>
      </c>
      <c r="G21" s="115">
        <f t="shared" si="0"/>
        <v>0</v>
      </c>
      <c r="H21" s="115">
        <f t="shared" si="0"/>
        <v>20876.968000000001</v>
      </c>
      <c r="I21" s="116">
        <f t="shared" si="0"/>
        <v>2887</v>
      </c>
      <c r="J21" s="115">
        <f t="shared" si="0"/>
        <v>0</v>
      </c>
      <c r="K21" s="117">
        <f t="shared" si="0"/>
        <v>0</v>
      </c>
      <c r="L21" s="118">
        <f t="shared" si="0"/>
        <v>0</v>
      </c>
      <c r="M21" s="119">
        <f t="shared" si="0"/>
        <v>0</v>
      </c>
    </row>
    <row r="22" spans="1:18" x14ac:dyDescent="0.2">
      <c r="A22" s="13"/>
      <c r="B22" s="57"/>
      <c r="C22" s="120"/>
      <c r="D22" s="108"/>
      <c r="E22" s="108"/>
      <c r="F22" s="108"/>
      <c r="G22" s="108"/>
      <c r="H22" s="108"/>
      <c r="I22" s="112"/>
      <c r="J22" s="108"/>
      <c r="K22" s="108"/>
      <c r="L22" s="109"/>
      <c r="M22" s="110"/>
    </row>
    <row r="23" spans="1:18" x14ac:dyDescent="0.2">
      <c r="A23" s="52" t="s">
        <v>64</v>
      </c>
      <c r="B23" s="53" t="s">
        <v>28</v>
      </c>
      <c r="C23" s="105">
        <f t="shared" ref="C23:C34" si="1">SUM(D23:M23)</f>
        <v>2408.357</v>
      </c>
      <c r="D23" s="106">
        <f>-934.789+799.117-347.55+544</f>
        <v>60.777999999999963</v>
      </c>
      <c r="E23" s="106">
        <f>-163.588+71.913-60.821+48</f>
        <v>-104.49599999999998</v>
      </c>
      <c r="F23" s="106">
        <f>1098.377+408.371+173</f>
        <v>1679.748</v>
      </c>
      <c r="G23" s="106"/>
      <c r="H23" s="106">
        <v>772.327</v>
      </c>
      <c r="I23" s="107"/>
      <c r="J23" s="106"/>
      <c r="K23" s="108"/>
      <c r="L23" s="109"/>
      <c r="M23" s="110"/>
    </row>
    <row r="24" spans="1:18" x14ac:dyDescent="0.2">
      <c r="A24" s="52" t="s">
        <v>65</v>
      </c>
      <c r="B24" s="53" t="s">
        <v>30</v>
      </c>
      <c r="C24" s="105">
        <f t="shared" si="1"/>
        <v>1639.9099999999999</v>
      </c>
      <c r="D24" s="106">
        <f>2.5-902.056</f>
        <v>-899.55600000000004</v>
      </c>
      <c r="E24" s="106">
        <f>0.437-157.859</f>
        <v>-157.422</v>
      </c>
      <c r="F24" s="106">
        <v>1059.915</v>
      </c>
      <c r="G24" s="106"/>
      <c r="H24" s="106">
        <v>524.97299999999996</v>
      </c>
      <c r="I24" s="107">
        <v>1112</v>
      </c>
      <c r="J24" s="106"/>
      <c r="K24" s="108"/>
      <c r="L24" s="109"/>
      <c r="M24" s="110"/>
    </row>
    <row r="25" spans="1:18" x14ac:dyDescent="0.2">
      <c r="A25" s="52" t="s">
        <v>66</v>
      </c>
      <c r="B25" s="53" t="s">
        <v>32</v>
      </c>
      <c r="C25" s="105">
        <f>SUM(D25:M25)</f>
        <v>2857</v>
      </c>
      <c r="D25" s="106">
        <f>-1028.514-371.058</f>
        <v>-1399.5719999999999</v>
      </c>
      <c r="E25" s="106">
        <f>-179.99-64.936</f>
        <v>-244.92600000000002</v>
      </c>
      <c r="F25" s="106">
        <f>1208.504+435.994</f>
        <v>1644.498</v>
      </c>
      <c r="G25" s="106"/>
      <c r="H25" s="106"/>
      <c r="I25" s="107">
        <v>2857</v>
      </c>
      <c r="J25" s="106"/>
      <c r="K25" s="108"/>
      <c r="L25" s="109"/>
      <c r="M25" s="110"/>
    </row>
    <row r="26" spans="1:18" x14ac:dyDescent="0.2">
      <c r="A26" s="52" t="s">
        <v>67</v>
      </c>
      <c r="B26" s="53" t="s">
        <v>34</v>
      </c>
      <c r="C26" s="105">
        <f t="shared" si="1"/>
        <v>2253.9999999999995</v>
      </c>
      <c r="D26" s="106">
        <f>-3384.308-1113.175+1175</f>
        <v>-3322.4830000000002</v>
      </c>
      <c r="E26" s="106">
        <f>-592.254-194.806+182</f>
        <v>-605.06000000000006</v>
      </c>
      <c r="F26" s="106">
        <f>3976.562+1307.981+500</f>
        <v>5784.5429999999997</v>
      </c>
      <c r="G26" s="106"/>
      <c r="H26" s="106"/>
      <c r="I26" s="107">
        <v>397</v>
      </c>
      <c r="J26" s="106"/>
      <c r="K26" s="108"/>
      <c r="L26" s="109"/>
      <c r="M26" s="110"/>
    </row>
    <row r="27" spans="1:18" x14ac:dyDescent="0.2">
      <c r="A27" s="52" t="s">
        <v>68</v>
      </c>
      <c r="B27" s="53" t="s">
        <v>35</v>
      </c>
      <c r="C27" s="105">
        <f t="shared" si="1"/>
        <v>3222.3529999999992</v>
      </c>
      <c r="D27" s="106">
        <f>0.3-7124.412-4749.095</f>
        <v>-11873.207</v>
      </c>
      <c r="E27" s="106">
        <f>0.053-1246.773-831.092</f>
        <v>-2077.8119999999999</v>
      </c>
      <c r="F27" s="106">
        <f>8371.185+5580.187+900</f>
        <v>14851.371999999999</v>
      </c>
      <c r="G27" s="106"/>
      <c r="H27" s="106"/>
      <c r="I27" s="107">
        <v>2322</v>
      </c>
      <c r="J27" s="106"/>
      <c r="K27" s="108"/>
      <c r="L27" s="109"/>
      <c r="M27" s="110"/>
    </row>
    <row r="28" spans="1:18" x14ac:dyDescent="0.2">
      <c r="A28" s="52" t="s">
        <v>69</v>
      </c>
      <c r="B28" s="53" t="s">
        <v>36</v>
      </c>
      <c r="C28" s="105">
        <f t="shared" si="1"/>
        <v>7848</v>
      </c>
      <c r="D28" s="106">
        <f>-541.774-517.148</f>
        <v>-1058.922</v>
      </c>
      <c r="E28" s="106">
        <f>-94.811-90.501</f>
        <v>-185.31200000000001</v>
      </c>
      <c r="F28" s="106">
        <f>636.585+607.649+3749</f>
        <v>4993.2340000000004</v>
      </c>
      <c r="G28" s="106"/>
      <c r="H28" s="106"/>
      <c r="I28" s="107">
        <v>4099</v>
      </c>
      <c r="J28" s="106"/>
      <c r="K28" s="108"/>
      <c r="L28" s="109"/>
      <c r="M28" s="110"/>
      <c r="R28" s="58"/>
    </row>
    <row r="29" spans="1:18" x14ac:dyDescent="0.2">
      <c r="A29" s="52" t="s">
        <v>70</v>
      </c>
      <c r="B29" s="53" t="s">
        <v>37</v>
      </c>
      <c r="C29" s="105">
        <f t="shared" si="1"/>
        <v>2284.88</v>
      </c>
      <c r="D29" s="106">
        <f>1.6-935.931-170.169</f>
        <v>-1104.5</v>
      </c>
      <c r="E29" s="106">
        <f>0.28-163.787-29.78</f>
        <v>-193.28700000000001</v>
      </c>
      <c r="F29" s="106">
        <f>1099.718+199.949+383</f>
        <v>1682.6670000000001</v>
      </c>
      <c r="G29" s="106"/>
      <c r="H29" s="106"/>
      <c r="I29" s="107">
        <v>1900</v>
      </c>
      <c r="J29" s="106"/>
      <c r="K29" s="108"/>
      <c r="L29" s="109"/>
      <c r="M29" s="110"/>
    </row>
    <row r="30" spans="1:18" s="96" customFormat="1" x14ac:dyDescent="0.2">
      <c r="A30" s="25" t="s">
        <v>71</v>
      </c>
      <c r="B30" s="97" t="s">
        <v>38</v>
      </c>
      <c r="C30" s="105">
        <f t="shared" si="1"/>
        <v>3848.2570000000001</v>
      </c>
      <c r="D30" s="106">
        <f>6.9+12.8-401.713-133.904+5.2+1413</f>
        <v>902.2829999999999</v>
      </c>
      <c r="E30" s="106">
        <f>1.207+2.24-70.3-23.434+0.91+219</f>
        <v>129.62299999999999</v>
      </c>
      <c r="F30" s="106">
        <f>472.013+157.338+2187</f>
        <v>2816.3510000000001</v>
      </c>
      <c r="G30" s="106"/>
      <c r="H30" s="106"/>
      <c r="I30" s="107"/>
      <c r="J30" s="106"/>
      <c r="K30" s="108"/>
      <c r="L30" s="109"/>
      <c r="M30" s="110"/>
    </row>
    <row r="31" spans="1:18" x14ac:dyDescent="0.2">
      <c r="A31" s="52" t="s">
        <v>74</v>
      </c>
      <c r="B31" s="53" t="s">
        <v>39</v>
      </c>
      <c r="C31" s="105">
        <f t="shared" si="1"/>
        <v>5408</v>
      </c>
      <c r="D31" s="106">
        <f>-3833.204-1437.804+2400</f>
        <v>-2871.0079999999998</v>
      </c>
      <c r="E31" s="106">
        <f>-670.81-251.616+372</f>
        <v>-550.42599999999993</v>
      </c>
      <c r="F31" s="106">
        <f>4504.014+1689.42+1689</f>
        <v>7882.4340000000002</v>
      </c>
      <c r="G31" s="106"/>
      <c r="H31" s="106"/>
      <c r="I31" s="107">
        <v>947</v>
      </c>
      <c r="J31" s="106"/>
      <c r="K31" s="108"/>
      <c r="L31" s="109"/>
      <c r="M31" s="110"/>
    </row>
    <row r="32" spans="1:18" x14ac:dyDescent="0.2">
      <c r="A32" s="52" t="s">
        <v>72</v>
      </c>
      <c r="B32" s="53" t="s">
        <v>40</v>
      </c>
      <c r="C32" s="105">
        <f t="shared" si="1"/>
        <v>2833.857</v>
      </c>
      <c r="D32" s="106">
        <f>-5493.369-1855.292</f>
        <v>-7348.6610000000001</v>
      </c>
      <c r="E32" s="106">
        <f>-961.34-324.676</f>
        <v>-1286.0160000000001</v>
      </c>
      <c r="F32" s="106">
        <f>6454.709+2179.968+1580</f>
        <v>10214.677</v>
      </c>
      <c r="G32" s="106"/>
      <c r="H32" s="106">
        <v>88.856999999999999</v>
      </c>
      <c r="I32" s="107">
        <v>1165</v>
      </c>
      <c r="J32" s="106"/>
      <c r="K32" s="108"/>
      <c r="L32" s="109"/>
      <c r="M32" s="110"/>
    </row>
    <row r="33" spans="1:19" x14ac:dyDescent="0.2">
      <c r="A33" s="52" t="s">
        <v>73</v>
      </c>
      <c r="B33" s="53" t="s">
        <v>85</v>
      </c>
      <c r="C33" s="105">
        <f t="shared" si="1"/>
        <v>2133</v>
      </c>
      <c r="D33" s="106">
        <f>-2220.708-740.236+1500</f>
        <v>-1460.944</v>
      </c>
      <c r="E33" s="106">
        <f>-388.624-129.541+233</f>
        <v>-285.16499999999996</v>
      </c>
      <c r="F33" s="106">
        <f>2609.332+869.777</f>
        <v>3479.1089999999999</v>
      </c>
      <c r="G33" s="106"/>
      <c r="H33" s="106"/>
      <c r="I33" s="107">
        <v>400</v>
      </c>
      <c r="J33" s="106"/>
      <c r="K33" s="108"/>
      <c r="L33" s="109"/>
      <c r="M33" s="110"/>
      <c r="R33" s="58"/>
    </row>
    <row r="34" spans="1:19" x14ac:dyDescent="0.2">
      <c r="A34" s="52" t="s">
        <v>87</v>
      </c>
      <c r="B34" s="53" t="s">
        <v>88</v>
      </c>
      <c r="C34" s="105">
        <f t="shared" si="1"/>
        <v>1359.4109999999996</v>
      </c>
      <c r="D34" s="106">
        <f>-2684.523-695.1</f>
        <v>-3379.623</v>
      </c>
      <c r="E34" s="106">
        <f>-469.791-121.642</f>
        <v>-591.43299999999999</v>
      </c>
      <c r="F34" s="106">
        <f>3154.314+816.742</f>
        <v>3971.0559999999996</v>
      </c>
      <c r="G34" s="106"/>
      <c r="H34" s="106">
        <v>1359.4110000000001</v>
      </c>
      <c r="I34" s="107"/>
      <c r="J34" s="106"/>
      <c r="K34" s="108"/>
      <c r="L34" s="109"/>
      <c r="M34" s="110"/>
    </row>
    <row r="35" spans="1:19" x14ac:dyDescent="0.2">
      <c r="A35" s="52"/>
      <c r="B35" s="59"/>
      <c r="C35" s="105"/>
      <c r="D35" s="106"/>
      <c r="E35" s="106"/>
      <c r="F35" s="106"/>
      <c r="G35" s="106"/>
      <c r="H35" s="106"/>
      <c r="I35" s="107"/>
      <c r="J35" s="106"/>
      <c r="K35" s="108"/>
      <c r="L35" s="109"/>
      <c r="M35" s="110"/>
    </row>
    <row r="36" spans="1:19" x14ac:dyDescent="0.2">
      <c r="A36" s="55" t="s">
        <v>29</v>
      </c>
      <c r="B36" s="56" t="s">
        <v>81</v>
      </c>
      <c r="C36" s="113">
        <f>SUM(C23:C35)</f>
        <v>38097.025000000001</v>
      </c>
      <c r="D36" s="114">
        <f>SUM(D23:D34)</f>
        <v>-33755.415000000001</v>
      </c>
      <c r="E36" s="121">
        <f t="shared" ref="E36:M36" si="2">SUM(E23:E34)</f>
        <v>-6151.732</v>
      </c>
      <c r="F36" s="121">
        <f t="shared" si="2"/>
        <v>60059.603999999992</v>
      </c>
      <c r="G36" s="114">
        <f t="shared" si="2"/>
        <v>0</v>
      </c>
      <c r="H36" s="121">
        <f t="shared" si="2"/>
        <v>2745.5680000000002</v>
      </c>
      <c r="I36" s="122">
        <f t="shared" si="2"/>
        <v>15199</v>
      </c>
      <c r="J36" s="121">
        <f t="shared" si="2"/>
        <v>0</v>
      </c>
      <c r="K36" s="114">
        <f t="shared" si="2"/>
        <v>0</v>
      </c>
      <c r="L36" s="123">
        <f t="shared" si="2"/>
        <v>0</v>
      </c>
      <c r="M36" s="124">
        <f t="shared" si="2"/>
        <v>0</v>
      </c>
    </row>
    <row r="37" spans="1:19" x14ac:dyDescent="0.2">
      <c r="A37" s="13"/>
      <c r="B37" s="14"/>
      <c r="C37" s="111"/>
      <c r="D37" s="108"/>
      <c r="E37" s="108"/>
      <c r="F37" s="108"/>
      <c r="G37" s="108"/>
      <c r="H37" s="108"/>
      <c r="I37" s="112"/>
      <c r="J37" s="108"/>
      <c r="K37" s="108"/>
      <c r="L37" s="109"/>
      <c r="M37" s="110"/>
    </row>
    <row r="38" spans="1:19" x14ac:dyDescent="0.2">
      <c r="A38" s="52" t="s">
        <v>64</v>
      </c>
      <c r="B38" s="53" t="s">
        <v>41</v>
      </c>
      <c r="C38" s="105">
        <f t="shared" ref="C38:C42" si="3">SUM(D38:M38)</f>
        <v>6220.6559999999999</v>
      </c>
      <c r="D38" s="106">
        <f>52.6+749.024+44.1+2140.695+957.114+280</f>
        <v>4223.5330000000004</v>
      </c>
      <c r="E38" s="106">
        <f>9.207+131.078+7.718+374.625+167.495+44</f>
        <v>734.12299999999993</v>
      </c>
      <c r="F38" s="106">
        <v>1003</v>
      </c>
      <c r="G38" s="106"/>
      <c r="H38" s="106"/>
      <c r="I38" s="107">
        <v>260</v>
      </c>
      <c r="J38" s="106"/>
      <c r="K38" s="106"/>
      <c r="L38" s="109"/>
      <c r="M38" s="110"/>
    </row>
    <row r="39" spans="1:19" x14ac:dyDescent="0.2">
      <c r="A39" s="52" t="s">
        <v>65</v>
      </c>
      <c r="B39" s="53" t="s">
        <v>42</v>
      </c>
      <c r="C39" s="105">
        <f t="shared" si="3"/>
        <v>13547.581999999999</v>
      </c>
      <c r="D39" s="106">
        <f>44.7+1085.524+55.685+27.5+2940.537+74.892-766.54-126.382+1471.239+37.446+1901</f>
        <v>6745.6009999999997</v>
      </c>
      <c r="E39" s="106">
        <f>7.821+189.966+9.745+4.812+514.592+13.106-134.144-22.117+257.464+6.553+295</f>
        <v>1142.7980000000002</v>
      </c>
      <c r="F39" s="106">
        <f>900.684+148.499+4510</f>
        <v>5559.183</v>
      </c>
      <c r="G39" s="106"/>
      <c r="H39" s="106"/>
      <c r="I39" s="107">
        <v>100</v>
      </c>
      <c r="J39" s="106"/>
      <c r="K39" s="106"/>
      <c r="L39" s="109"/>
      <c r="M39" s="110"/>
      <c r="S39" s="58"/>
    </row>
    <row r="40" spans="1:19" x14ac:dyDescent="0.2">
      <c r="A40" s="52" t="s">
        <v>66</v>
      </c>
      <c r="B40" s="53" t="s">
        <v>43</v>
      </c>
      <c r="C40" s="105">
        <f t="shared" si="3"/>
        <v>10525.123</v>
      </c>
      <c r="D40" s="106">
        <f>37.9+902.802+14.7+2720.119-391.182-130.394+1345.869+500</f>
        <v>4999.8139999999994</v>
      </c>
      <c r="E40" s="106">
        <f>6.632+157.989+2.573+476.029-68.456-22.819+235.524+78</f>
        <v>865.47199999999998</v>
      </c>
      <c r="F40" s="106">
        <f>459.638+153.213+1200</f>
        <v>1812.8510000000001</v>
      </c>
      <c r="G40" s="106"/>
      <c r="H40" s="106">
        <v>2546.9859999999999</v>
      </c>
      <c r="I40" s="107">
        <v>300</v>
      </c>
      <c r="J40" s="106"/>
      <c r="K40" s="106"/>
      <c r="L40" s="109"/>
      <c r="M40" s="110"/>
    </row>
    <row r="41" spans="1:19" x14ac:dyDescent="0.2">
      <c r="A41" s="52" t="s">
        <v>67</v>
      </c>
      <c r="B41" s="53" t="s">
        <v>44</v>
      </c>
      <c r="C41" s="105">
        <f t="shared" si="3"/>
        <v>6390.97</v>
      </c>
      <c r="D41" s="106">
        <f>17.9+610.672+0.001+1659.838+991.586</f>
        <v>3279.9970000000003</v>
      </c>
      <c r="E41" s="106">
        <f>3.135+106.869+290.469+173.527</f>
        <v>574</v>
      </c>
      <c r="F41" s="106"/>
      <c r="G41" s="106"/>
      <c r="H41" s="106">
        <v>461.97300000000001</v>
      </c>
      <c r="I41" s="107">
        <v>2075</v>
      </c>
      <c r="J41" s="106"/>
      <c r="K41" s="106"/>
      <c r="L41" s="109"/>
      <c r="M41" s="110"/>
      <c r="R41" s="58"/>
    </row>
    <row r="42" spans="1:19" x14ac:dyDescent="0.2">
      <c r="A42" s="52" t="s">
        <v>68</v>
      </c>
      <c r="B42" s="53" t="s">
        <v>91</v>
      </c>
      <c r="C42" s="105">
        <f t="shared" si="3"/>
        <v>29443.295999999998</v>
      </c>
      <c r="D42" s="106">
        <f>180.6+3366.18+124.5+8496.271+272.398+5.1+4107.307+6000</f>
        <v>22552.356</v>
      </c>
      <c r="E42" s="106">
        <f>31.605+589.082+21.786+1486.847+25.946+0.892+718.782+930</f>
        <v>3804.9399999999996</v>
      </c>
      <c r="F42" s="106">
        <v>3086</v>
      </c>
      <c r="G42" s="106"/>
      <c r="H42" s="106"/>
      <c r="I42" s="107"/>
      <c r="J42" s="106"/>
      <c r="K42" s="106"/>
      <c r="L42" s="109"/>
      <c r="M42" s="110"/>
    </row>
    <row r="43" spans="1:19" x14ac:dyDescent="0.2">
      <c r="A43" s="52"/>
      <c r="B43" s="14"/>
      <c r="C43" s="111"/>
      <c r="D43" s="108"/>
      <c r="E43" s="108"/>
      <c r="F43" s="108"/>
      <c r="G43" s="108"/>
      <c r="H43" s="108"/>
      <c r="I43" s="112"/>
      <c r="J43" s="108"/>
      <c r="K43" s="108"/>
      <c r="L43" s="109"/>
      <c r="M43" s="110"/>
    </row>
    <row r="44" spans="1:19" x14ac:dyDescent="0.2">
      <c r="A44" s="55" t="s">
        <v>31</v>
      </c>
      <c r="B44" s="60" t="s">
        <v>82</v>
      </c>
      <c r="C44" s="113">
        <f>SUM(C38:C43)</f>
        <v>66127.626999999993</v>
      </c>
      <c r="D44" s="114">
        <f>SUM(D38:D42)</f>
        <v>41801.300999999999</v>
      </c>
      <c r="E44" s="114">
        <f t="shared" ref="E44:M44" si="4">SUM(E38:E42)</f>
        <v>7121.3329999999996</v>
      </c>
      <c r="F44" s="114">
        <f t="shared" si="4"/>
        <v>11461.034</v>
      </c>
      <c r="G44" s="114">
        <f t="shared" si="4"/>
        <v>0</v>
      </c>
      <c r="H44" s="125">
        <f t="shared" si="4"/>
        <v>3008.9589999999998</v>
      </c>
      <c r="I44" s="114">
        <f t="shared" si="4"/>
        <v>2735</v>
      </c>
      <c r="J44" s="114">
        <f t="shared" si="4"/>
        <v>0</v>
      </c>
      <c r="K44" s="125">
        <f t="shared" si="4"/>
        <v>0</v>
      </c>
      <c r="L44" s="114">
        <f t="shared" si="4"/>
        <v>0</v>
      </c>
      <c r="M44" s="125">
        <f t="shared" si="4"/>
        <v>0</v>
      </c>
    </row>
    <row r="45" spans="1:19" x14ac:dyDescent="0.2">
      <c r="A45" s="61"/>
      <c r="B45" s="62"/>
      <c r="C45" s="126"/>
      <c r="D45" s="127"/>
      <c r="E45" s="127"/>
      <c r="F45" s="127"/>
      <c r="G45" s="127"/>
      <c r="H45" s="127"/>
      <c r="I45" s="128"/>
      <c r="J45" s="127"/>
      <c r="K45" s="129"/>
      <c r="L45" s="130"/>
      <c r="M45" s="131"/>
    </row>
    <row r="46" spans="1:19" x14ac:dyDescent="0.2">
      <c r="A46" s="43" t="s">
        <v>33</v>
      </c>
      <c r="B46" s="63" t="s">
        <v>45</v>
      </c>
      <c r="C46" s="132">
        <f>SUM(D46:M46)</f>
        <v>35682.5</v>
      </c>
      <c r="D46" s="133">
        <f>24.3+28.4+9</f>
        <v>61.7</v>
      </c>
      <c r="E46" s="134">
        <f>4.253+4.972+1.575</f>
        <v>10.8</v>
      </c>
      <c r="F46" s="135">
        <f>-4485+25000+1335</f>
        <v>21850</v>
      </c>
      <c r="G46" s="135"/>
      <c r="H46" s="135"/>
      <c r="I46" s="136">
        <f>4485+8100</f>
        <v>12585</v>
      </c>
      <c r="J46" s="135">
        <v>1175</v>
      </c>
      <c r="K46" s="137"/>
      <c r="L46" s="138"/>
      <c r="M46" s="139"/>
      <c r="R46" s="58"/>
      <c r="S46" s="58"/>
    </row>
    <row r="47" spans="1:19" ht="13.5" thickBot="1" x14ac:dyDescent="0.25">
      <c r="A47" s="13"/>
      <c r="B47" s="64"/>
      <c r="C47" s="140"/>
      <c r="D47" s="141"/>
      <c r="E47" s="141"/>
      <c r="F47" s="141"/>
      <c r="G47" s="141"/>
      <c r="H47" s="142"/>
      <c r="I47" s="141"/>
      <c r="J47" s="141"/>
      <c r="K47" s="142"/>
      <c r="L47" s="143"/>
      <c r="M47" s="142"/>
    </row>
    <row r="48" spans="1:19" ht="22.5" thickBot="1" x14ac:dyDescent="0.25">
      <c r="A48" s="65" t="s">
        <v>75</v>
      </c>
      <c r="B48" s="66" t="s">
        <v>79</v>
      </c>
      <c r="C48" s="144">
        <f>C21+C36+C44+C46</f>
        <v>171561.82</v>
      </c>
      <c r="D48" s="144">
        <f t="shared" ref="D48:M48" si="5">D21+D36+D44+D46</f>
        <v>13961.522999999997</v>
      </c>
      <c r="E48" s="144">
        <f t="shared" si="5"/>
        <v>1972.8469999999995</v>
      </c>
      <c r="F48" s="144">
        <f t="shared" si="5"/>
        <v>94414.954999999987</v>
      </c>
      <c r="G48" s="144">
        <f t="shared" si="5"/>
        <v>0</v>
      </c>
      <c r="H48" s="144">
        <f t="shared" si="5"/>
        <v>26631.494999999999</v>
      </c>
      <c r="I48" s="144">
        <f t="shared" si="5"/>
        <v>33406</v>
      </c>
      <c r="J48" s="144">
        <f t="shared" si="5"/>
        <v>1175</v>
      </c>
      <c r="K48" s="144">
        <f t="shared" si="5"/>
        <v>0</v>
      </c>
      <c r="L48" s="144">
        <f t="shared" si="5"/>
        <v>0</v>
      </c>
      <c r="M48" s="144">
        <f t="shared" si="5"/>
        <v>0</v>
      </c>
    </row>
    <row r="49" spans="1:15" x14ac:dyDescent="0.2">
      <c r="A49" s="39"/>
      <c r="B49" s="67"/>
      <c r="C49" s="145"/>
      <c r="D49" s="146"/>
      <c r="E49" s="146"/>
      <c r="F49" s="146"/>
      <c r="G49" s="146"/>
      <c r="H49" s="147"/>
      <c r="I49" s="146"/>
      <c r="J49" s="146"/>
      <c r="K49" s="147"/>
      <c r="L49" s="148"/>
      <c r="M49" s="147"/>
    </row>
    <row r="50" spans="1:15" x14ac:dyDescent="0.2">
      <c r="A50" s="70" t="s">
        <v>76</v>
      </c>
      <c r="B50" s="71" t="s">
        <v>77</v>
      </c>
      <c r="C50" s="149">
        <f>SUM(D50:M50)</f>
        <v>178133.01700000002</v>
      </c>
      <c r="D50" s="150">
        <f>1240.503+953.901+1433.215</f>
        <v>3627.6189999999997</v>
      </c>
      <c r="E50" s="151">
        <f>2969.254+217.088+166.933+250.813</f>
        <v>3604.0880000000002</v>
      </c>
      <c r="F50" s="152">
        <f>-15343.391+160764.564</f>
        <v>145421.17300000001</v>
      </c>
      <c r="G50" s="151"/>
      <c r="H50" s="153"/>
      <c r="I50" s="151">
        <f>8101.928+10248</f>
        <v>18349.928</v>
      </c>
      <c r="J50" s="154">
        <f>4272.209+2858</f>
        <v>7130.2089999999998</v>
      </c>
      <c r="K50" s="153"/>
      <c r="L50" s="155"/>
      <c r="M50" s="153"/>
    </row>
    <row r="51" spans="1:15" ht="13.5" thickBot="1" x14ac:dyDescent="0.25">
      <c r="A51" s="34"/>
      <c r="B51" s="14"/>
      <c r="C51" s="140"/>
      <c r="D51" s="141"/>
      <c r="E51" s="141"/>
      <c r="F51" s="141"/>
      <c r="G51" s="141"/>
      <c r="H51" s="142"/>
      <c r="I51" s="141"/>
      <c r="J51" s="141"/>
      <c r="K51" s="142"/>
      <c r="L51" s="143"/>
      <c r="M51" s="142"/>
    </row>
    <row r="52" spans="1:15" ht="13.5" thickBot="1" x14ac:dyDescent="0.25">
      <c r="A52" s="72" t="s">
        <v>78</v>
      </c>
      <c r="B52" s="73" t="s">
        <v>84</v>
      </c>
      <c r="C52" s="156">
        <f>C48+C50</f>
        <v>349694.83700000006</v>
      </c>
      <c r="D52" s="157">
        <f t="shared" ref="D52:M52" si="6">D48+D50</f>
        <v>17589.141999999996</v>
      </c>
      <c r="E52" s="158">
        <f t="shared" si="6"/>
        <v>5576.9349999999995</v>
      </c>
      <c r="F52" s="158">
        <f t="shared" si="6"/>
        <v>239836.128</v>
      </c>
      <c r="G52" s="158">
        <f t="shared" si="6"/>
        <v>0</v>
      </c>
      <c r="H52" s="159">
        <f t="shared" si="6"/>
        <v>26631.494999999999</v>
      </c>
      <c r="I52" s="157">
        <f t="shared" si="6"/>
        <v>51755.928</v>
      </c>
      <c r="J52" s="158">
        <f t="shared" si="6"/>
        <v>8305.2089999999989</v>
      </c>
      <c r="K52" s="158">
        <f t="shared" si="6"/>
        <v>0</v>
      </c>
      <c r="L52" s="158">
        <f t="shared" si="6"/>
        <v>0</v>
      </c>
      <c r="M52" s="159">
        <f t="shared" si="6"/>
        <v>0</v>
      </c>
    </row>
    <row r="53" spans="1:15" x14ac:dyDescent="0.2">
      <c r="A53" s="74"/>
      <c r="B53" s="20"/>
      <c r="C53" s="75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5" x14ac:dyDescent="0.2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2"/>
      <c r="O54" s="2"/>
    </row>
    <row r="55" spans="1:15" x14ac:dyDescent="0.2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2"/>
      <c r="O55" s="2"/>
    </row>
    <row r="56" spans="1:15" x14ac:dyDescent="0.2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2"/>
      <c r="O56" s="2"/>
    </row>
    <row r="57" spans="1:15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2"/>
      <c r="O57" s="2"/>
    </row>
    <row r="58" spans="1:15" x14ac:dyDescent="0.2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2"/>
      <c r="O58" s="2"/>
    </row>
    <row r="59" spans="1:15" x14ac:dyDescent="0.2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2"/>
      <c r="O59" s="2"/>
    </row>
    <row r="60" spans="1:15" x14ac:dyDescent="0.2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2"/>
      <c r="O60" s="2"/>
    </row>
    <row r="61" spans="1:15" x14ac:dyDescent="0.2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2"/>
      <c r="O61" s="2"/>
    </row>
    <row r="62" spans="1:15" x14ac:dyDescent="0.2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2"/>
      <c r="O62" s="2"/>
    </row>
    <row r="63" spans="1:15" x14ac:dyDescent="0.2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2"/>
      <c r="O63" s="2"/>
    </row>
    <row r="64" spans="1:15" x14ac:dyDescent="0.2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2"/>
      <c r="O64" s="2"/>
    </row>
    <row r="65" spans="3:15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3:15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3:15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3:15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5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5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5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5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3:15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3:15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3:15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3:15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3:15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3:15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3:15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3:15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3:15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3:15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3:15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3:15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3:15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3:15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3:15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3:15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3:15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3:15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3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N3" sqref="N3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384" width="9.140625" style="1"/>
  </cols>
  <sheetData>
    <row r="1" spans="1:15" x14ac:dyDescent="0.2">
      <c r="M1" s="2"/>
      <c r="N1" s="197" t="s">
        <v>93</v>
      </c>
      <c r="O1" s="197"/>
    </row>
    <row r="2" spans="1:15" x14ac:dyDescent="0.2">
      <c r="M2" s="2"/>
      <c r="N2" s="2"/>
      <c r="O2" s="77"/>
    </row>
    <row r="3" spans="1:15" x14ac:dyDescent="0.2">
      <c r="M3" s="2"/>
      <c r="N3" s="2"/>
      <c r="O3" s="77"/>
    </row>
    <row r="4" spans="1:15" x14ac:dyDescent="0.2">
      <c r="A4" s="198" t="s">
        <v>90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3"/>
      <c r="B6" s="198" t="s">
        <v>95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4"/>
    </row>
    <row r="7" spans="1:15" x14ac:dyDescent="0.2">
      <c r="A7" s="3"/>
      <c r="B7" s="4"/>
      <c r="C7" s="4"/>
      <c r="D7" s="4"/>
      <c r="E7" s="4"/>
      <c r="F7" s="4"/>
      <c r="G7" s="4"/>
      <c r="H7" s="78"/>
      <c r="I7" s="4"/>
      <c r="J7" s="4"/>
      <c r="K7" s="4"/>
      <c r="L7" s="4"/>
      <c r="M7" s="4"/>
      <c r="N7" s="4"/>
      <c r="O7" s="6"/>
    </row>
    <row r="8" spans="1:15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0</v>
      </c>
    </row>
    <row r="9" spans="1:15" ht="13.5" thickBot="1" x14ac:dyDescent="0.25">
      <c r="A9" s="9"/>
      <c r="B9" s="10"/>
      <c r="C9" s="10"/>
      <c r="D9" s="204" t="s">
        <v>1</v>
      </c>
      <c r="E9" s="204"/>
      <c r="F9" s="204"/>
      <c r="G9" s="199"/>
      <c r="H9" s="199"/>
      <c r="I9" s="199"/>
      <c r="J9" s="204"/>
      <c r="K9" s="204"/>
      <c r="L9" s="204"/>
      <c r="M9" s="204"/>
      <c r="N9" s="205" t="s">
        <v>2</v>
      </c>
      <c r="O9" s="200"/>
    </row>
    <row r="10" spans="1:15" ht="13.5" thickBot="1" x14ac:dyDescent="0.25">
      <c r="A10" s="13"/>
      <c r="B10" s="79"/>
      <c r="C10" s="79"/>
      <c r="D10" s="206" t="s">
        <v>61</v>
      </c>
      <c r="E10" s="207"/>
      <c r="F10" s="207"/>
      <c r="G10" s="207"/>
      <c r="H10" s="207"/>
      <c r="I10" s="208"/>
      <c r="J10" s="206" t="s">
        <v>56</v>
      </c>
      <c r="K10" s="207"/>
      <c r="L10" s="207"/>
      <c r="M10" s="207"/>
      <c r="N10" s="80"/>
      <c r="O10" s="81"/>
    </row>
    <row r="11" spans="1:15" ht="12.75" customHeight="1" x14ac:dyDescent="0.2">
      <c r="A11" s="82"/>
      <c r="B11" s="19" t="s">
        <v>60</v>
      </c>
      <c r="C11" s="19" t="s">
        <v>3</v>
      </c>
      <c r="D11" s="74"/>
      <c r="E11" s="35"/>
      <c r="F11" s="83"/>
      <c r="G11" s="9"/>
      <c r="H11" s="84"/>
      <c r="I11" s="85"/>
      <c r="J11" s="86"/>
      <c r="K11" s="87"/>
      <c r="L11" s="86"/>
      <c r="M11" s="87"/>
      <c r="N11" s="25" t="s">
        <v>10</v>
      </c>
      <c r="O11" s="26" t="s">
        <v>13</v>
      </c>
    </row>
    <row r="12" spans="1:15" x14ac:dyDescent="0.2">
      <c r="A12" s="82"/>
      <c r="B12" s="19" t="s">
        <v>20</v>
      </c>
      <c r="C12" s="19" t="s">
        <v>46</v>
      </c>
      <c r="D12" s="88" t="s">
        <v>10</v>
      </c>
      <c r="E12" s="89" t="s">
        <v>10</v>
      </c>
      <c r="F12" s="89" t="s">
        <v>10</v>
      </c>
      <c r="G12" s="25" t="s">
        <v>13</v>
      </c>
      <c r="H12" s="89" t="s">
        <v>49</v>
      </c>
      <c r="I12" s="26" t="s">
        <v>13</v>
      </c>
      <c r="J12" s="90" t="s">
        <v>10</v>
      </c>
      <c r="K12" s="29" t="s">
        <v>10</v>
      </c>
      <c r="L12" s="90" t="s">
        <v>13</v>
      </c>
      <c r="M12" s="29" t="s">
        <v>13</v>
      </c>
      <c r="N12" s="25" t="s">
        <v>17</v>
      </c>
      <c r="O12" s="26" t="s">
        <v>17</v>
      </c>
    </row>
    <row r="13" spans="1:15" x14ac:dyDescent="0.2">
      <c r="A13" s="91"/>
      <c r="B13" s="19"/>
      <c r="C13" s="19" t="s">
        <v>14</v>
      </c>
      <c r="D13" s="88" t="s">
        <v>46</v>
      </c>
      <c r="E13" s="89" t="s">
        <v>46</v>
      </c>
      <c r="F13" s="89" t="s">
        <v>17</v>
      </c>
      <c r="G13" s="25" t="s">
        <v>46</v>
      </c>
      <c r="H13" s="89" t="s">
        <v>46</v>
      </c>
      <c r="I13" s="26" t="s">
        <v>17</v>
      </c>
      <c r="J13" s="90" t="s">
        <v>57</v>
      </c>
      <c r="K13" s="29" t="s">
        <v>59</v>
      </c>
      <c r="L13" s="90" t="s">
        <v>57</v>
      </c>
      <c r="M13" s="29" t="s">
        <v>59</v>
      </c>
      <c r="N13" s="25"/>
      <c r="O13" s="26"/>
    </row>
    <row r="14" spans="1:15" x14ac:dyDescent="0.2">
      <c r="A14" s="31" t="s">
        <v>19</v>
      </c>
      <c r="B14" s="19"/>
      <c r="C14" s="37"/>
      <c r="D14" s="27" t="s">
        <v>50</v>
      </c>
      <c r="E14" s="89"/>
      <c r="F14" s="89" t="s">
        <v>54</v>
      </c>
      <c r="G14" s="52" t="s">
        <v>50</v>
      </c>
      <c r="H14" s="89"/>
      <c r="I14" s="26" t="s">
        <v>54</v>
      </c>
      <c r="J14" s="90" t="s">
        <v>55</v>
      </c>
      <c r="K14" s="29" t="s">
        <v>48</v>
      </c>
      <c r="L14" s="90" t="s">
        <v>55</v>
      </c>
      <c r="M14" s="29" t="s">
        <v>48</v>
      </c>
      <c r="N14" s="25"/>
      <c r="O14" s="26"/>
    </row>
    <row r="15" spans="1:15" x14ac:dyDescent="0.2">
      <c r="A15" s="31"/>
      <c r="B15" s="19"/>
      <c r="C15" s="37"/>
      <c r="D15" s="27" t="s">
        <v>52</v>
      </c>
      <c r="E15" s="89"/>
      <c r="F15" s="89" t="s">
        <v>23</v>
      </c>
      <c r="G15" s="52" t="s">
        <v>52</v>
      </c>
      <c r="H15" s="89"/>
      <c r="I15" s="26" t="s">
        <v>23</v>
      </c>
      <c r="J15" s="90" t="s">
        <v>58</v>
      </c>
      <c r="K15" s="26"/>
      <c r="L15" s="90" t="s">
        <v>58</v>
      </c>
      <c r="M15" s="26"/>
      <c r="N15" s="25"/>
      <c r="O15" s="26"/>
    </row>
    <row r="16" spans="1:15" x14ac:dyDescent="0.2">
      <c r="A16" s="30"/>
      <c r="B16" s="36"/>
      <c r="C16" s="37"/>
      <c r="D16" s="68"/>
      <c r="E16" s="89"/>
      <c r="F16" s="89"/>
      <c r="G16" s="69"/>
      <c r="H16" s="89"/>
      <c r="I16" s="26"/>
      <c r="J16" s="92"/>
      <c r="K16" s="26"/>
      <c r="L16" s="92"/>
      <c r="M16" s="41"/>
      <c r="N16" s="13"/>
      <c r="O16" s="42"/>
    </row>
    <row r="17" spans="1:15" x14ac:dyDescent="0.2">
      <c r="A17" s="43">
        <v>1</v>
      </c>
      <c r="B17" s="44">
        <v>2</v>
      </c>
      <c r="C17" s="44">
        <v>3</v>
      </c>
      <c r="D17" s="45">
        <v>4</v>
      </c>
      <c r="E17" s="45">
        <v>5</v>
      </c>
      <c r="F17" s="47">
        <v>6</v>
      </c>
      <c r="G17" s="43">
        <v>7</v>
      </c>
      <c r="H17" s="47">
        <v>8</v>
      </c>
      <c r="I17" s="50">
        <v>9</v>
      </c>
      <c r="J17" s="43">
        <v>10</v>
      </c>
      <c r="K17" s="50">
        <v>11</v>
      </c>
      <c r="L17" s="43">
        <v>12</v>
      </c>
      <c r="M17" s="50">
        <v>13</v>
      </c>
      <c r="N17" s="43">
        <v>14</v>
      </c>
      <c r="O17" s="50">
        <v>15</v>
      </c>
    </row>
    <row r="18" spans="1:15" x14ac:dyDescent="0.2">
      <c r="A18" s="52"/>
      <c r="B18" s="19"/>
      <c r="C18" s="98"/>
      <c r="D18" s="99"/>
      <c r="E18" s="102"/>
      <c r="F18" s="99"/>
      <c r="G18" s="100"/>
      <c r="H18" s="99"/>
      <c r="I18" s="101"/>
      <c r="J18" s="100"/>
      <c r="K18" s="101"/>
      <c r="L18" s="100"/>
      <c r="M18" s="101"/>
      <c r="N18" s="100"/>
      <c r="O18" s="101"/>
    </row>
    <row r="19" spans="1:15" x14ac:dyDescent="0.2">
      <c r="A19" s="52" t="s">
        <v>64</v>
      </c>
      <c r="B19" s="53" t="s">
        <v>27</v>
      </c>
      <c r="C19" s="160">
        <v>0</v>
      </c>
      <c r="D19" s="161"/>
      <c r="E19" s="162"/>
      <c r="F19" s="161"/>
      <c r="G19" s="163"/>
      <c r="H19" s="161"/>
      <c r="I19" s="164"/>
      <c r="J19" s="163">
        <v>23324.968000000001</v>
      </c>
      <c r="K19" s="164">
        <f>3985.203+12.455+1445.042</f>
        <v>5442.7</v>
      </c>
      <c r="L19" s="163">
        <v>2887</v>
      </c>
      <c r="M19" s="164"/>
      <c r="N19" s="163"/>
      <c r="O19" s="164"/>
    </row>
    <row r="20" spans="1:15" x14ac:dyDescent="0.2">
      <c r="A20" s="13"/>
      <c r="B20" s="54"/>
      <c r="C20" s="160"/>
      <c r="D20" s="161"/>
      <c r="E20" s="162"/>
      <c r="F20" s="161"/>
      <c r="G20" s="163"/>
      <c r="H20" s="161"/>
      <c r="I20" s="164"/>
      <c r="J20" s="163"/>
      <c r="K20" s="164"/>
      <c r="L20" s="163"/>
      <c r="M20" s="164"/>
      <c r="N20" s="163"/>
      <c r="O20" s="164"/>
    </row>
    <row r="21" spans="1:15" x14ac:dyDescent="0.2">
      <c r="A21" s="55" t="s">
        <v>26</v>
      </c>
      <c r="B21" s="56" t="s">
        <v>80</v>
      </c>
      <c r="C21" s="165">
        <f>SUM(C19:C20)</f>
        <v>0</v>
      </c>
      <c r="D21" s="166">
        <f>SUM(D19:D20)</f>
        <v>0</v>
      </c>
      <c r="E21" s="167">
        <f t="shared" ref="E21:O21" si="0">SUM(E19:E20)</f>
        <v>0</v>
      </c>
      <c r="F21" s="168">
        <f t="shared" si="0"/>
        <v>0</v>
      </c>
      <c r="G21" s="166">
        <f t="shared" si="0"/>
        <v>0</v>
      </c>
      <c r="H21" s="167">
        <f t="shared" si="0"/>
        <v>0</v>
      </c>
      <c r="I21" s="168">
        <f t="shared" si="0"/>
        <v>0</v>
      </c>
      <c r="J21" s="166">
        <f t="shared" si="0"/>
        <v>23324.968000000001</v>
      </c>
      <c r="K21" s="168">
        <f t="shared" si="0"/>
        <v>5442.7</v>
      </c>
      <c r="L21" s="166">
        <f t="shared" si="0"/>
        <v>2887</v>
      </c>
      <c r="M21" s="168">
        <f t="shared" si="0"/>
        <v>0</v>
      </c>
      <c r="N21" s="166">
        <f t="shared" si="0"/>
        <v>0</v>
      </c>
      <c r="O21" s="168">
        <f t="shared" si="0"/>
        <v>0</v>
      </c>
    </row>
    <row r="22" spans="1:15" x14ac:dyDescent="0.2">
      <c r="A22" s="13"/>
      <c r="B22" s="93"/>
      <c r="C22" s="169"/>
      <c r="D22" s="161"/>
      <c r="E22" s="162"/>
      <c r="F22" s="161"/>
      <c r="G22" s="163"/>
      <c r="H22" s="161"/>
      <c r="I22" s="164"/>
      <c r="J22" s="163"/>
      <c r="K22" s="164"/>
      <c r="L22" s="163"/>
      <c r="M22" s="164"/>
      <c r="N22" s="163"/>
      <c r="O22" s="164"/>
    </row>
    <row r="23" spans="1:15" x14ac:dyDescent="0.2">
      <c r="A23" s="52" t="s">
        <v>64</v>
      </c>
      <c r="B23" s="53" t="s">
        <v>28</v>
      </c>
      <c r="C23" s="160">
        <v>871.03</v>
      </c>
      <c r="D23" s="161">
        <v>871.03</v>
      </c>
      <c r="E23" s="162"/>
      <c r="F23" s="161"/>
      <c r="G23" s="163"/>
      <c r="H23" s="161"/>
      <c r="I23" s="164"/>
      <c r="J23" s="163">
        <v>1537.327</v>
      </c>
      <c r="K23" s="164"/>
      <c r="L23" s="163"/>
      <c r="M23" s="164"/>
      <c r="N23" s="163"/>
      <c r="O23" s="164"/>
    </row>
    <row r="24" spans="1:15" x14ac:dyDescent="0.2">
      <c r="A24" s="52" t="s">
        <v>65</v>
      </c>
      <c r="B24" s="53" t="s">
        <v>30</v>
      </c>
      <c r="C24" s="160">
        <v>0</v>
      </c>
      <c r="D24" s="161"/>
      <c r="E24" s="162"/>
      <c r="F24" s="161"/>
      <c r="G24" s="163"/>
      <c r="H24" s="161"/>
      <c r="I24" s="164"/>
      <c r="J24" s="163">
        <v>524.97299999999996</v>
      </c>
      <c r="K24" s="164">
        <v>2.9369999999999998</v>
      </c>
      <c r="L24" s="163">
        <v>1112</v>
      </c>
      <c r="M24" s="164"/>
      <c r="N24" s="163"/>
      <c r="O24" s="164"/>
    </row>
    <row r="25" spans="1:15" x14ac:dyDescent="0.2">
      <c r="A25" s="52" t="s">
        <v>66</v>
      </c>
      <c r="B25" s="53" t="s">
        <v>32</v>
      </c>
      <c r="C25" s="160">
        <v>0</v>
      </c>
      <c r="D25" s="161"/>
      <c r="E25" s="162"/>
      <c r="F25" s="161"/>
      <c r="G25" s="163"/>
      <c r="H25" s="161"/>
      <c r="I25" s="164"/>
      <c r="J25" s="163"/>
      <c r="K25" s="164"/>
      <c r="L25" s="163">
        <v>1604.0509999999999</v>
      </c>
      <c r="M25" s="164">
        <v>1252.9490000000001</v>
      </c>
      <c r="N25" s="163"/>
      <c r="O25" s="164"/>
    </row>
    <row r="26" spans="1:15" x14ac:dyDescent="0.2">
      <c r="A26" s="52" t="s">
        <v>67</v>
      </c>
      <c r="B26" s="53" t="s">
        <v>34</v>
      </c>
      <c r="C26" s="160">
        <v>0</v>
      </c>
      <c r="D26" s="161"/>
      <c r="E26" s="162"/>
      <c r="F26" s="161"/>
      <c r="G26" s="163"/>
      <c r="H26" s="161"/>
      <c r="I26" s="164"/>
      <c r="J26" s="163">
        <v>1517.8969999999999</v>
      </c>
      <c r="K26" s="164">
        <v>339.10300000000001</v>
      </c>
      <c r="L26" s="163">
        <v>397</v>
      </c>
      <c r="M26" s="164"/>
      <c r="N26" s="163"/>
      <c r="O26" s="164"/>
    </row>
    <row r="27" spans="1:15" x14ac:dyDescent="0.2">
      <c r="A27" s="52" t="s">
        <v>68</v>
      </c>
      <c r="B27" s="53" t="s">
        <v>35</v>
      </c>
      <c r="C27" s="160">
        <v>0</v>
      </c>
      <c r="D27" s="161"/>
      <c r="E27" s="162"/>
      <c r="F27" s="161"/>
      <c r="G27" s="163"/>
      <c r="H27" s="161"/>
      <c r="I27" s="164"/>
      <c r="J27" s="163">
        <v>1461.2629999999999</v>
      </c>
      <c r="K27" s="164">
        <f>0.353+988.737</f>
        <v>989.08999999999992</v>
      </c>
      <c r="L27" s="163">
        <v>772</v>
      </c>
      <c r="M27" s="164"/>
      <c r="N27" s="163"/>
      <c r="O27" s="164"/>
    </row>
    <row r="28" spans="1:15" x14ac:dyDescent="0.2">
      <c r="A28" s="52" t="s">
        <v>69</v>
      </c>
      <c r="B28" s="53" t="s">
        <v>36</v>
      </c>
      <c r="C28" s="160">
        <v>0</v>
      </c>
      <c r="D28" s="161"/>
      <c r="E28" s="162"/>
      <c r="F28" s="161"/>
      <c r="G28" s="163"/>
      <c r="H28" s="161"/>
      <c r="I28" s="164"/>
      <c r="J28" s="163"/>
      <c r="K28" s="164">
        <v>3749</v>
      </c>
      <c r="L28" s="163">
        <v>2698.5149999999999</v>
      </c>
      <c r="M28" s="164">
        <v>1400.4849999999999</v>
      </c>
      <c r="N28" s="163"/>
      <c r="O28" s="164"/>
    </row>
    <row r="29" spans="1:15" x14ac:dyDescent="0.2">
      <c r="A29" s="52" t="s">
        <v>70</v>
      </c>
      <c r="B29" s="53" t="s">
        <v>37</v>
      </c>
      <c r="C29" s="160">
        <v>0</v>
      </c>
      <c r="D29" s="161"/>
      <c r="E29" s="162"/>
      <c r="F29" s="161"/>
      <c r="G29" s="163"/>
      <c r="H29" s="161"/>
      <c r="I29" s="164"/>
      <c r="J29" s="163">
        <v>383</v>
      </c>
      <c r="K29" s="164">
        <f>1.88+111.022</f>
        <v>112.902</v>
      </c>
      <c r="L29" s="163">
        <v>1788.9780000000001</v>
      </c>
      <c r="M29" s="164"/>
      <c r="N29" s="163"/>
      <c r="O29" s="164"/>
    </row>
    <row r="30" spans="1:15" x14ac:dyDescent="0.2">
      <c r="A30" s="52" t="s">
        <v>71</v>
      </c>
      <c r="B30" s="53" t="s">
        <v>38</v>
      </c>
      <c r="C30" s="160">
        <v>0</v>
      </c>
      <c r="D30" s="161"/>
      <c r="E30" s="162"/>
      <c r="F30" s="161"/>
      <c r="G30" s="163"/>
      <c r="H30" s="161"/>
      <c r="I30" s="164"/>
      <c r="J30" s="163">
        <v>1758.086</v>
      </c>
      <c r="K30" s="164">
        <f>23.147+6.11+2060.914</f>
        <v>2090.1710000000003</v>
      </c>
      <c r="L30" s="163"/>
      <c r="M30" s="164"/>
      <c r="N30" s="163"/>
      <c r="O30" s="164"/>
    </row>
    <row r="31" spans="1:15" x14ac:dyDescent="0.2">
      <c r="A31" s="52" t="s">
        <v>74</v>
      </c>
      <c r="B31" s="53" t="s">
        <v>39</v>
      </c>
      <c r="C31" s="160">
        <v>0</v>
      </c>
      <c r="D31" s="161"/>
      <c r="E31" s="162"/>
      <c r="F31" s="161"/>
      <c r="G31" s="163"/>
      <c r="H31" s="161"/>
      <c r="I31" s="164"/>
      <c r="J31" s="163">
        <v>3200.2</v>
      </c>
      <c r="K31" s="164">
        <v>1260.8</v>
      </c>
      <c r="L31" s="163">
        <v>947</v>
      </c>
      <c r="M31" s="164"/>
      <c r="N31" s="163"/>
      <c r="O31" s="164"/>
    </row>
    <row r="32" spans="1:15" x14ac:dyDescent="0.2">
      <c r="A32" s="52" t="s">
        <v>72</v>
      </c>
      <c r="B32" s="53" t="s">
        <v>40</v>
      </c>
      <c r="C32" s="160">
        <v>0</v>
      </c>
      <c r="D32" s="161"/>
      <c r="E32" s="162"/>
      <c r="F32" s="161"/>
      <c r="G32" s="163"/>
      <c r="H32" s="161"/>
      <c r="I32" s="164"/>
      <c r="J32" s="163">
        <v>1668.857</v>
      </c>
      <c r="K32" s="164"/>
      <c r="L32" s="163">
        <v>1165</v>
      </c>
      <c r="M32" s="164"/>
      <c r="N32" s="163"/>
      <c r="O32" s="164"/>
    </row>
    <row r="33" spans="1:15" x14ac:dyDescent="0.2">
      <c r="A33" s="52" t="s">
        <v>73</v>
      </c>
      <c r="B33" s="53" t="s">
        <v>85</v>
      </c>
      <c r="C33" s="160">
        <v>0</v>
      </c>
      <c r="D33" s="161"/>
      <c r="E33" s="162"/>
      <c r="F33" s="161"/>
      <c r="G33" s="163"/>
      <c r="H33" s="161"/>
      <c r="I33" s="164"/>
      <c r="J33" s="163">
        <v>1300.0609999999999</v>
      </c>
      <c r="K33" s="164">
        <v>432.93900000000002</v>
      </c>
      <c r="L33" s="163">
        <v>400</v>
      </c>
      <c r="M33" s="164"/>
      <c r="N33" s="163"/>
      <c r="O33" s="164"/>
    </row>
    <row r="34" spans="1:15" x14ac:dyDescent="0.2">
      <c r="A34" s="52" t="s">
        <v>87</v>
      </c>
      <c r="B34" s="53" t="s">
        <v>89</v>
      </c>
      <c r="C34" s="160">
        <v>0</v>
      </c>
      <c r="D34" s="161"/>
      <c r="E34" s="162"/>
      <c r="F34" s="161"/>
      <c r="G34" s="163"/>
      <c r="H34" s="161"/>
      <c r="I34" s="164"/>
      <c r="J34" s="163">
        <v>1359.4110000000001</v>
      </c>
      <c r="K34" s="164"/>
      <c r="L34" s="163"/>
      <c r="M34" s="164"/>
      <c r="N34" s="163"/>
      <c r="O34" s="164"/>
    </row>
    <row r="35" spans="1:15" x14ac:dyDescent="0.2">
      <c r="A35" s="52"/>
      <c r="B35" s="14"/>
      <c r="C35" s="160"/>
      <c r="D35" s="161"/>
      <c r="E35" s="162"/>
      <c r="F35" s="161"/>
      <c r="G35" s="163"/>
      <c r="H35" s="161"/>
      <c r="I35" s="164"/>
      <c r="J35" s="163"/>
      <c r="K35" s="164"/>
      <c r="L35" s="163"/>
      <c r="M35" s="164"/>
      <c r="N35" s="163"/>
      <c r="O35" s="164"/>
    </row>
    <row r="36" spans="1:15" x14ac:dyDescent="0.2">
      <c r="A36" s="55" t="s">
        <v>29</v>
      </c>
      <c r="B36" s="60" t="s">
        <v>81</v>
      </c>
      <c r="C36" s="165">
        <f>SUM(C23:C35)</f>
        <v>871.03</v>
      </c>
      <c r="D36" s="170">
        <f>SUM(D23:D35)</f>
        <v>871.03</v>
      </c>
      <c r="E36" s="167">
        <f t="shared" ref="E36:O36" si="1">SUM(E23:E35)</f>
        <v>0</v>
      </c>
      <c r="F36" s="168">
        <f t="shared" si="1"/>
        <v>0</v>
      </c>
      <c r="G36" s="170">
        <f t="shared" si="1"/>
        <v>0</v>
      </c>
      <c r="H36" s="167">
        <f t="shared" si="1"/>
        <v>0</v>
      </c>
      <c r="I36" s="168">
        <f t="shared" si="1"/>
        <v>0</v>
      </c>
      <c r="J36" s="170">
        <f t="shared" si="1"/>
        <v>14711.074999999999</v>
      </c>
      <c r="K36" s="168">
        <f t="shared" si="1"/>
        <v>8976.9420000000009</v>
      </c>
      <c r="L36" s="170">
        <f t="shared" si="1"/>
        <v>10884.544</v>
      </c>
      <c r="M36" s="168">
        <f t="shared" si="1"/>
        <v>2653.4340000000002</v>
      </c>
      <c r="N36" s="170">
        <f t="shared" si="1"/>
        <v>0</v>
      </c>
      <c r="O36" s="168">
        <f t="shared" si="1"/>
        <v>0</v>
      </c>
    </row>
    <row r="37" spans="1:15" x14ac:dyDescent="0.2">
      <c r="A37" s="13"/>
      <c r="B37" s="14"/>
      <c r="C37" s="160"/>
      <c r="D37" s="161"/>
      <c r="E37" s="162"/>
      <c r="F37" s="161"/>
      <c r="G37" s="163"/>
      <c r="H37" s="161"/>
      <c r="I37" s="164"/>
      <c r="J37" s="163"/>
      <c r="K37" s="164"/>
      <c r="L37" s="163"/>
      <c r="M37" s="164"/>
      <c r="N37" s="163"/>
      <c r="O37" s="164"/>
    </row>
    <row r="38" spans="1:15" x14ac:dyDescent="0.2">
      <c r="A38" s="52" t="s">
        <v>64</v>
      </c>
      <c r="B38" s="53" t="s">
        <v>41</v>
      </c>
      <c r="C38" s="160">
        <v>0</v>
      </c>
      <c r="D38" s="161"/>
      <c r="E38" s="162"/>
      <c r="F38" s="161"/>
      <c r="G38" s="163"/>
      <c r="H38" s="161"/>
      <c r="I38" s="164"/>
      <c r="J38" s="163">
        <v>107.47</v>
      </c>
      <c r="K38" s="164">
        <f>3509.047+1124.609+1219.53</f>
        <v>5853.1859999999997</v>
      </c>
      <c r="L38" s="163">
        <v>260</v>
      </c>
      <c r="M38" s="164"/>
      <c r="N38" s="163"/>
      <c r="O38" s="164"/>
    </row>
    <row r="39" spans="1:15" x14ac:dyDescent="0.2">
      <c r="A39" s="52" t="s">
        <v>65</v>
      </c>
      <c r="B39" s="53" t="s">
        <v>42</v>
      </c>
      <c r="C39" s="160">
        <v>0</v>
      </c>
      <c r="D39" s="161"/>
      <c r="E39" s="162"/>
      <c r="F39" s="161"/>
      <c r="G39" s="163"/>
      <c r="H39" s="161"/>
      <c r="I39" s="164"/>
      <c r="J39" s="163">
        <v>1302.425</v>
      </c>
      <c r="K39" s="164">
        <f>4968.88+1728.703+43.999+5403.575</f>
        <v>12145.156999999999</v>
      </c>
      <c r="L39" s="163"/>
      <c r="M39" s="164">
        <v>100</v>
      </c>
      <c r="N39" s="163"/>
      <c r="O39" s="164"/>
    </row>
    <row r="40" spans="1:15" x14ac:dyDescent="0.2">
      <c r="A40" s="52" t="s">
        <v>66</v>
      </c>
      <c r="B40" s="53" t="s">
        <v>43</v>
      </c>
      <c r="C40" s="160">
        <v>0</v>
      </c>
      <c r="D40" s="161"/>
      <c r="E40" s="162"/>
      <c r="F40" s="161"/>
      <c r="G40" s="163"/>
      <c r="H40" s="161"/>
      <c r="I40" s="164"/>
      <c r="J40" s="163">
        <v>4324.9859999999999</v>
      </c>
      <c r="K40" s="164">
        <f>4318.744+1581.393</f>
        <v>5900.1369999999997</v>
      </c>
      <c r="L40" s="163">
        <v>300</v>
      </c>
      <c r="M40" s="164"/>
      <c r="N40" s="163"/>
      <c r="O40" s="164"/>
    </row>
    <row r="41" spans="1:15" x14ac:dyDescent="0.2">
      <c r="A41" s="52" t="s">
        <v>67</v>
      </c>
      <c r="B41" s="53" t="s">
        <v>44</v>
      </c>
      <c r="C41" s="160">
        <v>0</v>
      </c>
      <c r="D41" s="161"/>
      <c r="E41" s="162"/>
      <c r="F41" s="161"/>
      <c r="G41" s="163"/>
      <c r="H41" s="161"/>
      <c r="I41" s="164"/>
      <c r="J41" s="163">
        <v>1836.973</v>
      </c>
      <c r="K41" s="164">
        <f>2688.884+1165.113</f>
        <v>3853.9970000000003</v>
      </c>
      <c r="L41" s="163">
        <v>700</v>
      </c>
      <c r="M41" s="164"/>
      <c r="N41" s="163"/>
      <c r="O41" s="164"/>
    </row>
    <row r="42" spans="1:15" x14ac:dyDescent="0.2">
      <c r="A42" s="52" t="s">
        <v>68</v>
      </c>
      <c r="B42" s="53" t="s">
        <v>91</v>
      </c>
      <c r="C42" s="160">
        <v>298.34399999999999</v>
      </c>
      <c r="D42" s="161">
        <v>298.34399999999999</v>
      </c>
      <c r="E42" s="162"/>
      <c r="F42" s="161"/>
      <c r="G42" s="163"/>
      <c r="H42" s="161"/>
      <c r="I42" s="164"/>
      <c r="J42" s="163">
        <v>4014.3220000000001</v>
      </c>
      <c r="K42" s="164">
        <f>14296.871+5.992+4826.089+6001.678</f>
        <v>25130.629999999997</v>
      </c>
      <c r="L42" s="163"/>
      <c r="M42" s="164"/>
      <c r="N42" s="163"/>
      <c r="O42" s="164"/>
    </row>
    <row r="43" spans="1:15" x14ac:dyDescent="0.2">
      <c r="A43" s="52"/>
      <c r="B43" s="53"/>
      <c r="C43" s="160"/>
      <c r="D43" s="161"/>
      <c r="E43" s="162"/>
      <c r="F43" s="161"/>
      <c r="G43" s="163"/>
      <c r="H43" s="161"/>
      <c r="I43" s="164"/>
      <c r="J43" s="163"/>
      <c r="K43" s="164"/>
      <c r="L43" s="163"/>
      <c r="M43" s="164"/>
      <c r="N43" s="163"/>
      <c r="O43" s="164"/>
    </row>
    <row r="44" spans="1:15" x14ac:dyDescent="0.2">
      <c r="A44" s="55" t="s">
        <v>31</v>
      </c>
      <c r="B44" s="60" t="s">
        <v>83</v>
      </c>
      <c r="C44" s="165">
        <f>SUM(C38:C43)</f>
        <v>298.34399999999999</v>
      </c>
      <c r="D44" s="166">
        <f t="shared" ref="D44:O44" si="2">SUM(D38:D43)</f>
        <v>298.34399999999999</v>
      </c>
      <c r="E44" s="167">
        <f t="shared" si="2"/>
        <v>0</v>
      </c>
      <c r="F44" s="168">
        <f t="shared" si="2"/>
        <v>0</v>
      </c>
      <c r="G44" s="166">
        <f t="shared" si="2"/>
        <v>0</v>
      </c>
      <c r="H44" s="167">
        <f t="shared" si="2"/>
        <v>0</v>
      </c>
      <c r="I44" s="168">
        <f t="shared" si="2"/>
        <v>0</v>
      </c>
      <c r="J44" s="166">
        <f t="shared" si="2"/>
        <v>11586.175999999999</v>
      </c>
      <c r="K44" s="168">
        <f t="shared" si="2"/>
        <v>52883.106999999996</v>
      </c>
      <c r="L44" s="166">
        <f t="shared" si="2"/>
        <v>1260</v>
      </c>
      <c r="M44" s="168">
        <f t="shared" si="2"/>
        <v>100</v>
      </c>
      <c r="N44" s="166">
        <f t="shared" si="2"/>
        <v>0</v>
      </c>
      <c r="O44" s="168">
        <f t="shared" si="2"/>
        <v>0</v>
      </c>
    </row>
    <row r="45" spans="1:15" x14ac:dyDescent="0.2">
      <c r="A45" s="61"/>
      <c r="B45" s="62"/>
      <c r="C45" s="171"/>
      <c r="D45" s="172"/>
      <c r="E45" s="173"/>
      <c r="F45" s="172"/>
      <c r="G45" s="174"/>
      <c r="H45" s="172"/>
      <c r="I45" s="175"/>
      <c r="J45" s="174"/>
      <c r="K45" s="175"/>
      <c r="L45" s="174"/>
      <c r="M45" s="175"/>
      <c r="N45" s="174"/>
      <c r="O45" s="175"/>
    </row>
    <row r="46" spans="1:15" x14ac:dyDescent="0.2">
      <c r="A46" s="43" t="s">
        <v>33</v>
      </c>
      <c r="B46" s="63" t="s">
        <v>45</v>
      </c>
      <c r="C46" s="176">
        <v>0</v>
      </c>
      <c r="D46" s="177"/>
      <c r="E46" s="167"/>
      <c r="F46" s="177"/>
      <c r="G46" s="178"/>
      <c r="H46" s="179"/>
      <c r="I46" s="180"/>
      <c r="J46" s="178">
        <v>187.87100000000001</v>
      </c>
      <c r="K46" s="181">
        <f>-4423.075+25000+10.575+1147.129</f>
        <v>21734.629000000001</v>
      </c>
      <c r="L46" s="178">
        <v>1175</v>
      </c>
      <c r="M46" s="182">
        <f>4485+8100</f>
        <v>12585</v>
      </c>
      <c r="N46" s="178"/>
      <c r="O46" s="168"/>
    </row>
    <row r="47" spans="1:15" ht="13.5" thickBot="1" x14ac:dyDescent="0.25">
      <c r="A47" s="13"/>
      <c r="B47" s="64"/>
      <c r="C47" s="160"/>
      <c r="D47" s="161"/>
      <c r="E47" s="162"/>
      <c r="F47" s="161"/>
      <c r="G47" s="163"/>
      <c r="H47" s="161"/>
      <c r="I47" s="164"/>
      <c r="J47" s="163"/>
      <c r="K47" s="164"/>
      <c r="L47" s="163"/>
      <c r="M47" s="164"/>
      <c r="N47" s="163"/>
      <c r="O47" s="164"/>
    </row>
    <row r="48" spans="1:15" ht="22.5" thickBot="1" x14ac:dyDescent="0.25">
      <c r="A48" s="65" t="s">
        <v>75</v>
      </c>
      <c r="B48" s="66" t="s">
        <v>79</v>
      </c>
      <c r="C48" s="183">
        <f>SUM(C21+C36+C44+C46)</f>
        <v>1169.374</v>
      </c>
      <c r="D48" s="184">
        <f>SUM(D21+D36+D44+D46)</f>
        <v>1169.374</v>
      </c>
      <c r="E48" s="184">
        <f t="shared" ref="E48:O48" si="3">SUM(E21+E36+E44+E46)</f>
        <v>0</v>
      </c>
      <c r="F48" s="184">
        <f t="shared" si="3"/>
        <v>0</v>
      </c>
      <c r="G48" s="184">
        <f t="shared" si="3"/>
        <v>0</v>
      </c>
      <c r="H48" s="184">
        <f t="shared" si="3"/>
        <v>0</v>
      </c>
      <c r="I48" s="184">
        <f t="shared" si="3"/>
        <v>0</v>
      </c>
      <c r="J48" s="184">
        <f t="shared" si="3"/>
        <v>49810.09</v>
      </c>
      <c r="K48" s="184">
        <f t="shared" si="3"/>
        <v>89037.377999999997</v>
      </c>
      <c r="L48" s="184">
        <f t="shared" si="3"/>
        <v>16206.544</v>
      </c>
      <c r="M48" s="184">
        <f t="shared" si="3"/>
        <v>15338.434000000001</v>
      </c>
      <c r="N48" s="184">
        <f t="shared" si="3"/>
        <v>0</v>
      </c>
      <c r="O48" s="185">
        <f t="shared" si="3"/>
        <v>0</v>
      </c>
    </row>
    <row r="49" spans="1:15" x14ac:dyDescent="0.2">
      <c r="A49" s="39"/>
      <c r="B49" s="67"/>
      <c r="C49" s="186"/>
      <c r="D49" s="187"/>
      <c r="E49" s="188"/>
      <c r="F49" s="161"/>
      <c r="G49" s="163"/>
      <c r="H49" s="161"/>
      <c r="I49" s="164"/>
      <c r="J49" s="163"/>
      <c r="K49" s="164"/>
      <c r="L49" s="163"/>
      <c r="M49" s="164">
        <v>0</v>
      </c>
      <c r="N49" s="163"/>
      <c r="O49" s="164"/>
    </row>
    <row r="50" spans="1:15" x14ac:dyDescent="0.2">
      <c r="A50" s="70" t="s">
        <v>76</v>
      </c>
      <c r="B50" s="71" t="s">
        <v>77</v>
      </c>
      <c r="C50" s="176"/>
      <c r="D50" s="161"/>
      <c r="E50" s="189"/>
      <c r="F50" s="190"/>
      <c r="G50" s="191"/>
      <c r="H50" s="192"/>
      <c r="I50" s="193"/>
      <c r="J50" s="191">
        <v>160764.56400000001</v>
      </c>
      <c r="K50" s="193">
        <f>-8101.928-4272.209+1457.591+1120.834+1684.028</f>
        <v>-8111.6839999999975</v>
      </c>
      <c r="L50" s="191">
        <v>13106</v>
      </c>
      <c r="M50" s="193">
        <f>8101.928+4272.209</f>
        <v>12374.136999999999</v>
      </c>
      <c r="N50" s="191"/>
      <c r="O50" s="193"/>
    </row>
    <row r="51" spans="1:15" ht="13.5" thickBot="1" x14ac:dyDescent="0.25">
      <c r="A51" s="34"/>
      <c r="B51" s="14"/>
      <c r="C51" s="160"/>
      <c r="D51" s="194"/>
      <c r="E51" s="195"/>
      <c r="F51" s="161"/>
      <c r="G51" s="163"/>
      <c r="H51" s="161"/>
      <c r="I51" s="164"/>
      <c r="J51" s="163"/>
      <c r="K51" s="164"/>
      <c r="L51" s="163"/>
      <c r="M51" s="164"/>
      <c r="N51" s="163"/>
      <c r="O51" s="164"/>
    </row>
    <row r="52" spans="1:15" ht="13.5" thickBot="1" x14ac:dyDescent="0.25">
      <c r="A52" s="94" t="s">
        <v>78</v>
      </c>
      <c r="B52" s="73" t="s">
        <v>84</v>
      </c>
      <c r="C52" s="196">
        <f>SUM(+C48+C50)</f>
        <v>1169.374</v>
      </c>
      <c r="D52" s="196">
        <f t="shared" ref="D52:O52" si="4">SUM(+D48+D50)</f>
        <v>1169.374</v>
      </c>
      <c r="E52" s="196">
        <f t="shared" si="4"/>
        <v>0</v>
      </c>
      <c r="F52" s="196">
        <f t="shared" si="4"/>
        <v>0</v>
      </c>
      <c r="G52" s="196">
        <f t="shared" si="4"/>
        <v>0</v>
      </c>
      <c r="H52" s="196">
        <f t="shared" si="4"/>
        <v>0</v>
      </c>
      <c r="I52" s="196">
        <f t="shared" si="4"/>
        <v>0</v>
      </c>
      <c r="J52" s="196">
        <f t="shared" si="4"/>
        <v>210574.65400000001</v>
      </c>
      <c r="K52" s="196">
        <f t="shared" si="4"/>
        <v>80925.694000000003</v>
      </c>
      <c r="L52" s="196">
        <f t="shared" si="4"/>
        <v>29312.544000000002</v>
      </c>
      <c r="M52" s="196">
        <f t="shared" si="4"/>
        <v>27712.571</v>
      </c>
      <c r="N52" s="196">
        <f t="shared" si="4"/>
        <v>0</v>
      </c>
      <c r="O52" s="196">
        <f t="shared" si="4"/>
        <v>0</v>
      </c>
    </row>
    <row r="53" spans="1:15" x14ac:dyDescent="0.2">
      <c r="C53" s="2"/>
    </row>
    <row r="54" spans="1:15" hidden="1" x14ac:dyDescent="0.2">
      <c r="C54" s="2"/>
    </row>
    <row r="55" spans="1:15" hidden="1" x14ac:dyDescent="0.2">
      <c r="C55" s="2" t="s">
        <v>92</v>
      </c>
    </row>
    <row r="56" spans="1:15" hidden="1" x14ac:dyDescent="0.2">
      <c r="B56" s="1">
        <v>2400000</v>
      </c>
      <c r="C56" s="2"/>
    </row>
    <row r="57" spans="1:15" hidden="1" x14ac:dyDescent="0.2">
      <c r="B57" s="1">
        <v>378900</v>
      </c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idden="1" x14ac:dyDescent="0.2">
      <c r="B58" s="1">
        <v>2500000</v>
      </c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idden="1" x14ac:dyDescent="0.2">
      <c r="C59" s="1">
        <v>702648</v>
      </c>
      <c r="F59" s="2"/>
      <c r="G59" s="2"/>
      <c r="H59" s="2"/>
      <c r="I59" s="2"/>
      <c r="M59" s="2"/>
      <c r="N59" s="2"/>
      <c r="O59" s="2"/>
    </row>
    <row r="60" spans="1:15" hidden="1" x14ac:dyDescent="0.2">
      <c r="B60" s="1">
        <v>1600000</v>
      </c>
      <c r="C60" s="2"/>
      <c r="F60" s="2"/>
      <c r="G60" s="2"/>
      <c r="H60" s="2"/>
      <c r="I60" s="2"/>
      <c r="M60" s="2"/>
      <c r="N60" s="2"/>
      <c r="O60" s="2"/>
    </row>
    <row r="61" spans="1:15" hidden="1" x14ac:dyDescent="0.2">
      <c r="C61" s="1">
        <v>1288000</v>
      </c>
      <c r="F61" s="2"/>
      <c r="G61" s="2"/>
      <c r="H61" s="2"/>
      <c r="I61" s="2"/>
      <c r="M61" s="2"/>
      <c r="N61" s="2"/>
      <c r="O61" s="2"/>
    </row>
    <row r="62" spans="1:15" hidden="1" x14ac:dyDescent="0.2">
      <c r="B62" s="1">
        <v>1166000</v>
      </c>
      <c r="C62" s="2"/>
      <c r="F62" s="2"/>
      <c r="G62" s="2"/>
      <c r="H62" s="2"/>
      <c r="I62" s="2"/>
      <c r="M62" s="2"/>
      <c r="N62" s="2"/>
      <c r="O62" s="2"/>
    </row>
    <row r="63" spans="1:15" hidden="1" x14ac:dyDescent="0.2">
      <c r="B63" s="1">
        <v>4816560</v>
      </c>
      <c r="C63" s="2"/>
      <c r="F63" s="2"/>
      <c r="G63" s="2"/>
      <c r="H63" s="2"/>
      <c r="I63" s="2"/>
      <c r="M63" s="2"/>
      <c r="N63" s="2"/>
      <c r="O63" s="2"/>
    </row>
    <row r="64" spans="1:15" hidden="1" x14ac:dyDescent="0.2">
      <c r="C64" s="1">
        <v>4976624</v>
      </c>
      <c r="F64" s="2"/>
      <c r="G64" s="2"/>
      <c r="H64" s="2"/>
      <c r="I64" s="2"/>
      <c r="M64" s="2"/>
      <c r="N64" s="2"/>
      <c r="O64" s="2"/>
    </row>
    <row r="65" spans="2:15" hidden="1" x14ac:dyDescent="0.2">
      <c r="B65" s="1">
        <v>23507261</v>
      </c>
      <c r="C65" s="2"/>
      <c r="F65" s="2"/>
      <c r="G65" s="2"/>
      <c r="H65" s="2"/>
      <c r="I65" s="2"/>
      <c r="M65" s="2"/>
      <c r="N65" s="2"/>
      <c r="O65" s="2"/>
    </row>
    <row r="66" spans="2:15" hidden="1" x14ac:dyDescent="0.2">
      <c r="B66" s="1">
        <v>7290774</v>
      </c>
      <c r="C66" s="2"/>
      <c r="D66" s="2"/>
      <c r="F66" s="2"/>
      <c r="G66" s="2"/>
      <c r="H66" s="2"/>
      <c r="I66" s="2"/>
      <c r="M66" s="2"/>
      <c r="N66" s="2"/>
      <c r="O66" s="2"/>
    </row>
    <row r="67" spans="2:15" hidden="1" x14ac:dyDescent="0.2">
      <c r="B67" s="1">
        <v>1570000</v>
      </c>
      <c r="C67" s="2"/>
      <c r="D67" s="2"/>
      <c r="F67" s="2"/>
      <c r="G67" s="2"/>
      <c r="H67" s="2"/>
      <c r="I67" s="2"/>
      <c r="M67" s="2"/>
      <c r="N67" s="2"/>
      <c r="O67" s="2"/>
    </row>
    <row r="68" spans="2:15" hidden="1" x14ac:dyDescent="0.2">
      <c r="B68" s="1">
        <v>10550000</v>
      </c>
      <c r="C68" s="2"/>
      <c r="D68" s="2"/>
      <c r="F68" s="2"/>
      <c r="G68" s="2"/>
      <c r="H68" s="2"/>
      <c r="I68" s="2"/>
      <c r="M68" s="2"/>
      <c r="N68" s="2"/>
      <c r="O68" s="2"/>
    </row>
    <row r="69" spans="2:15" hidden="1" x14ac:dyDescent="0.2">
      <c r="B69" s="1">
        <v>6600000</v>
      </c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hidden="1" x14ac:dyDescent="0.2">
      <c r="B70" s="1">
        <v>4392000</v>
      </c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idden="1" x14ac:dyDescent="0.2">
      <c r="B71" s="1">
        <v>4514000</v>
      </c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hidden="1" x14ac:dyDescent="0.2">
      <c r="C72" s="2">
        <v>244000</v>
      </c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hidden="1" x14ac:dyDescent="0.2">
      <c r="B73" s="1">
        <v>1464000</v>
      </c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hidden="1" x14ac:dyDescent="0.2">
      <c r="C74" s="1">
        <v>10000000</v>
      </c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hidden="1" x14ac:dyDescent="0.2">
      <c r="B75" s="1">
        <v>2658136</v>
      </c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hidden="1" x14ac:dyDescent="0.2">
      <c r="B76" s="1">
        <v>1291000</v>
      </c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hidden="1" x14ac:dyDescent="0.2">
      <c r="B77" s="1">
        <v>10595000</v>
      </c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hidden="1" x14ac:dyDescent="0.2">
      <c r="B78" s="1">
        <v>400672</v>
      </c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hidden="1" x14ac:dyDescent="0.2">
      <c r="C79" s="2">
        <v>3285142</v>
      </c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hidden="1" x14ac:dyDescent="0.2">
      <c r="B80" s="1">
        <v>1695750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hidden="1" x14ac:dyDescent="0.2">
      <c r="B81" s="1">
        <v>3522994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hidden="1" x14ac:dyDescent="0.2">
      <c r="B82" s="1">
        <v>2968000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hidden="1" x14ac:dyDescent="0.2">
      <c r="B83" s="1">
        <v>2228000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hidden="1" x14ac:dyDescent="0.2">
      <c r="B84" s="1">
        <v>3182000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hidden="1" x14ac:dyDescent="0.2">
      <c r="B85" s="1">
        <v>3405000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hidden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hidden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hidden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hidden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hidden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idden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">
      <c r="C92" s="3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2"/>
      <c r="O92" s="2"/>
    </row>
    <row r="93" spans="2:15" x14ac:dyDescent="0.2">
      <c r="C93" s="3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2"/>
      <c r="O93" s="2"/>
    </row>
    <row r="94" spans="2:15" x14ac:dyDescent="0.2"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2:15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2">
      <c r="B104" s="7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2">
      <c r="B105" s="7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2">
      <c r="B106" s="7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4:15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4:15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4:15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4:15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4:15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4:15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4:15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4:15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4:15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4:15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4:15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4:15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4:15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4:15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4:15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4:15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Annus Béláné</cp:lastModifiedBy>
  <cp:lastPrinted>2020-05-20T07:09:51Z</cp:lastPrinted>
  <dcterms:created xsi:type="dcterms:W3CDTF">2013-05-29T08:17:59Z</dcterms:created>
  <dcterms:modified xsi:type="dcterms:W3CDTF">2020-06-17T08:30:01Z</dcterms:modified>
</cp:coreProperties>
</file>