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9\Rendelet módosítások\Első mód maradványos\Leadott\"/>
    </mc:Choice>
  </mc:AlternateContent>
  <bookViews>
    <workbookView xWindow="0" yWindow="0" windowWidth="19200" windowHeight="11235" tabRatio="668" activeTab="1"/>
  </bookViews>
  <sheets>
    <sheet name="8.sz.melléklet" sheetId="1" r:id="rId1"/>
    <sheet name="9.sz.melléklet" sheetId="2" r:id="rId2"/>
    <sheet name="10.sz.melléklet" sheetId="3" r:id="rId3"/>
    <sheet name="11.sz.melléklet" sheetId="4" r:id="rId4"/>
  </sheets>
  <definedNames>
    <definedName name="Excel_BuiltIn__FilterDatabase_2">'9.sz.melléklet'!$A$14:$AP$157</definedName>
    <definedName name="Excel_BuiltIn__FilterDatabase_3">#REF!</definedName>
    <definedName name="Excel_BuiltIn__FilterDatabase_3_3">'8.sz.melléklet'!$C$7:$W$16</definedName>
    <definedName name="_xlnm.Print_Titles" localSheetId="2">'10.sz.melléklet'!$7:$12</definedName>
    <definedName name="_xlnm.Print_Titles" localSheetId="3">'11.sz.melléklet'!$7:$13</definedName>
    <definedName name="_xlnm.Print_Titles" localSheetId="0">'8.sz.melléklet'!$7:$12</definedName>
    <definedName name="_xlnm.Print_Titles" localSheetId="1">'9.sz.melléklet'!$7:$13</definedName>
    <definedName name="_xlnm.Print_Area" localSheetId="2">'10.sz.melléklet'!$A$1:$X$194</definedName>
    <definedName name="_xlnm.Print_Area" localSheetId="3">'11.sz.melléklet'!$A$1:$Y$246</definedName>
    <definedName name="_xlnm.Print_Area" localSheetId="0">'8.sz.melléklet'!$A$1:$W$219</definedName>
    <definedName name="_xlnm.Print_Area" localSheetId="1">'9.sz.melléklet'!$A$1:$Z$514</definedName>
  </definedNames>
  <calcPr calcId="152511"/>
</workbook>
</file>

<file path=xl/calcChain.xml><?xml version="1.0" encoding="utf-8"?>
<calcChain xmlns="http://schemas.openxmlformats.org/spreadsheetml/2006/main">
  <c r="K114" i="2" l="1"/>
  <c r="R58" i="1" l="1"/>
  <c r="F146" i="2" l="1"/>
  <c r="F149" i="2" l="1"/>
  <c r="F147" i="2"/>
  <c r="F138" i="2"/>
  <c r="F134" i="2"/>
  <c r="F132" i="2"/>
  <c r="F128" i="2"/>
  <c r="F124" i="2"/>
  <c r="F115" i="2"/>
  <c r="Q134" i="2" l="1"/>
  <c r="J134" i="2"/>
  <c r="L157" i="2"/>
  <c r="L155" i="2"/>
  <c r="L152" i="2"/>
  <c r="L151" i="2"/>
  <c r="Q151" i="2"/>
  <c r="L149" i="2"/>
  <c r="Q149" i="2" l="1"/>
  <c r="J149" i="2"/>
  <c r="F144" i="2" l="1"/>
  <c r="M143" i="2"/>
  <c r="L138" i="2"/>
  <c r="F137" i="2"/>
  <c r="L136" i="2"/>
  <c r="F135" i="2"/>
  <c r="G135" i="2"/>
  <c r="K133" i="2"/>
  <c r="F133" i="2"/>
  <c r="F121" i="2"/>
  <c r="F120" i="2"/>
  <c r="E120" i="2"/>
  <c r="D120" i="2"/>
  <c r="K115" i="2"/>
  <c r="Z114" i="2"/>
  <c r="L30" i="4" l="1"/>
  <c r="F30" i="4"/>
  <c r="M30" i="4"/>
  <c r="U28" i="3"/>
  <c r="O28" i="3"/>
  <c r="W28" i="3" s="1"/>
  <c r="X28" i="3"/>
  <c r="R48" i="3"/>
  <c r="F73" i="4"/>
  <c r="F72" i="4"/>
  <c r="F70" i="4"/>
  <c r="D70" i="4"/>
  <c r="F68" i="4"/>
  <c r="F66" i="4"/>
  <c r="F64" i="4"/>
  <c r="F63" i="4"/>
  <c r="E61" i="4"/>
  <c r="D61" i="4"/>
  <c r="F59" i="4"/>
  <c r="F47" i="4" l="1"/>
  <c r="E47" i="4"/>
  <c r="D47" i="4"/>
  <c r="F29" i="4"/>
  <c r="D29" i="4"/>
  <c r="E49" i="4"/>
  <c r="G49" i="4"/>
  <c r="H49" i="4"/>
  <c r="I49" i="4"/>
  <c r="J49" i="4"/>
  <c r="K49" i="4"/>
  <c r="M49" i="4"/>
  <c r="N49" i="4"/>
  <c r="O49" i="4"/>
  <c r="P49" i="4"/>
  <c r="Q49" i="4"/>
  <c r="E29" i="4" l="1"/>
  <c r="X27" i="3"/>
  <c r="X106" i="2"/>
  <c r="R106" i="2"/>
  <c r="Z106" i="2"/>
  <c r="K106" i="2"/>
  <c r="F41" i="3"/>
  <c r="H54" i="1"/>
  <c r="K107" i="2"/>
  <c r="X101" i="2"/>
  <c r="L101" i="2"/>
  <c r="F101" i="2"/>
  <c r="R101" i="2" s="1"/>
  <c r="Y101" i="2" s="1"/>
  <c r="Y106" i="2" l="1"/>
  <c r="Z92" i="2"/>
  <c r="X92" i="2"/>
  <c r="R92" i="2"/>
  <c r="K92" i="2"/>
  <c r="U45" i="1"/>
  <c r="U46" i="1"/>
  <c r="U47" i="1"/>
  <c r="D47" i="1"/>
  <c r="O47" i="1" s="1"/>
  <c r="W47" i="1" s="1"/>
  <c r="X91" i="2"/>
  <c r="R91" i="2"/>
  <c r="X89" i="2"/>
  <c r="X90" i="2"/>
  <c r="R89" i="2"/>
  <c r="R90" i="2"/>
  <c r="D46" i="1"/>
  <c r="O46" i="1"/>
  <c r="W46" i="1" s="1"/>
  <c r="D45" i="1"/>
  <c r="O45" i="1" s="1"/>
  <c r="W45" i="1" s="1"/>
  <c r="L53" i="1"/>
  <c r="K105" i="2"/>
  <c r="K104" i="2"/>
  <c r="J104" i="2"/>
  <c r="M103" i="2"/>
  <c r="F103" i="2"/>
  <c r="L102" i="2"/>
  <c r="F102" i="2"/>
  <c r="F28" i="4"/>
  <c r="X26" i="3"/>
  <c r="F100" i="2"/>
  <c r="Z100" i="2"/>
  <c r="L99" i="2"/>
  <c r="K99" i="2"/>
  <c r="Y91" i="2" l="1"/>
  <c r="Y90" i="2"/>
  <c r="Y92" i="2"/>
  <c r="Y89" i="2"/>
  <c r="L98" i="2"/>
  <c r="F98" i="2"/>
  <c r="F97" i="2"/>
  <c r="J126" i="2" l="1"/>
  <c r="J96" i="2" l="1"/>
  <c r="I51" i="1"/>
  <c r="F95" i="2"/>
  <c r="H50" i="1"/>
  <c r="X47" i="4" l="1"/>
  <c r="R47" i="4"/>
  <c r="Y47" i="4" s="1"/>
  <c r="E27" i="4" l="1"/>
  <c r="D27" i="4"/>
  <c r="X25" i="3"/>
  <c r="Z88" i="2"/>
  <c r="D44" i="1"/>
  <c r="L73" i="4" l="1"/>
  <c r="F45" i="4"/>
  <c r="H40" i="3"/>
  <c r="L39" i="3"/>
  <c r="G38" i="3"/>
  <c r="F43" i="4"/>
  <c r="D42" i="4"/>
  <c r="F42" i="4"/>
  <c r="K94" i="2"/>
  <c r="H49" i="1"/>
  <c r="O49" i="1" s="1"/>
  <c r="K93" i="2"/>
  <c r="F48" i="1"/>
  <c r="O48" i="1" s="1"/>
  <c r="F87" i="2"/>
  <c r="H43" i="1"/>
  <c r="O43" i="1" s="1"/>
  <c r="U43" i="1"/>
  <c r="U44" i="1"/>
  <c r="U48" i="1"/>
  <c r="U49" i="1"/>
  <c r="U50" i="1"/>
  <c r="U51" i="1"/>
  <c r="U52" i="1"/>
  <c r="O44" i="1"/>
  <c r="O50" i="1"/>
  <c r="O51" i="1"/>
  <c r="O52" i="1"/>
  <c r="O53" i="1"/>
  <c r="J115" i="2"/>
  <c r="L124" i="2"/>
  <c r="W51" i="1" l="1"/>
  <c r="W43" i="1"/>
  <c r="W50" i="1"/>
  <c r="W44" i="1"/>
  <c r="W49" i="1"/>
  <c r="W52" i="1"/>
  <c r="W48" i="1"/>
  <c r="F26" i="4"/>
  <c r="K86" i="2" l="1"/>
  <c r="F86" i="2"/>
  <c r="X24" i="3" l="1"/>
  <c r="Z85" i="2"/>
  <c r="F85" i="2"/>
  <c r="L84" i="2" l="1"/>
  <c r="F84" i="2"/>
  <c r="L25" i="4"/>
  <c r="X23" i="3"/>
  <c r="Z83" i="2"/>
  <c r="K83" i="2"/>
  <c r="F82" i="2"/>
  <c r="E82" i="2"/>
  <c r="K81" i="2"/>
  <c r="D81" i="2"/>
  <c r="F156" i="2"/>
  <c r="L80" i="2" l="1"/>
  <c r="F80" i="2"/>
  <c r="F76" i="2"/>
  <c r="D76" i="2"/>
  <c r="X78" i="2" l="1"/>
  <c r="L78" i="2"/>
  <c r="K78" i="2"/>
  <c r="F78" i="2"/>
  <c r="K79" i="2"/>
  <c r="F42" i="1"/>
  <c r="L143" i="2"/>
  <c r="R78" i="2" l="1"/>
  <c r="Y78" i="2" s="1"/>
  <c r="K77" i="2"/>
  <c r="F77" i="2"/>
  <c r="E76" i="2"/>
  <c r="L76" i="2"/>
  <c r="K76" i="2"/>
  <c r="J76" i="2"/>
  <c r="F122" i="2"/>
  <c r="H40" i="1" l="1"/>
  <c r="F40" i="1"/>
  <c r="H41" i="1"/>
  <c r="K75" i="2"/>
  <c r="K74" i="2"/>
  <c r="F39" i="1"/>
  <c r="K73" i="2"/>
  <c r="F126" i="2" l="1"/>
  <c r="J117" i="2"/>
  <c r="F72" i="2"/>
  <c r="F71" i="2"/>
  <c r="E72" i="2"/>
  <c r="E71" i="2"/>
  <c r="D72" i="2"/>
  <c r="D71" i="2"/>
  <c r="M138" i="2" l="1"/>
  <c r="H38" i="1" l="1"/>
  <c r="K70" i="2"/>
  <c r="L156" i="2" l="1"/>
  <c r="F139" i="2"/>
  <c r="H37" i="1" l="1"/>
  <c r="K69" i="2"/>
  <c r="H36" i="1" l="1"/>
  <c r="K68" i="2"/>
  <c r="K67" i="2" l="1"/>
  <c r="K66" i="2"/>
  <c r="H35" i="1"/>
  <c r="G34" i="1"/>
  <c r="G65" i="2" l="1"/>
  <c r="F65" i="2"/>
  <c r="K64" i="2" l="1"/>
  <c r="H33" i="1"/>
  <c r="X22" i="3" l="1"/>
  <c r="L24" i="4"/>
  <c r="X61" i="2"/>
  <c r="R61" i="2"/>
  <c r="Y61" i="2" s="1"/>
  <c r="Z61" i="2"/>
  <c r="K61" i="2"/>
  <c r="F32" i="1"/>
  <c r="D32" i="1"/>
  <c r="K63" i="2"/>
  <c r="K62" i="2" l="1"/>
  <c r="H31" i="1"/>
  <c r="F60" i="2" l="1"/>
  <c r="I60" i="2"/>
  <c r="X47" i="2" l="1"/>
  <c r="L47" i="2"/>
  <c r="F47" i="2"/>
  <c r="R47" i="2" s="1"/>
  <c r="T43" i="3"/>
  <c r="S43" i="3"/>
  <c r="F43" i="3"/>
  <c r="I43" i="3"/>
  <c r="J43" i="3"/>
  <c r="K43" i="3"/>
  <c r="L43" i="3"/>
  <c r="M43" i="3"/>
  <c r="N43" i="3"/>
  <c r="D43" i="3"/>
  <c r="E43" i="3"/>
  <c r="Y47" i="2" l="1"/>
  <c r="X154" i="2" l="1"/>
  <c r="L154" i="2"/>
  <c r="F154" i="2"/>
  <c r="R154" i="2" s="1"/>
  <c r="H37" i="3"/>
  <c r="F41" i="4"/>
  <c r="F40" i="4"/>
  <c r="G36" i="3"/>
  <c r="H35" i="3"/>
  <c r="O35" i="3" s="1"/>
  <c r="F39" i="4"/>
  <c r="F37" i="4"/>
  <c r="F38" i="4"/>
  <c r="H34" i="3"/>
  <c r="O34" i="3" s="1"/>
  <c r="H33" i="3"/>
  <c r="G32" i="3"/>
  <c r="O32" i="3" l="1"/>
  <c r="G43" i="3"/>
  <c r="O33" i="3"/>
  <c r="H43" i="3"/>
  <c r="Y154" i="2"/>
  <c r="K59" i="2"/>
  <c r="H30" i="1"/>
  <c r="Q133" i="2" l="1"/>
  <c r="L57" i="2" l="1"/>
  <c r="F57" i="2"/>
  <c r="K56" i="2" l="1"/>
  <c r="H28" i="1"/>
  <c r="F36" i="4" l="1"/>
  <c r="D36" i="4"/>
  <c r="D49" i="4" s="1"/>
  <c r="X21" i="3" l="1"/>
  <c r="O18" i="3" l="1"/>
  <c r="W18" i="3" s="1"/>
  <c r="X20" i="4"/>
  <c r="E20" i="4"/>
  <c r="D20" i="4"/>
  <c r="R20" i="4" s="1"/>
  <c r="Y20" i="4" s="1"/>
  <c r="X19" i="4" l="1"/>
  <c r="R19" i="4"/>
  <c r="O17" i="3"/>
  <c r="W17" i="3" s="1"/>
  <c r="W19" i="3"/>
  <c r="Y19" i="4" l="1"/>
  <c r="K30" i="2"/>
  <c r="Z55" i="2"/>
  <c r="K55" i="2"/>
  <c r="Z54" i="2"/>
  <c r="X50" i="2"/>
  <c r="R50" i="2"/>
  <c r="Y50" i="2" s="1"/>
  <c r="Z50" i="2"/>
  <c r="F50" i="2"/>
  <c r="D24" i="1"/>
  <c r="L72" i="4" l="1"/>
  <c r="L70" i="4"/>
  <c r="X35" i="2" l="1"/>
  <c r="F35" i="2"/>
  <c r="R35" i="2" s="1"/>
  <c r="U20" i="1"/>
  <c r="O20" i="1"/>
  <c r="H20" i="1"/>
  <c r="X31" i="2"/>
  <c r="L31" i="2"/>
  <c r="F31" i="2"/>
  <c r="X42" i="2"/>
  <c r="F42" i="2"/>
  <c r="R42" i="2" s="1"/>
  <c r="H23" i="1"/>
  <c r="X34" i="2"/>
  <c r="K34" i="2"/>
  <c r="R34" i="2" s="1"/>
  <c r="U19" i="1"/>
  <c r="H19" i="1"/>
  <c r="O19" i="1" s="1"/>
  <c r="X37" i="2"/>
  <c r="L37" i="2"/>
  <c r="K37" i="2"/>
  <c r="U21" i="1"/>
  <c r="L21" i="1"/>
  <c r="O21" i="1" s="1"/>
  <c r="Q144" i="2"/>
  <c r="U32" i="3"/>
  <c r="U33" i="3"/>
  <c r="W33" i="3" s="1"/>
  <c r="U34" i="3"/>
  <c r="W34" i="3" s="1"/>
  <c r="U35" i="3"/>
  <c r="W35" i="3" s="1"/>
  <c r="X40" i="2"/>
  <c r="F40" i="2"/>
  <c r="E40" i="2"/>
  <c r="D40" i="2"/>
  <c r="K40" i="2"/>
  <c r="L41" i="2"/>
  <c r="J41" i="2"/>
  <c r="F41" i="2"/>
  <c r="E41" i="2"/>
  <c r="D41" i="2"/>
  <c r="K41" i="2"/>
  <c r="X46" i="2"/>
  <c r="L46" i="2"/>
  <c r="F46" i="2"/>
  <c r="R46" i="2" s="1"/>
  <c r="X45" i="2"/>
  <c r="L45" i="2"/>
  <c r="F45" i="2"/>
  <c r="K43" i="2"/>
  <c r="J43" i="2"/>
  <c r="K44" i="2"/>
  <c r="J44" i="2"/>
  <c r="K49" i="2"/>
  <c r="J49" i="2"/>
  <c r="D48" i="2"/>
  <c r="F48" i="2"/>
  <c r="Z38" i="2"/>
  <c r="X38" i="2"/>
  <c r="F38" i="2"/>
  <c r="R38" i="2" s="1"/>
  <c r="W32" i="3" l="1"/>
  <c r="W20" i="1"/>
  <c r="R37" i="2"/>
  <c r="Y37" i="2" s="1"/>
  <c r="R45" i="2"/>
  <c r="Y45" i="2" s="1"/>
  <c r="R40" i="2"/>
  <c r="Y40" i="2" s="1"/>
  <c r="R31" i="2"/>
  <c r="Y31" i="2" s="1"/>
  <c r="Y35" i="2"/>
  <c r="W19" i="1"/>
  <c r="W21" i="1"/>
  <c r="Y42" i="2"/>
  <c r="Y34" i="2"/>
  <c r="Y46" i="2"/>
  <c r="Y38" i="2"/>
  <c r="Z30" i="2" l="1"/>
  <c r="X30" i="2"/>
  <c r="R30" i="2"/>
  <c r="Y30" i="2" l="1"/>
  <c r="F28" i="2" l="1"/>
  <c r="Z28" i="2"/>
  <c r="X27" i="2"/>
  <c r="X28" i="2"/>
  <c r="R28" i="2"/>
  <c r="Z27" i="2"/>
  <c r="F27" i="2"/>
  <c r="R27" i="2" s="1"/>
  <c r="Z17" i="2"/>
  <c r="K17" i="2"/>
  <c r="Y27" i="2" l="1"/>
  <c r="Y28" i="2"/>
  <c r="F35" i="4"/>
  <c r="F39" i="2"/>
  <c r="G22" i="1"/>
  <c r="E22" i="4" l="1"/>
  <c r="D22" i="4"/>
  <c r="X20" i="3"/>
  <c r="Z36" i="2"/>
  <c r="E36" i="2"/>
  <c r="D36" i="2"/>
  <c r="Z29" i="2" l="1"/>
  <c r="X29" i="2"/>
  <c r="F29" i="2"/>
  <c r="R29" i="2" s="1"/>
  <c r="D26" i="2"/>
  <c r="E26" i="2"/>
  <c r="F26" i="2"/>
  <c r="X26" i="2"/>
  <c r="R26" i="2" l="1"/>
  <c r="Y26" i="2" s="1"/>
  <c r="Y29" i="2"/>
  <c r="H18" i="1" l="1"/>
  <c r="D18" i="1"/>
  <c r="L34" i="4" l="1"/>
  <c r="L49" i="4" s="1"/>
  <c r="F34" i="4"/>
  <c r="F49" i="4" s="1"/>
  <c r="L25" i="2" l="1"/>
  <c r="L21" i="4" l="1"/>
  <c r="Z33" i="2"/>
  <c r="K33" i="2"/>
  <c r="L32" i="2"/>
  <c r="K32" i="2"/>
  <c r="X25" i="2"/>
  <c r="F25" i="2"/>
  <c r="R25" i="2" s="1"/>
  <c r="X21" i="2"/>
  <c r="L21" i="2"/>
  <c r="K21" i="2"/>
  <c r="R21" i="2" l="1"/>
  <c r="Y21" i="2" s="1"/>
  <c r="Y25" i="2"/>
  <c r="Z19" i="2" l="1"/>
  <c r="K19" i="2"/>
  <c r="X19" i="2"/>
  <c r="R19" i="2"/>
  <c r="Y19" i="2" s="1"/>
  <c r="H24" i="2"/>
  <c r="F24" i="2"/>
  <c r="K23" i="2"/>
  <c r="F23" i="2"/>
  <c r="H17" i="1"/>
  <c r="F22" i="2"/>
  <c r="H16" i="1"/>
  <c r="L20" i="2"/>
  <c r="K20" i="2"/>
  <c r="K18" i="2"/>
  <c r="F18" i="2"/>
  <c r="J32" i="4" l="1"/>
  <c r="R155" i="2" l="1"/>
  <c r="R156" i="2"/>
  <c r="R157" i="2"/>
  <c r="X65" i="4"/>
  <c r="X66" i="4"/>
  <c r="X67" i="4"/>
  <c r="R65" i="4"/>
  <c r="R66" i="4"/>
  <c r="R67" i="4"/>
  <c r="X63" i="4"/>
  <c r="X64" i="4"/>
  <c r="R63" i="4"/>
  <c r="R64" i="4"/>
  <c r="X71" i="4"/>
  <c r="R71" i="4"/>
  <c r="Y66" i="4" l="1"/>
  <c r="Y67" i="4"/>
  <c r="Y65" i="4"/>
  <c r="Y64" i="4"/>
  <c r="Y63" i="4"/>
  <c r="Y71" i="4"/>
  <c r="Y516" i="2"/>
  <c r="X150" i="2" l="1"/>
  <c r="X143" i="2"/>
  <c r="X144" i="2"/>
  <c r="X145" i="2"/>
  <c r="X146" i="2"/>
  <c r="X147" i="2"/>
  <c r="X148" i="2"/>
  <c r="X149" i="2"/>
  <c r="R143" i="2"/>
  <c r="R144" i="2"/>
  <c r="R145" i="2"/>
  <c r="R146" i="2"/>
  <c r="Y146" i="2" s="1"/>
  <c r="R147" i="2"/>
  <c r="R148" i="2"/>
  <c r="R149" i="2"/>
  <c r="X141" i="2"/>
  <c r="R141" i="2"/>
  <c r="Y148" i="2" l="1"/>
  <c r="Y144" i="2"/>
  <c r="Y141" i="2"/>
  <c r="Y143" i="2"/>
  <c r="R150" i="2"/>
  <c r="Y150" i="2" s="1"/>
  <c r="Y145" i="2"/>
  <c r="Y147" i="2"/>
  <c r="Y149" i="2"/>
  <c r="X129" i="2" l="1"/>
  <c r="R129" i="2"/>
  <c r="Y129" i="2" l="1"/>
  <c r="X68" i="4" l="1"/>
  <c r="R68" i="4"/>
  <c r="Y68" i="4" l="1"/>
  <c r="U36" i="3"/>
  <c r="O36" i="3"/>
  <c r="W36" i="3" s="1"/>
  <c r="X35" i="4"/>
  <c r="R35" i="4"/>
  <c r="Y35" i="4" l="1"/>
  <c r="X36" i="4"/>
  <c r="R36" i="4"/>
  <c r="U37" i="3"/>
  <c r="O37" i="3"/>
  <c r="W37" i="3" l="1"/>
  <c r="Y36" i="4"/>
  <c r="X69" i="2"/>
  <c r="X70" i="2"/>
  <c r="X71" i="2"/>
  <c r="R69" i="2"/>
  <c r="R70" i="2"/>
  <c r="R71" i="2"/>
  <c r="Y71" i="2" l="1"/>
  <c r="Y69" i="2"/>
  <c r="Y70" i="2"/>
  <c r="U29" i="1" l="1"/>
  <c r="O29" i="1"/>
  <c r="W29" i="1" l="1"/>
  <c r="X52" i="2" l="1"/>
  <c r="R52" i="2"/>
  <c r="Y52" i="2" s="1"/>
  <c r="X51" i="2" l="1"/>
  <c r="R51" i="2"/>
  <c r="Y51" i="2" l="1"/>
  <c r="U24" i="1"/>
  <c r="U25" i="1"/>
  <c r="O24" i="1"/>
  <c r="O25" i="1"/>
  <c r="X56" i="2"/>
  <c r="X57" i="2"/>
  <c r="R56" i="2"/>
  <c r="R57" i="2"/>
  <c r="X53" i="2"/>
  <c r="X54" i="2"/>
  <c r="R54" i="2"/>
  <c r="R53" i="2"/>
  <c r="Y53" i="2" l="1"/>
  <c r="W24" i="1"/>
  <c r="W25" i="1"/>
  <c r="Y57" i="2"/>
  <c r="Y56" i="2"/>
  <c r="Y54" i="2"/>
  <c r="U23" i="1"/>
  <c r="O23" i="1"/>
  <c r="W23" i="1" l="1"/>
  <c r="U22" i="3"/>
  <c r="U23" i="3"/>
  <c r="U24" i="3"/>
  <c r="U25" i="3"/>
  <c r="U26" i="3"/>
  <c r="O22" i="3"/>
  <c r="W22" i="3" s="1"/>
  <c r="O23" i="3"/>
  <c r="O24" i="3"/>
  <c r="O25" i="3"/>
  <c r="O26" i="3"/>
  <c r="W26" i="3" s="1"/>
  <c r="W23" i="3" l="1"/>
  <c r="W24" i="3"/>
  <c r="W25" i="3"/>
  <c r="U49" i="4" l="1"/>
  <c r="V49" i="4"/>
  <c r="W49" i="4"/>
  <c r="T49" i="4"/>
  <c r="X45" i="4"/>
  <c r="R45" i="4"/>
  <c r="R46" i="4"/>
  <c r="X46" i="4"/>
  <c r="X82" i="2"/>
  <c r="R82" i="2"/>
  <c r="U38" i="1"/>
  <c r="O38" i="1"/>
  <c r="X103" i="2"/>
  <c r="R103" i="2"/>
  <c r="X97" i="2"/>
  <c r="X98" i="2"/>
  <c r="X99" i="2"/>
  <c r="R97" i="2"/>
  <c r="R98" i="2"/>
  <c r="R99" i="2"/>
  <c r="X94" i="2"/>
  <c r="X95" i="2"/>
  <c r="R94" i="2"/>
  <c r="R95" i="2"/>
  <c r="X85" i="2"/>
  <c r="X86" i="2"/>
  <c r="R85" i="2"/>
  <c r="R86" i="2"/>
  <c r="R29" i="4"/>
  <c r="X30" i="3"/>
  <c r="R96" i="2"/>
  <c r="X96" i="2"/>
  <c r="U39" i="1"/>
  <c r="O39" i="1"/>
  <c r="R107" i="2"/>
  <c r="R104" i="2"/>
  <c r="U40" i="3"/>
  <c r="U41" i="3"/>
  <c r="O40" i="3"/>
  <c r="W40" i="3" s="1"/>
  <c r="O41" i="3"/>
  <c r="O39" i="3"/>
  <c r="R93" i="2"/>
  <c r="R88" i="2"/>
  <c r="R87" i="2"/>
  <c r="R84" i="2"/>
  <c r="R77" i="2"/>
  <c r="R83" i="2"/>
  <c r="O36" i="1"/>
  <c r="R79" i="2"/>
  <c r="R76" i="2"/>
  <c r="R75" i="2"/>
  <c r="U34" i="1"/>
  <c r="X53" i="4"/>
  <c r="R53" i="4"/>
  <c r="X111" i="2"/>
  <c r="R111" i="2"/>
  <c r="R70" i="4"/>
  <c r="F75" i="4"/>
  <c r="R136" i="2"/>
  <c r="R153" i="2"/>
  <c r="R152" i="2"/>
  <c r="R151" i="2"/>
  <c r="R142" i="2"/>
  <c r="R139" i="2"/>
  <c r="R138" i="2"/>
  <c r="R134" i="2"/>
  <c r="R133" i="2"/>
  <c r="L159" i="2"/>
  <c r="M159" i="2"/>
  <c r="R130" i="2"/>
  <c r="R128" i="2"/>
  <c r="X127" i="2"/>
  <c r="R127" i="2"/>
  <c r="R125" i="2"/>
  <c r="R124" i="2"/>
  <c r="R123" i="2"/>
  <c r="I159" i="2"/>
  <c r="R34" i="4"/>
  <c r="O27" i="1"/>
  <c r="R74" i="2"/>
  <c r="E109" i="2"/>
  <c r="R23" i="4"/>
  <c r="U32" i="1"/>
  <c r="O32" i="1"/>
  <c r="X65" i="2"/>
  <c r="R65" i="2"/>
  <c r="R22" i="4"/>
  <c r="R44" i="2"/>
  <c r="U28" i="1"/>
  <c r="O28" i="1"/>
  <c r="R43" i="2"/>
  <c r="R41" i="2"/>
  <c r="R39" i="2"/>
  <c r="U26" i="1"/>
  <c r="U27" i="1"/>
  <c r="O26" i="1"/>
  <c r="R33" i="2"/>
  <c r="X33" i="2"/>
  <c r="X36" i="2"/>
  <c r="X39" i="2"/>
  <c r="X41" i="2"/>
  <c r="X43" i="2"/>
  <c r="X44" i="2"/>
  <c r="R36" i="2"/>
  <c r="I56" i="1"/>
  <c r="R21" i="4"/>
  <c r="F32" i="4"/>
  <c r="R24" i="2"/>
  <c r="O22" i="1"/>
  <c r="U22" i="1"/>
  <c r="U18" i="1"/>
  <c r="H56" i="1"/>
  <c r="Q109" i="2"/>
  <c r="R73" i="2"/>
  <c r="V109" i="2"/>
  <c r="R56" i="1"/>
  <c r="R67" i="2"/>
  <c r="X67" i="2"/>
  <c r="O30" i="1"/>
  <c r="R62" i="2"/>
  <c r="R60" i="2"/>
  <c r="R59" i="2"/>
  <c r="R55" i="2"/>
  <c r="R49" i="2"/>
  <c r="R48" i="2"/>
  <c r="R18" i="2"/>
  <c r="U31" i="1"/>
  <c r="O16" i="1"/>
  <c r="U17" i="1"/>
  <c r="O17" i="1"/>
  <c r="K56" i="1"/>
  <c r="U109" i="2"/>
  <c r="W109" i="2"/>
  <c r="T109" i="2"/>
  <c r="AA516" i="2"/>
  <c r="H109" i="2"/>
  <c r="I109" i="2"/>
  <c r="M109" i="2"/>
  <c r="N109" i="2"/>
  <c r="O109" i="2"/>
  <c r="P109" i="2"/>
  <c r="R39" i="4"/>
  <c r="R40" i="4"/>
  <c r="R41" i="4"/>
  <c r="R42" i="4"/>
  <c r="R43" i="4"/>
  <c r="X38" i="4"/>
  <c r="X39" i="4"/>
  <c r="X40" i="4"/>
  <c r="X41" i="4"/>
  <c r="X42" i="4"/>
  <c r="X43" i="4"/>
  <c r="X44" i="4"/>
  <c r="X24" i="4"/>
  <c r="X25" i="4"/>
  <c r="X26" i="4"/>
  <c r="X27" i="4"/>
  <c r="X28" i="4"/>
  <c r="X29" i="4"/>
  <c r="X30" i="4"/>
  <c r="R24" i="4"/>
  <c r="R25" i="4"/>
  <c r="R26" i="4"/>
  <c r="R27" i="4"/>
  <c r="R28" i="4"/>
  <c r="R30" i="4"/>
  <c r="O21" i="3"/>
  <c r="O27" i="3"/>
  <c r="U21" i="3"/>
  <c r="U27" i="3"/>
  <c r="X102" i="2"/>
  <c r="X104" i="2"/>
  <c r="X105" i="2"/>
  <c r="X107" i="2"/>
  <c r="E32" i="4"/>
  <c r="E51" i="4" s="1"/>
  <c r="O31" i="1"/>
  <c r="X32" i="2"/>
  <c r="U30" i="1"/>
  <c r="R32" i="2"/>
  <c r="X87" i="2"/>
  <c r="X88" i="2"/>
  <c r="X93" i="2"/>
  <c r="X75" i="2"/>
  <c r="X76" i="2"/>
  <c r="X77" i="2"/>
  <c r="X79" i="2"/>
  <c r="X80" i="2"/>
  <c r="X81" i="2"/>
  <c r="X83" i="2"/>
  <c r="X84" i="2"/>
  <c r="X100" i="2"/>
  <c r="X73" i="2"/>
  <c r="X74" i="2"/>
  <c r="R80" i="2"/>
  <c r="R100" i="2"/>
  <c r="O42" i="1"/>
  <c r="O54" i="1"/>
  <c r="U42" i="1"/>
  <c r="U53" i="1"/>
  <c r="U54" i="1"/>
  <c r="U40" i="1"/>
  <c r="U41" i="1"/>
  <c r="U36" i="1"/>
  <c r="U37" i="1"/>
  <c r="O34" i="1"/>
  <c r="O35" i="1"/>
  <c r="O37" i="1"/>
  <c r="O40" i="1"/>
  <c r="W40" i="1" s="1"/>
  <c r="O41" i="1"/>
  <c r="R72" i="2"/>
  <c r="R66" i="2"/>
  <c r="O33" i="1"/>
  <c r="R162" i="4"/>
  <c r="X162" i="4"/>
  <c r="Y162" i="4" s="1"/>
  <c r="R163" i="4"/>
  <c r="X163" i="4"/>
  <c r="Z513" i="2"/>
  <c r="F513" i="2"/>
  <c r="R505" i="2"/>
  <c r="K513" i="2"/>
  <c r="U142" i="3"/>
  <c r="G145" i="3"/>
  <c r="F180" i="4"/>
  <c r="R176" i="4"/>
  <c r="X500" i="2"/>
  <c r="O201" i="1"/>
  <c r="R497" i="2"/>
  <c r="N513" i="2"/>
  <c r="R495" i="2"/>
  <c r="H218" i="1"/>
  <c r="F218" i="1"/>
  <c r="R187" i="4"/>
  <c r="G180" i="4"/>
  <c r="R493" i="2"/>
  <c r="M190" i="4"/>
  <c r="X185" i="4"/>
  <c r="X186" i="4"/>
  <c r="X187" i="4"/>
  <c r="X188" i="4"/>
  <c r="R185" i="4"/>
  <c r="Y185" i="4" s="1"/>
  <c r="R184" i="4"/>
  <c r="O143" i="3"/>
  <c r="O141" i="3"/>
  <c r="D190" i="4"/>
  <c r="R487" i="2"/>
  <c r="U193" i="1"/>
  <c r="O193" i="1"/>
  <c r="K218" i="1"/>
  <c r="X480" i="2"/>
  <c r="R480" i="2"/>
  <c r="Y480" i="2" s="1"/>
  <c r="R475" i="2"/>
  <c r="M513" i="2"/>
  <c r="R472" i="2"/>
  <c r="O191" i="1"/>
  <c r="R470" i="2"/>
  <c r="J513" i="2"/>
  <c r="F190" i="4"/>
  <c r="L513" i="2"/>
  <c r="X461" i="2"/>
  <c r="R461" i="2"/>
  <c r="R460" i="2"/>
  <c r="X459" i="2"/>
  <c r="X460" i="2"/>
  <c r="R459" i="2"/>
  <c r="R458" i="2"/>
  <c r="X457" i="2"/>
  <c r="X458" i="2"/>
  <c r="R457" i="2"/>
  <c r="X463" i="2"/>
  <c r="R463" i="2"/>
  <c r="Y463" i="2" s="1"/>
  <c r="X462" i="2"/>
  <c r="R462" i="2"/>
  <c r="W513" i="2"/>
  <c r="U513" i="2"/>
  <c r="T513" i="2"/>
  <c r="Q513" i="2"/>
  <c r="P513" i="2"/>
  <c r="O513" i="2"/>
  <c r="I513" i="2"/>
  <c r="H513" i="2"/>
  <c r="D513" i="2"/>
  <c r="X511" i="2"/>
  <c r="R511" i="2"/>
  <c r="X510" i="2"/>
  <c r="R510" i="2"/>
  <c r="X509" i="2"/>
  <c r="R509" i="2"/>
  <c r="X508" i="2"/>
  <c r="R508" i="2"/>
  <c r="X507" i="2"/>
  <c r="R507" i="2"/>
  <c r="X506" i="2"/>
  <c r="X505" i="2"/>
  <c r="X504" i="2"/>
  <c r="R504" i="2"/>
  <c r="X503" i="2"/>
  <c r="R503" i="2"/>
  <c r="X502" i="2"/>
  <c r="R502" i="2"/>
  <c r="X501" i="2"/>
  <c r="R500" i="2"/>
  <c r="X499" i="2"/>
  <c r="R499" i="2"/>
  <c r="X498" i="2"/>
  <c r="R498" i="2"/>
  <c r="X497" i="2"/>
  <c r="X496" i="2"/>
  <c r="X495" i="2"/>
  <c r="X494" i="2"/>
  <c r="R494" i="2"/>
  <c r="X493" i="2"/>
  <c r="X492" i="2"/>
  <c r="X491" i="2"/>
  <c r="R491" i="2"/>
  <c r="X490" i="2"/>
  <c r="R490" i="2"/>
  <c r="X489" i="2"/>
  <c r="R489" i="2"/>
  <c r="X488" i="2"/>
  <c r="R488" i="2"/>
  <c r="X487" i="2"/>
  <c r="Y487" i="2" s="1"/>
  <c r="X486" i="2"/>
  <c r="R486" i="2"/>
  <c r="X485" i="2"/>
  <c r="R485" i="2"/>
  <c r="X484" i="2"/>
  <c r="R484" i="2"/>
  <c r="X483" i="2"/>
  <c r="R483" i="2"/>
  <c r="X482" i="2"/>
  <c r="R482" i="2"/>
  <c r="X481" i="2"/>
  <c r="R481" i="2"/>
  <c r="X479" i="2"/>
  <c r="R479" i="2"/>
  <c r="X478" i="2"/>
  <c r="X477" i="2"/>
  <c r="R477" i="2"/>
  <c r="X476" i="2"/>
  <c r="R476" i="2"/>
  <c r="X475" i="2"/>
  <c r="X474" i="2"/>
  <c r="R474" i="2"/>
  <c r="X473" i="2"/>
  <c r="X472" i="2"/>
  <c r="X471" i="2"/>
  <c r="R471" i="2"/>
  <c r="X470" i="2"/>
  <c r="X469" i="2"/>
  <c r="R469" i="2"/>
  <c r="X468" i="2"/>
  <c r="X467" i="2"/>
  <c r="R467" i="2"/>
  <c r="X466" i="2"/>
  <c r="R466" i="2"/>
  <c r="X465" i="2"/>
  <c r="R465" i="2"/>
  <c r="X464" i="2"/>
  <c r="R464" i="2"/>
  <c r="U211" i="1"/>
  <c r="U212" i="1"/>
  <c r="U213" i="1"/>
  <c r="U214" i="1"/>
  <c r="U203" i="1"/>
  <c r="U204" i="1"/>
  <c r="U205" i="1"/>
  <c r="U206" i="1"/>
  <c r="U207" i="1"/>
  <c r="U208" i="1"/>
  <c r="U209" i="1"/>
  <c r="U210" i="1"/>
  <c r="U192" i="1"/>
  <c r="U194" i="1"/>
  <c r="U195" i="1"/>
  <c r="U196" i="1"/>
  <c r="U197" i="1"/>
  <c r="U198" i="1"/>
  <c r="U199" i="1"/>
  <c r="U200" i="1"/>
  <c r="U201" i="1"/>
  <c r="U202" i="1"/>
  <c r="U191" i="1"/>
  <c r="U190" i="1"/>
  <c r="T218" i="1"/>
  <c r="S218" i="1"/>
  <c r="R218" i="1"/>
  <c r="Q218" i="1"/>
  <c r="N218" i="1"/>
  <c r="M218" i="1"/>
  <c r="L218" i="1"/>
  <c r="J218" i="1"/>
  <c r="I218" i="1"/>
  <c r="G218" i="1"/>
  <c r="E218" i="1"/>
  <c r="U216" i="1"/>
  <c r="O216" i="1"/>
  <c r="W216" i="1" s="1"/>
  <c r="O214" i="1"/>
  <c r="O213" i="1"/>
  <c r="W213" i="1" s="1"/>
  <c r="O212" i="1"/>
  <c r="O211" i="1"/>
  <c r="O210" i="1"/>
  <c r="O209" i="1"/>
  <c r="W209" i="1" s="1"/>
  <c r="O208" i="1"/>
  <c r="O207" i="1"/>
  <c r="W207" i="1" s="1"/>
  <c r="O206" i="1"/>
  <c r="O205" i="1"/>
  <c r="W205" i="1" s="1"/>
  <c r="O204" i="1"/>
  <c r="O203" i="1"/>
  <c r="W203" i="1" s="1"/>
  <c r="O202" i="1"/>
  <c r="W202" i="1" s="1"/>
  <c r="O200" i="1"/>
  <c r="W200" i="1" s="1"/>
  <c r="O198" i="1"/>
  <c r="W198" i="1" s="1"/>
  <c r="O197" i="1"/>
  <c r="O196" i="1"/>
  <c r="O195" i="1"/>
  <c r="O192" i="1"/>
  <c r="O190" i="1"/>
  <c r="X401" i="2"/>
  <c r="R401" i="2"/>
  <c r="F454" i="2"/>
  <c r="Z454" i="2"/>
  <c r="R398" i="2"/>
  <c r="X398" i="2"/>
  <c r="R397" i="2"/>
  <c r="X397" i="2"/>
  <c r="U159" i="1"/>
  <c r="O159" i="1"/>
  <c r="R396" i="2"/>
  <c r="X396" i="2"/>
  <c r="U160" i="1"/>
  <c r="D187" i="1"/>
  <c r="X118" i="3"/>
  <c r="Q454" i="2"/>
  <c r="J454" i="2"/>
  <c r="R160" i="4"/>
  <c r="F167" i="4"/>
  <c r="R391" i="2"/>
  <c r="X390" i="2"/>
  <c r="X391" i="2"/>
  <c r="D454" i="2"/>
  <c r="R389" i="2"/>
  <c r="R384" i="2"/>
  <c r="R387" i="2"/>
  <c r="R386" i="2"/>
  <c r="R385" i="2"/>
  <c r="E454" i="2"/>
  <c r="X375" i="2"/>
  <c r="X376" i="2"/>
  <c r="R375" i="2"/>
  <c r="X377" i="2"/>
  <c r="R377" i="2"/>
  <c r="R380" i="2"/>
  <c r="R379" i="2"/>
  <c r="R378" i="2"/>
  <c r="R125" i="4"/>
  <c r="Z368" i="2"/>
  <c r="W368" i="2"/>
  <c r="V368" i="2"/>
  <c r="U368" i="2"/>
  <c r="T368" i="2"/>
  <c r="Q368" i="2"/>
  <c r="P368" i="2"/>
  <c r="O368" i="2"/>
  <c r="N368" i="2"/>
  <c r="M368" i="2"/>
  <c r="J368" i="2"/>
  <c r="I368" i="2"/>
  <c r="H368" i="2"/>
  <c r="G368" i="2"/>
  <c r="D368" i="2"/>
  <c r="E368" i="2"/>
  <c r="R350" i="2"/>
  <c r="Y350" i="2" s="1"/>
  <c r="R352" i="2"/>
  <c r="Y352" i="2" s="1"/>
  <c r="R349" i="2"/>
  <c r="Y349" i="2" s="1"/>
  <c r="K368" i="2"/>
  <c r="L368" i="2"/>
  <c r="U138" i="1"/>
  <c r="O138" i="1"/>
  <c r="H152" i="1"/>
  <c r="D152" i="1"/>
  <c r="O131" i="1"/>
  <c r="O91" i="3"/>
  <c r="O92" i="3"/>
  <c r="U91" i="3"/>
  <c r="U92" i="3"/>
  <c r="X339" i="2"/>
  <c r="R339" i="2"/>
  <c r="U102" i="3"/>
  <c r="O102" i="3"/>
  <c r="W102" i="3" s="1"/>
  <c r="X143" i="4"/>
  <c r="R143" i="4"/>
  <c r="O101" i="3"/>
  <c r="X139" i="4"/>
  <c r="X140" i="4"/>
  <c r="X141" i="4"/>
  <c r="X142" i="4"/>
  <c r="R139" i="4"/>
  <c r="Y139" i="4" s="1"/>
  <c r="R140" i="4"/>
  <c r="Y140" i="4" s="1"/>
  <c r="R141" i="4"/>
  <c r="Y141" i="4" s="1"/>
  <c r="R142" i="4"/>
  <c r="F146" i="4"/>
  <c r="E146" i="4"/>
  <c r="U101" i="3"/>
  <c r="R138" i="4"/>
  <c r="X340" i="2"/>
  <c r="R338" i="2"/>
  <c r="X338" i="2"/>
  <c r="O130" i="1"/>
  <c r="R333" i="2"/>
  <c r="R332" i="2"/>
  <c r="X127" i="4"/>
  <c r="X128" i="4"/>
  <c r="R127" i="4"/>
  <c r="R128" i="4"/>
  <c r="X96" i="3"/>
  <c r="R329" i="2"/>
  <c r="X326" i="2"/>
  <c r="X327" i="2"/>
  <c r="X328" i="2"/>
  <c r="X329" i="2"/>
  <c r="X330" i="2"/>
  <c r="X331" i="2"/>
  <c r="X332" i="2"/>
  <c r="X333" i="2"/>
  <c r="R327" i="2"/>
  <c r="R326" i="2"/>
  <c r="R337" i="2"/>
  <c r="R336" i="2"/>
  <c r="R335" i="2"/>
  <c r="R334" i="2"/>
  <c r="R325" i="2"/>
  <c r="G105" i="3"/>
  <c r="O99" i="3"/>
  <c r="R137" i="4"/>
  <c r="X137" i="4"/>
  <c r="Y137" i="4" s="1"/>
  <c r="X138" i="4"/>
  <c r="R324" i="2"/>
  <c r="R343" i="2"/>
  <c r="X324" i="2"/>
  <c r="X325" i="2"/>
  <c r="X334" i="2"/>
  <c r="X335" i="2"/>
  <c r="X336" i="2"/>
  <c r="X337" i="2"/>
  <c r="X341" i="2"/>
  <c r="X342" i="2"/>
  <c r="X343" i="2"/>
  <c r="R323" i="2"/>
  <c r="O128" i="1"/>
  <c r="R322" i="2"/>
  <c r="R321" i="2"/>
  <c r="G134" i="1"/>
  <c r="I346" i="2"/>
  <c r="O125" i="1"/>
  <c r="R319" i="2"/>
  <c r="R317" i="2"/>
  <c r="X315" i="2"/>
  <c r="R315" i="2"/>
  <c r="U122" i="1"/>
  <c r="U123" i="1"/>
  <c r="O123" i="1"/>
  <c r="O122" i="1"/>
  <c r="R313" i="2"/>
  <c r="X313" i="2"/>
  <c r="X314" i="2"/>
  <c r="R314" i="2"/>
  <c r="X300" i="2"/>
  <c r="R300" i="2"/>
  <c r="O124" i="1"/>
  <c r="X312" i="2"/>
  <c r="X316" i="2"/>
  <c r="X317" i="2"/>
  <c r="X318" i="2"/>
  <c r="X319" i="2"/>
  <c r="X320" i="2"/>
  <c r="X321" i="2"/>
  <c r="X322" i="2"/>
  <c r="R316" i="2"/>
  <c r="R311" i="2"/>
  <c r="R310" i="2"/>
  <c r="R124" i="4"/>
  <c r="R309" i="2"/>
  <c r="R308" i="2"/>
  <c r="R307" i="2"/>
  <c r="X292" i="2"/>
  <c r="R292" i="2"/>
  <c r="R298" i="2"/>
  <c r="U118" i="1"/>
  <c r="O118" i="1"/>
  <c r="R297" i="2"/>
  <c r="R296" i="2"/>
  <c r="X294" i="2"/>
  <c r="X295" i="2"/>
  <c r="X296" i="2"/>
  <c r="X297" i="2"/>
  <c r="X298" i="2"/>
  <c r="X299" i="2"/>
  <c r="R294" i="2"/>
  <c r="R302" i="2"/>
  <c r="O120" i="1"/>
  <c r="O121" i="1"/>
  <c r="R301" i="2"/>
  <c r="R306" i="2"/>
  <c r="R303" i="2"/>
  <c r="R304" i="2"/>
  <c r="R305" i="2"/>
  <c r="R345" i="2"/>
  <c r="X303" i="2"/>
  <c r="Y303" i="2" s="1"/>
  <c r="X304" i="2"/>
  <c r="X305" i="2"/>
  <c r="X306" i="2"/>
  <c r="X307" i="2"/>
  <c r="X308" i="2"/>
  <c r="X309" i="2"/>
  <c r="Y309" i="2" s="1"/>
  <c r="X310" i="2"/>
  <c r="X311" i="2"/>
  <c r="X323" i="2"/>
  <c r="O119" i="1"/>
  <c r="X285" i="2"/>
  <c r="X286" i="2"/>
  <c r="X287" i="2"/>
  <c r="X288" i="2"/>
  <c r="X289" i="2"/>
  <c r="X290" i="2"/>
  <c r="X291" i="2"/>
  <c r="X293" i="2"/>
  <c r="X301" i="2"/>
  <c r="R293" i="2"/>
  <c r="R291" i="2"/>
  <c r="Y291" i="2" s="1"/>
  <c r="R289" i="2"/>
  <c r="R288" i="2"/>
  <c r="R287" i="2"/>
  <c r="R285" i="2"/>
  <c r="R284" i="2"/>
  <c r="O116" i="1"/>
  <c r="R283" i="2"/>
  <c r="R282" i="2"/>
  <c r="Q346" i="2"/>
  <c r="R278" i="2"/>
  <c r="R277" i="2"/>
  <c r="R276" i="2"/>
  <c r="R275" i="2"/>
  <c r="R265" i="2"/>
  <c r="D346" i="2"/>
  <c r="X264" i="2"/>
  <c r="X265" i="2"/>
  <c r="R264" i="2"/>
  <c r="R274" i="2"/>
  <c r="R273" i="2"/>
  <c r="G346" i="2"/>
  <c r="R272" i="2"/>
  <c r="R271" i="2"/>
  <c r="R270" i="2"/>
  <c r="R269" i="2"/>
  <c r="O115" i="1"/>
  <c r="K134" i="1"/>
  <c r="R267" i="2"/>
  <c r="R266" i="2"/>
  <c r="R263" i="2"/>
  <c r="R262" i="2"/>
  <c r="R258" i="2"/>
  <c r="R257" i="2"/>
  <c r="R256" i="2"/>
  <c r="O113" i="1"/>
  <c r="R255" i="2"/>
  <c r="R254" i="2"/>
  <c r="O112" i="1"/>
  <c r="R253" i="2"/>
  <c r="R252" i="2"/>
  <c r="R251" i="2"/>
  <c r="R250" i="2"/>
  <c r="F98" i="4"/>
  <c r="R80" i="4"/>
  <c r="E98" i="4"/>
  <c r="R106" i="4"/>
  <c r="Y197" i="3"/>
  <c r="O67" i="1"/>
  <c r="R200" i="2"/>
  <c r="D98" i="4"/>
  <c r="J116" i="4"/>
  <c r="R104" i="4"/>
  <c r="I116" i="4"/>
  <c r="R103" i="4"/>
  <c r="O75" i="3"/>
  <c r="R102" i="4"/>
  <c r="M116" i="4"/>
  <c r="X100" i="4"/>
  <c r="R100" i="4"/>
  <c r="X187" i="2"/>
  <c r="R187" i="2"/>
  <c r="R184" i="2"/>
  <c r="E238" i="2"/>
  <c r="R179" i="2"/>
  <c r="R193" i="2"/>
  <c r="R192" i="2"/>
  <c r="R191" i="2"/>
  <c r="R190" i="2"/>
  <c r="X190" i="2"/>
  <c r="X191" i="2"/>
  <c r="X192" i="2"/>
  <c r="X193" i="2"/>
  <c r="X182" i="2"/>
  <c r="X189" i="2"/>
  <c r="X183" i="2"/>
  <c r="R183" i="2"/>
  <c r="I238" i="2"/>
  <c r="R175" i="2"/>
  <c r="O66" i="1"/>
  <c r="R173" i="2"/>
  <c r="N96" i="1"/>
  <c r="R172" i="2"/>
  <c r="G238" i="2"/>
  <c r="O63" i="1"/>
  <c r="U63" i="1"/>
  <c r="U64" i="1"/>
  <c r="U65" i="1"/>
  <c r="U66" i="1"/>
  <c r="O62" i="1"/>
  <c r="G96" i="1"/>
  <c r="U62" i="1"/>
  <c r="R169" i="2"/>
  <c r="R168" i="2"/>
  <c r="X168" i="2"/>
  <c r="X169" i="2"/>
  <c r="X170" i="2"/>
  <c r="X171" i="2"/>
  <c r="X172" i="2"/>
  <c r="X173" i="2"/>
  <c r="X174" i="2"/>
  <c r="X175" i="2"/>
  <c r="X176" i="2"/>
  <c r="X177" i="2"/>
  <c r="X178" i="2"/>
  <c r="R166" i="2"/>
  <c r="O61" i="1"/>
  <c r="X165" i="2"/>
  <c r="R165" i="2"/>
  <c r="O68" i="1"/>
  <c r="R198" i="2"/>
  <c r="R197" i="2"/>
  <c r="X186" i="2"/>
  <c r="R186" i="2"/>
  <c r="R189" i="2"/>
  <c r="X194" i="2"/>
  <c r="R194" i="2"/>
  <c r="R195" i="2"/>
  <c r="R188" i="2"/>
  <c r="R185" i="2"/>
  <c r="X181" i="2"/>
  <c r="D238" i="2"/>
  <c r="R180" i="2"/>
  <c r="R163" i="2"/>
  <c r="R162" i="2"/>
  <c r="X56" i="4"/>
  <c r="X244" i="4"/>
  <c r="X243" i="4"/>
  <c r="X241" i="4"/>
  <c r="X240" i="4"/>
  <c r="X239" i="4"/>
  <c r="X238" i="4"/>
  <c r="X237" i="4"/>
  <c r="X236" i="4"/>
  <c r="X235" i="4"/>
  <c r="X234" i="4"/>
  <c r="X233" i="4"/>
  <c r="X232" i="4"/>
  <c r="X231" i="4"/>
  <c r="X230" i="4"/>
  <c r="X229" i="4"/>
  <c r="X228" i="4"/>
  <c r="X227" i="4"/>
  <c r="X225" i="4"/>
  <c r="X224" i="4"/>
  <c r="X223" i="4"/>
  <c r="X222" i="4"/>
  <c r="X221" i="4"/>
  <c r="X220" i="4"/>
  <c r="X219" i="4"/>
  <c r="X218" i="4"/>
  <c r="X217" i="4"/>
  <c r="X216" i="4"/>
  <c r="X215" i="4"/>
  <c r="X214" i="4"/>
  <c r="X213" i="4"/>
  <c r="X212" i="4"/>
  <c r="X211" i="4"/>
  <c r="X210" i="4"/>
  <c r="X209" i="4"/>
  <c r="X206" i="4"/>
  <c r="X205" i="4"/>
  <c r="X204" i="4"/>
  <c r="X202" i="4"/>
  <c r="X201" i="4"/>
  <c r="X200" i="4"/>
  <c r="X199" i="4"/>
  <c r="X198" i="4"/>
  <c r="X197" i="4"/>
  <c r="X196" i="4"/>
  <c r="X195" i="4"/>
  <c r="X184" i="4"/>
  <c r="X183" i="4"/>
  <c r="X182" i="4"/>
  <c r="X178" i="4"/>
  <c r="X177" i="4"/>
  <c r="X176" i="4"/>
  <c r="Y176" i="4" s="1"/>
  <c r="X175" i="4"/>
  <c r="X174" i="4"/>
  <c r="X161" i="4"/>
  <c r="X160" i="4"/>
  <c r="Y160" i="4" s="1"/>
  <c r="X154" i="4"/>
  <c r="X153" i="4"/>
  <c r="X152" i="4"/>
  <c r="X136" i="4"/>
  <c r="X135" i="4"/>
  <c r="X126" i="4"/>
  <c r="X125" i="4"/>
  <c r="X124" i="4"/>
  <c r="X119" i="4"/>
  <c r="X118" i="4"/>
  <c r="X117" i="4"/>
  <c r="X112" i="4"/>
  <c r="X111" i="4"/>
  <c r="X110" i="4"/>
  <c r="X109" i="4"/>
  <c r="X108" i="4"/>
  <c r="X107" i="4"/>
  <c r="X106" i="4"/>
  <c r="Y106" i="4" s="1"/>
  <c r="X105" i="4"/>
  <c r="X104" i="4"/>
  <c r="X103" i="4"/>
  <c r="X102" i="4"/>
  <c r="X101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3" i="4"/>
  <c r="X72" i="4"/>
  <c r="X70" i="4"/>
  <c r="X69" i="4"/>
  <c r="X62" i="4"/>
  <c r="X61" i="4"/>
  <c r="X60" i="4"/>
  <c r="X59" i="4"/>
  <c r="X58" i="4"/>
  <c r="X57" i="4"/>
  <c r="X37" i="4"/>
  <c r="X34" i="4"/>
  <c r="X23" i="4"/>
  <c r="X22" i="4"/>
  <c r="X21" i="4"/>
  <c r="X17" i="4"/>
  <c r="X14" i="4"/>
  <c r="R244" i="4"/>
  <c r="R243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5" i="4"/>
  <c r="R224" i="4"/>
  <c r="R223" i="4"/>
  <c r="R222" i="4"/>
  <c r="Y222" i="4" s="1"/>
  <c r="R221" i="4"/>
  <c r="R220" i="4"/>
  <c r="R219" i="4"/>
  <c r="R218" i="4"/>
  <c r="Y218" i="4" s="1"/>
  <c r="R217" i="4"/>
  <c r="R216" i="4"/>
  <c r="R215" i="4"/>
  <c r="R214" i="4"/>
  <c r="Y214" i="4" s="1"/>
  <c r="R213" i="4"/>
  <c r="R212" i="4"/>
  <c r="R211" i="4"/>
  <c r="R210" i="4"/>
  <c r="Y210" i="4" s="1"/>
  <c r="R209" i="4"/>
  <c r="R206" i="4"/>
  <c r="R205" i="4"/>
  <c r="R204" i="4"/>
  <c r="Y204" i="4" s="1"/>
  <c r="R202" i="4"/>
  <c r="R201" i="4"/>
  <c r="R200" i="4"/>
  <c r="R199" i="4"/>
  <c r="Y199" i="4" s="1"/>
  <c r="R198" i="4"/>
  <c r="R197" i="4"/>
  <c r="R196" i="4"/>
  <c r="R195" i="4"/>
  <c r="Y195" i="4" s="1"/>
  <c r="R178" i="4"/>
  <c r="R177" i="4"/>
  <c r="R175" i="4"/>
  <c r="R161" i="4"/>
  <c r="R154" i="4"/>
  <c r="R153" i="4"/>
  <c r="R152" i="4"/>
  <c r="Y151" i="4"/>
  <c r="R136" i="4"/>
  <c r="R135" i="4"/>
  <c r="R126" i="4"/>
  <c r="R119" i="4"/>
  <c r="Y119" i="4" s="1"/>
  <c r="R118" i="4"/>
  <c r="R117" i="4"/>
  <c r="R112" i="4"/>
  <c r="R111" i="4"/>
  <c r="Y111" i="4" s="1"/>
  <c r="R110" i="4"/>
  <c r="R109" i="4"/>
  <c r="R108" i="4"/>
  <c r="R107" i="4"/>
  <c r="Y107" i="4" s="1"/>
  <c r="R10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69" i="4"/>
  <c r="R62" i="4"/>
  <c r="R59" i="4"/>
  <c r="R58" i="4"/>
  <c r="R57" i="4"/>
  <c r="R56" i="4"/>
  <c r="R44" i="4"/>
  <c r="R37" i="4"/>
  <c r="R17" i="4"/>
  <c r="R14" i="4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0" i="2"/>
  <c r="X399" i="2"/>
  <c r="X395" i="2"/>
  <c r="X394" i="2"/>
  <c r="X393" i="2"/>
  <c r="X392" i="2"/>
  <c r="X389" i="2"/>
  <c r="X388" i="2"/>
  <c r="X387" i="2"/>
  <c r="X386" i="2"/>
  <c r="X385" i="2"/>
  <c r="X384" i="2"/>
  <c r="X383" i="2"/>
  <c r="X382" i="2"/>
  <c r="X381" i="2"/>
  <c r="X380" i="2"/>
  <c r="Y380" i="2" s="1"/>
  <c r="X379" i="2"/>
  <c r="X378" i="2"/>
  <c r="X374" i="2"/>
  <c r="X370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48" i="2"/>
  <c r="X347" i="2"/>
  <c r="X302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Y251" i="2" s="1"/>
  <c r="X250" i="2"/>
  <c r="X246" i="2"/>
  <c r="X245" i="2"/>
  <c r="X244" i="2"/>
  <c r="X243" i="2"/>
  <c r="X242" i="2"/>
  <c r="X241" i="2"/>
  <c r="X240" i="2"/>
  <c r="X239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88" i="2"/>
  <c r="X184" i="2"/>
  <c r="X180" i="2"/>
  <c r="X179" i="2"/>
  <c r="X167" i="2"/>
  <c r="X166" i="2"/>
  <c r="X164" i="2"/>
  <c r="X163" i="2"/>
  <c r="X162" i="2"/>
  <c r="X157" i="2"/>
  <c r="Y157" i="2" s="1"/>
  <c r="X156" i="2"/>
  <c r="Y156" i="2" s="1"/>
  <c r="X155" i="2"/>
  <c r="Y155" i="2" s="1"/>
  <c r="X153" i="2"/>
  <c r="X152" i="2"/>
  <c r="X151" i="2"/>
  <c r="X142" i="2"/>
  <c r="X140" i="2"/>
  <c r="X139" i="2"/>
  <c r="X138" i="2"/>
  <c r="X137" i="2"/>
  <c r="X136" i="2"/>
  <c r="X135" i="2"/>
  <c r="X134" i="2"/>
  <c r="X133" i="2"/>
  <c r="X132" i="2"/>
  <c r="X131" i="2"/>
  <c r="X130" i="2"/>
  <c r="X128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72" i="2"/>
  <c r="X68" i="2"/>
  <c r="X66" i="2"/>
  <c r="X64" i="2"/>
  <c r="X63" i="2"/>
  <c r="X62" i="2"/>
  <c r="X60" i="2"/>
  <c r="X59" i="2"/>
  <c r="X58" i="2"/>
  <c r="X55" i="2"/>
  <c r="X49" i="2"/>
  <c r="X48" i="2"/>
  <c r="X24" i="2"/>
  <c r="X23" i="2"/>
  <c r="X22" i="2"/>
  <c r="X20" i="2"/>
  <c r="X18" i="2"/>
  <c r="X17" i="2"/>
  <c r="R452" i="2"/>
  <c r="R451" i="2"/>
  <c r="R450" i="2"/>
  <c r="R449" i="2"/>
  <c r="R448" i="2"/>
  <c r="Y448" i="2" s="1"/>
  <c r="R447" i="2"/>
  <c r="Y447" i="2" s="1"/>
  <c r="R446" i="2"/>
  <c r="R445" i="2"/>
  <c r="R444" i="2"/>
  <c r="Y444" i="2" s="1"/>
  <c r="R443" i="2"/>
  <c r="R442" i="2"/>
  <c r="R441" i="2"/>
  <c r="R440" i="2"/>
  <c r="R439" i="2"/>
  <c r="R438" i="2"/>
  <c r="R437" i="2"/>
  <c r="R436" i="2"/>
  <c r="Y436" i="2" s="1"/>
  <c r="R435" i="2"/>
  <c r="R434" i="2"/>
  <c r="R433" i="2"/>
  <c r="R432" i="2"/>
  <c r="Y432" i="2" s="1"/>
  <c r="R431" i="2"/>
  <c r="R430" i="2"/>
  <c r="R429" i="2"/>
  <c r="R428" i="2"/>
  <c r="Y428" i="2" s="1"/>
  <c r="R427" i="2"/>
  <c r="R426" i="2"/>
  <c r="R425" i="2"/>
  <c r="R424" i="2"/>
  <c r="Y424" i="2" s="1"/>
  <c r="R423" i="2"/>
  <c r="R422" i="2"/>
  <c r="R421" i="2"/>
  <c r="R420" i="2"/>
  <c r="Y420" i="2" s="1"/>
  <c r="R419" i="2"/>
  <c r="R418" i="2"/>
  <c r="R417" i="2"/>
  <c r="R416" i="2"/>
  <c r="Y416" i="2" s="1"/>
  <c r="R415" i="2"/>
  <c r="R414" i="2"/>
  <c r="R413" i="2"/>
  <c r="R412" i="2"/>
  <c r="Y412" i="2" s="1"/>
  <c r="R411" i="2"/>
  <c r="R410" i="2"/>
  <c r="R409" i="2"/>
  <c r="R408" i="2"/>
  <c r="Y408" i="2" s="1"/>
  <c r="R407" i="2"/>
  <c r="R406" i="2"/>
  <c r="R405" i="2"/>
  <c r="R404" i="2"/>
  <c r="Y404" i="2" s="1"/>
  <c r="R403" i="2"/>
  <c r="R402" i="2"/>
  <c r="R400" i="2"/>
  <c r="R399" i="2"/>
  <c r="R395" i="2"/>
  <c r="R394" i="2"/>
  <c r="R393" i="2"/>
  <c r="R388" i="2"/>
  <c r="R370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47" i="2"/>
  <c r="R246" i="2"/>
  <c r="R245" i="2"/>
  <c r="R244" i="2"/>
  <c r="Y244" i="2" s="1"/>
  <c r="R243" i="2"/>
  <c r="R242" i="2"/>
  <c r="R241" i="2"/>
  <c r="R240" i="2"/>
  <c r="Y240" i="2" s="1"/>
  <c r="R239" i="2"/>
  <c r="R237" i="2"/>
  <c r="R236" i="2"/>
  <c r="R235" i="2"/>
  <c r="Y235" i="2" s="1"/>
  <c r="R234" i="2"/>
  <c r="R233" i="2"/>
  <c r="R232" i="2"/>
  <c r="R231" i="2"/>
  <c r="Y231" i="2" s="1"/>
  <c r="R230" i="2"/>
  <c r="R229" i="2"/>
  <c r="R228" i="2"/>
  <c r="R227" i="2"/>
  <c r="Y227" i="2" s="1"/>
  <c r="R226" i="2"/>
  <c r="R225" i="2"/>
  <c r="R224" i="2"/>
  <c r="R223" i="2"/>
  <c r="Y223" i="2" s="1"/>
  <c r="R222" i="2"/>
  <c r="R221" i="2"/>
  <c r="R220" i="2"/>
  <c r="R219" i="2"/>
  <c r="Y219" i="2" s="1"/>
  <c r="R218" i="2"/>
  <c r="R217" i="2"/>
  <c r="R216" i="2"/>
  <c r="R215" i="2"/>
  <c r="Y215" i="2" s="1"/>
  <c r="R214" i="2"/>
  <c r="R213" i="2"/>
  <c r="R212" i="2"/>
  <c r="R211" i="2"/>
  <c r="Y211" i="2" s="1"/>
  <c r="R210" i="2"/>
  <c r="R209" i="2"/>
  <c r="R208" i="2"/>
  <c r="R207" i="2"/>
  <c r="Y207" i="2" s="1"/>
  <c r="R206" i="2"/>
  <c r="R205" i="2"/>
  <c r="R204" i="2"/>
  <c r="R203" i="2"/>
  <c r="Y203" i="2" s="1"/>
  <c r="R202" i="2"/>
  <c r="R201" i="2"/>
  <c r="R196" i="2"/>
  <c r="R137" i="2"/>
  <c r="R135" i="2"/>
  <c r="R121" i="2"/>
  <c r="R119" i="2"/>
  <c r="R117" i="2"/>
  <c r="R115" i="2"/>
  <c r="R68" i="2"/>
  <c r="R64" i="2"/>
  <c r="R63" i="2"/>
  <c r="R58" i="2"/>
  <c r="R14" i="2"/>
  <c r="X14" i="2"/>
  <c r="K159" i="2"/>
  <c r="R114" i="2"/>
  <c r="U48" i="3"/>
  <c r="U58" i="1"/>
  <c r="W58" i="1" s="1"/>
  <c r="R132" i="2"/>
  <c r="G159" i="2"/>
  <c r="E159" i="2"/>
  <c r="R126" i="2"/>
  <c r="R118" i="2"/>
  <c r="R73" i="4"/>
  <c r="R72" i="4"/>
  <c r="M75" i="4"/>
  <c r="E75" i="4"/>
  <c r="R61" i="4"/>
  <c r="R20" i="2"/>
  <c r="U159" i="2"/>
  <c r="V159" i="2"/>
  <c r="U16" i="2"/>
  <c r="V16" i="2"/>
  <c r="J226" i="4"/>
  <c r="J242" i="4"/>
  <c r="T242" i="4"/>
  <c r="U242" i="4"/>
  <c r="T226" i="4"/>
  <c r="U226" i="4"/>
  <c r="T203" i="4"/>
  <c r="U203" i="4"/>
  <c r="T190" i="4"/>
  <c r="U190" i="4"/>
  <c r="T180" i="4"/>
  <c r="U180" i="4"/>
  <c r="T167" i="4"/>
  <c r="U167" i="4"/>
  <c r="T158" i="4"/>
  <c r="U158" i="4"/>
  <c r="T75" i="4"/>
  <c r="U75" i="4"/>
  <c r="T98" i="4"/>
  <c r="U98" i="4"/>
  <c r="T116" i="4"/>
  <c r="U116" i="4"/>
  <c r="T133" i="4"/>
  <c r="U133" i="4"/>
  <c r="T146" i="4"/>
  <c r="U146" i="4"/>
  <c r="T32" i="4"/>
  <c r="U32" i="4"/>
  <c r="U51" i="4" s="1"/>
  <c r="T16" i="4"/>
  <c r="U16" i="4"/>
  <c r="U346" i="2"/>
  <c r="V346" i="2"/>
  <c r="U247" i="2"/>
  <c r="V247" i="2"/>
  <c r="U238" i="2"/>
  <c r="U454" i="2"/>
  <c r="V454" i="2"/>
  <c r="W157" i="3"/>
  <c r="W137" i="3"/>
  <c r="W14" i="3"/>
  <c r="U188" i="3"/>
  <c r="U187" i="3"/>
  <c r="U186" i="3"/>
  <c r="U185" i="3"/>
  <c r="U181" i="3"/>
  <c r="U180" i="3"/>
  <c r="U179" i="3"/>
  <c r="U178" i="3"/>
  <c r="U177" i="3"/>
  <c r="U176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U160" i="3"/>
  <c r="U156" i="3"/>
  <c r="U155" i="3"/>
  <c r="U154" i="3"/>
  <c r="U153" i="3"/>
  <c r="U152" i="3"/>
  <c r="U151" i="3"/>
  <c r="U150" i="3"/>
  <c r="U143" i="3"/>
  <c r="U141" i="3"/>
  <c r="U136" i="3"/>
  <c r="U135" i="3"/>
  <c r="U134" i="3"/>
  <c r="U133" i="3"/>
  <c r="U132" i="3"/>
  <c r="U123" i="3"/>
  <c r="U122" i="3"/>
  <c r="U121" i="3"/>
  <c r="U120" i="3"/>
  <c r="U115" i="3"/>
  <c r="U114" i="3"/>
  <c r="U113" i="3"/>
  <c r="U112" i="3"/>
  <c r="U111" i="3"/>
  <c r="U100" i="3"/>
  <c r="U99" i="3"/>
  <c r="U98" i="3"/>
  <c r="U90" i="3"/>
  <c r="U89" i="3"/>
  <c r="U88" i="3"/>
  <c r="U83" i="3"/>
  <c r="U77" i="3"/>
  <c r="U76" i="3"/>
  <c r="U75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0" i="3"/>
  <c r="U39" i="3"/>
  <c r="W39" i="3" s="1"/>
  <c r="U38" i="3"/>
  <c r="U20" i="3"/>
  <c r="O16" i="3"/>
  <c r="Q15" i="3"/>
  <c r="R15" i="3"/>
  <c r="S15" i="3"/>
  <c r="U13" i="3"/>
  <c r="U15" i="3" s="1"/>
  <c r="O188" i="3"/>
  <c r="O187" i="3"/>
  <c r="O186" i="3"/>
  <c r="W186" i="3" s="1"/>
  <c r="O185" i="3"/>
  <c r="O181" i="3"/>
  <c r="O180" i="3"/>
  <c r="O179" i="3"/>
  <c r="W179" i="3" s="1"/>
  <c r="O178" i="3"/>
  <c r="O177" i="3"/>
  <c r="O176" i="3"/>
  <c r="O175" i="3"/>
  <c r="W175" i="3" s="1"/>
  <c r="O174" i="3"/>
  <c r="O173" i="3"/>
  <c r="O172" i="3"/>
  <c r="O171" i="3"/>
  <c r="W171" i="3" s="1"/>
  <c r="O170" i="3"/>
  <c r="O169" i="3"/>
  <c r="W169" i="3" s="1"/>
  <c r="O168" i="3"/>
  <c r="O167" i="3"/>
  <c r="W167" i="3" s="1"/>
  <c r="O166" i="3"/>
  <c r="O165" i="3"/>
  <c r="O164" i="3"/>
  <c r="O160" i="3"/>
  <c r="W160" i="3" s="1"/>
  <c r="O156" i="3"/>
  <c r="O155" i="3"/>
  <c r="O154" i="3"/>
  <c r="O153" i="3"/>
  <c r="W153" i="3" s="1"/>
  <c r="O152" i="3"/>
  <c r="O151" i="3"/>
  <c r="O150" i="3"/>
  <c r="O140" i="3"/>
  <c r="O136" i="3"/>
  <c r="O135" i="3"/>
  <c r="W135" i="3" s="1"/>
  <c r="O134" i="3"/>
  <c r="O133" i="3"/>
  <c r="O132" i="3"/>
  <c r="O123" i="3"/>
  <c r="O122" i="3"/>
  <c r="O121" i="3"/>
  <c r="O115" i="3"/>
  <c r="O114" i="3"/>
  <c r="O113" i="3"/>
  <c r="O112" i="3"/>
  <c r="O111" i="3"/>
  <c r="O98" i="3"/>
  <c r="O90" i="3"/>
  <c r="O89" i="3"/>
  <c r="O88" i="3"/>
  <c r="O83" i="3"/>
  <c r="O77" i="3"/>
  <c r="O76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0" i="3"/>
  <c r="O48" i="3"/>
  <c r="O20" i="3"/>
  <c r="O13" i="3"/>
  <c r="O15" i="3" s="1"/>
  <c r="U170" i="1"/>
  <c r="U185" i="1"/>
  <c r="U184" i="1"/>
  <c r="W184" i="1" s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69" i="1"/>
  <c r="U168" i="1"/>
  <c r="U167" i="1"/>
  <c r="U166" i="1"/>
  <c r="U165" i="1"/>
  <c r="U164" i="1"/>
  <c r="U163" i="1"/>
  <c r="U162" i="1"/>
  <c r="U161" i="1"/>
  <c r="U158" i="1"/>
  <c r="U154" i="1"/>
  <c r="U150" i="1"/>
  <c r="U149" i="1"/>
  <c r="U148" i="1"/>
  <c r="W148" i="1" s="1"/>
  <c r="U147" i="1"/>
  <c r="U146" i="1"/>
  <c r="U145" i="1"/>
  <c r="U144" i="1"/>
  <c r="U143" i="1"/>
  <c r="U142" i="1"/>
  <c r="U141" i="1"/>
  <c r="U140" i="1"/>
  <c r="U139" i="1"/>
  <c r="U136" i="1"/>
  <c r="U113" i="1"/>
  <c r="U131" i="1"/>
  <c r="U130" i="1"/>
  <c r="U129" i="1"/>
  <c r="U128" i="1"/>
  <c r="U127" i="1"/>
  <c r="U126" i="1"/>
  <c r="U125" i="1"/>
  <c r="U124" i="1"/>
  <c r="U120" i="1"/>
  <c r="U121" i="1"/>
  <c r="U119" i="1"/>
  <c r="U117" i="1"/>
  <c r="U116" i="1"/>
  <c r="U115" i="1"/>
  <c r="U114" i="1"/>
  <c r="U112" i="1"/>
  <c r="U111" i="1"/>
  <c r="U107" i="1"/>
  <c r="U106" i="1"/>
  <c r="U105" i="1"/>
  <c r="U104" i="1"/>
  <c r="U103" i="1"/>
  <c r="U102" i="1"/>
  <c r="U101" i="1"/>
  <c r="U100" i="1"/>
  <c r="U99" i="1"/>
  <c r="U98" i="1"/>
  <c r="U97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33" i="1"/>
  <c r="U16" i="1"/>
  <c r="O143" i="1"/>
  <c r="O144" i="1"/>
  <c r="O145" i="1"/>
  <c r="O146" i="1"/>
  <c r="O185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W165" i="1" s="1"/>
  <c r="O164" i="1"/>
  <c r="O163" i="1"/>
  <c r="O162" i="1"/>
  <c r="O161" i="1"/>
  <c r="W161" i="1" s="1"/>
  <c r="O158" i="1"/>
  <c r="O154" i="1"/>
  <c r="O150" i="1"/>
  <c r="O149" i="1"/>
  <c r="W149" i="1" s="1"/>
  <c r="O148" i="1"/>
  <c r="O147" i="1"/>
  <c r="O142" i="1"/>
  <c r="O141" i="1"/>
  <c r="W141" i="1" s="1"/>
  <c r="O140" i="1"/>
  <c r="O139" i="1"/>
  <c r="O107" i="1"/>
  <c r="O106" i="1"/>
  <c r="O105" i="1"/>
  <c r="O104" i="1"/>
  <c r="O103" i="1"/>
  <c r="O102" i="1"/>
  <c r="O101" i="1"/>
  <c r="O100" i="1"/>
  <c r="O99" i="1"/>
  <c r="O98" i="1"/>
  <c r="O97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W151" i="1"/>
  <c r="W95" i="1"/>
  <c r="W14" i="1"/>
  <c r="U13" i="1"/>
  <c r="U15" i="1" s="1"/>
  <c r="O13" i="1"/>
  <c r="D190" i="3"/>
  <c r="F190" i="3"/>
  <c r="G190" i="3"/>
  <c r="X190" i="3"/>
  <c r="D242" i="4"/>
  <c r="D226" i="4"/>
  <c r="F183" i="3"/>
  <c r="N226" i="4"/>
  <c r="E226" i="4"/>
  <c r="H454" i="2"/>
  <c r="O226" i="4"/>
  <c r="S187" i="1"/>
  <c r="L152" i="1"/>
  <c r="E152" i="1"/>
  <c r="Y15" i="2"/>
  <c r="M152" i="1"/>
  <c r="I152" i="1"/>
  <c r="J152" i="1"/>
  <c r="G152" i="1"/>
  <c r="F203" i="4"/>
  <c r="O180" i="4"/>
  <c r="E180" i="4"/>
  <c r="D180" i="4"/>
  <c r="W190" i="4"/>
  <c r="V190" i="4"/>
  <c r="Q190" i="4"/>
  <c r="P190" i="4"/>
  <c r="K190" i="4"/>
  <c r="J190" i="4"/>
  <c r="I190" i="4"/>
  <c r="H190" i="4"/>
  <c r="G190" i="4"/>
  <c r="E190" i="4"/>
  <c r="O190" i="4"/>
  <c r="W180" i="4"/>
  <c r="W193" i="4" s="1"/>
  <c r="V180" i="4"/>
  <c r="Q180" i="4"/>
  <c r="P180" i="4"/>
  <c r="N180" i="4"/>
  <c r="M180" i="4"/>
  <c r="L180" i="4"/>
  <c r="K180" i="4"/>
  <c r="K193" i="4" s="1"/>
  <c r="J180" i="4"/>
  <c r="I180" i="4"/>
  <c r="H180" i="4"/>
  <c r="X145" i="3"/>
  <c r="T145" i="3"/>
  <c r="S145" i="3"/>
  <c r="R145" i="3"/>
  <c r="Q145" i="3"/>
  <c r="N145" i="3"/>
  <c r="M145" i="3"/>
  <c r="L145" i="3"/>
  <c r="K145" i="3"/>
  <c r="J145" i="3"/>
  <c r="I145" i="3"/>
  <c r="H145" i="3"/>
  <c r="F145" i="3"/>
  <c r="D145" i="3"/>
  <c r="E145" i="3"/>
  <c r="T139" i="3"/>
  <c r="S139" i="3"/>
  <c r="R139" i="3"/>
  <c r="Q139" i="3"/>
  <c r="N139" i="3"/>
  <c r="M139" i="3"/>
  <c r="L139" i="3"/>
  <c r="K139" i="3"/>
  <c r="J139" i="3"/>
  <c r="I139" i="3"/>
  <c r="H139" i="3"/>
  <c r="G139" i="3"/>
  <c r="F139" i="3"/>
  <c r="E139" i="3"/>
  <c r="D139" i="3"/>
  <c r="X125" i="3"/>
  <c r="G125" i="3"/>
  <c r="E125" i="3"/>
  <c r="D125" i="3"/>
  <c r="D167" i="4"/>
  <c r="D16" i="2"/>
  <c r="D247" i="2"/>
  <c r="E16" i="2"/>
  <c r="E247" i="2"/>
  <c r="F16" i="2"/>
  <c r="F247" i="2"/>
  <c r="G16" i="2"/>
  <c r="G247" i="2"/>
  <c r="H16" i="2"/>
  <c r="H159" i="2"/>
  <c r="H247" i="2"/>
  <c r="I16" i="2"/>
  <c r="I247" i="2"/>
  <c r="J16" i="2"/>
  <c r="J247" i="2"/>
  <c r="K16" i="2"/>
  <c r="K247" i="2"/>
  <c r="L16" i="2"/>
  <c r="L247" i="2"/>
  <c r="M16" i="2"/>
  <c r="M247" i="2"/>
  <c r="N16" i="2"/>
  <c r="N238" i="2"/>
  <c r="N247" i="2"/>
  <c r="O16" i="2"/>
  <c r="O247" i="2"/>
  <c r="P16" i="2"/>
  <c r="P159" i="2"/>
  <c r="P238" i="2"/>
  <c r="P247" i="2"/>
  <c r="P346" i="2"/>
  <c r="Q16" i="2"/>
  <c r="Q159" i="2"/>
  <c r="Q247" i="2"/>
  <c r="T16" i="2"/>
  <c r="T159" i="2"/>
  <c r="T247" i="2"/>
  <c r="W16" i="2"/>
  <c r="W159" i="2"/>
  <c r="W238" i="2"/>
  <c r="W247" i="2"/>
  <c r="W346" i="2"/>
  <c r="Z16" i="2"/>
  <c r="Z159" i="2"/>
  <c r="Z247" i="2"/>
  <c r="F158" i="4"/>
  <c r="F170" i="4" s="1"/>
  <c r="F118" i="3"/>
  <c r="O167" i="4"/>
  <c r="Q16" i="4"/>
  <c r="Q32" i="4"/>
  <c r="Q75" i="4"/>
  <c r="Q98" i="4"/>
  <c r="Q116" i="4"/>
  <c r="Q133" i="4"/>
  <c r="Q146" i="4"/>
  <c r="Q158" i="4"/>
  <c r="Q167" i="4"/>
  <c r="Q203" i="4"/>
  <c r="V16" i="4"/>
  <c r="V32" i="4"/>
  <c r="V51" i="4" s="1"/>
  <c r="V75" i="4"/>
  <c r="V98" i="4"/>
  <c r="V116" i="4"/>
  <c r="V133" i="4"/>
  <c r="V146" i="4"/>
  <c r="V158" i="4"/>
  <c r="V167" i="4"/>
  <c r="V203" i="4"/>
  <c r="W16" i="4"/>
  <c r="W32" i="4"/>
  <c r="W51" i="4" s="1"/>
  <c r="W75" i="4"/>
  <c r="W98" i="4"/>
  <c r="W116" i="4"/>
  <c r="X116" i="4" s="1"/>
  <c r="W133" i="4"/>
  <c r="W146" i="4"/>
  <c r="W158" i="4"/>
  <c r="W167" i="4"/>
  <c r="W203" i="4"/>
  <c r="D16" i="4"/>
  <c r="E16" i="4"/>
  <c r="F16" i="4"/>
  <c r="G16" i="4"/>
  <c r="G32" i="4"/>
  <c r="G75" i="4"/>
  <c r="G98" i="4"/>
  <c r="G116" i="4"/>
  <c r="H16" i="4"/>
  <c r="H32" i="4"/>
  <c r="H75" i="4"/>
  <c r="H98" i="4"/>
  <c r="H116" i="4"/>
  <c r="I16" i="4"/>
  <c r="I32" i="4"/>
  <c r="I51" i="4" s="1"/>
  <c r="I75" i="4"/>
  <c r="I98" i="4"/>
  <c r="J16" i="4"/>
  <c r="J51" i="4"/>
  <c r="J98" i="4"/>
  <c r="J120" i="4" s="1"/>
  <c r="K16" i="4"/>
  <c r="K32" i="4"/>
  <c r="K75" i="4"/>
  <c r="K98" i="4"/>
  <c r="K116" i="4"/>
  <c r="L16" i="4"/>
  <c r="L32" i="4"/>
  <c r="L98" i="4"/>
  <c r="M16" i="4"/>
  <c r="M32" i="4"/>
  <c r="M51" i="4" s="1"/>
  <c r="M98" i="4"/>
  <c r="N16" i="4"/>
  <c r="N32" i="4"/>
  <c r="N51" i="4" s="1"/>
  <c r="N75" i="4"/>
  <c r="N98" i="4"/>
  <c r="N116" i="4"/>
  <c r="O16" i="4"/>
  <c r="O32" i="4"/>
  <c r="O51" i="4" s="1"/>
  <c r="O75" i="4"/>
  <c r="O98" i="4"/>
  <c r="O116" i="4"/>
  <c r="P16" i="4"/>
  <c r="P32" i="4"/>
  <c r="P51" i="4" s="1"/>
  <c r="P75" i="4"/>
  <c r="P98" i="4"/>
  <c r="P116" i="4"/>
  <c r="D146" i="4"/>
  <c r="F133" i="4"/>
  <c r="G133" i="4"/>
  <c r="G146" i="4"/>
  <c r="H133" i="4"/>
  <c r="H146" i="4"/>
  <c r="I133" i="4"/>
  <c r="I146" i="4"/>
  <c r="J133" i="4"/>
  <c r="J146" i="4"/>
  <c r="K133" i="4"/>
  <c r="K146" i="4"/>
  <c r="L133" i="4"/>
  <c r="L146" i="4"/>
  <c r="M133" i="4"/>
  <c r="M146" i="4"/>
  <c r="N133" i="4"/>
  <c r="N146" i="4"/>
  <c r="O133" i="4"/>
  <c r="O146" i="4"/>
  <c r="P133" i="4"/>
  <c r="P146" i="4"/>
  <c r="G158" i="4"/>
  <c r="H158" i="4"/>
  <c r="I158" i="4"/>
  <c r="J158" i="4"/>
  <c r="K158" i="4"/>
  <c r="L158" i="4"/>
  <c r="M158" i="4"/>
  <c r="N158" i="4"/>
  <c r="O158" i="4"/>
  <c r="P158" i="4"/>
  <c r="G167" i="4"/>
  <c r="G170" i="4" s="1"/>
  <c r="H167" i="4"/>
  <c r="I167" i="4"/>
  <c r="J167" i="4"/>
  <c r="K167" i="4"/>
  <c r="K170" i="4" s="1"/>
  <c r="L167" i="4"/>
  <c r="M167" i="4"/>
  <c r="P167" i="4"/>
  <c r="P170" i="4" s="1"/>
  <c r="K203" i="4"/>
  <c r="L203" i="4"/>
  <c r="M203" i="4"/>
  <c r="N203" i="4"/>
  <c r="O203" i="4"/>
  <c r="P203" i="4"/>
  <c r="E203" i="4"/>
  <c r="G203" i="4"/>
  <c r="H203" i="4"/>
  <c r="I203" i="4"/>
  <c r="J203" i="4"/>
  <c r="D203" i="4"/>
  <c r="E15" i="3"/>
  <c r="E30" i="3"/>
  <c r="E45" i="3" s="1"/>
  <c r="E73" i="3"/>
  <c r="E81" i="3"/>
  <c r="E96" i="3"/>
  <c r="F15" i="3"/>
  <c r="F30" i="3"/>
  <c r="F45" i="3" s="1"/>
  <c r="F73" i="3"/>
  <c r="F96" i="3"/>
  <c r="D15" i="3"/>
  <c r="D30" i="3"/>
  <c r="D45" i="3" s="1"/>
  <c r="D73" i="3"/>
  <c r="D81" i="3"/>
  <c r="D96" i="3"/>
  <c r="D105" i="3"/>
  <c r="D118" i="3"/>
  <c r="G15" i="3"/>
  <c r="G30" i="3"/>
  <c r="G73" i="3"/>
  <c r="G81" i="3"/>
  <c r="G96" i="3"/>
  <c r="G108" i="3" s="1"/>
  <c r="G118" i="3"/>
  <c r="H15" i="3"/>
  <c r="H30" i="3"/>
  <c r="H45" i="3" s="1"/>
  <c r="H73" i="3"/>
  <c r="H81" i="3"/>
  <c r="H96" i="3"/>
  <c r="H118" i="3"/>
  <c r="H125" i="3"/>
  <c r="I15" i="3"/>
  <c r="I30" i="3"/>
  <c r="I45" i="3" s="1"/>
  <c r="I73" i="3"/>
  <c r="I81" i="3"/>
  <c r="I96" i="3"/>
  <c r="I105" i="3"/>
  <c r="I118" i="3"/>
  <c r="I125" i="3"/>
  <c r="J15" i="3"/>
  <c r="J30" i="3"/>
  <c r="J45" i="3" s="1"/>
  <c r="J73" i="3"/>
  <c r="J81" i="3"/>
  <c r="J96" i="3"/>
  <c r="J105" i="3"/>
  <c r="J118" i="3"/>
  <c r="J125" i="3"/>
  <c r="K15" i="3"/>
  <c r="K30" i="3"/>
  <c r="K45" i="3" s="1"/>
  <c r="K73" i="3"/>
  <c r="K81" i="3"/>
  <c r="K96" i="3"/>
  <c r="K105" i="3"/>
  <c r="K118" i="3"/>
  <c r="K125" i="3"/>
  <c r="L15" i="3"/>
  <c r="L30" i="3"/>
  <c r="L45" i="3" s="1"/>
  <c r="L73" i="3"/>
  <c r="L81" i="3"/>
  <c r="L96" i="3"/>
  <c r="L105" i="3"/>
  <c r="L118" i="3"/>
  <c r="L125" i="3"/>
  <c r="M15" i="3"/>
  <c r="M30" i="3"/>
  <c r="M45" i="3" s="1"/>
  <c r="M73" i="3"/>
  <c r="M81" i="3"/>
  <c r="M96" i="3"/>
  <c r="M105" i="3"/>
  <c r="M118" i="3"/>
  <c r="M125" i="3"/>
  <c r="N15" i="3"/>
  <c r="N30" i="3"/>
  <c r="N45" i="3" s="1"/>
  <c r="N73" i="3"/>
  <c r="N81" i="3"/>
  <c r="N96" i="3"/>
  <c r="N105" i="3"/>
  <c r="N118" i="3"/>
  <c r="Q45" i="3"/>
  <c r="Q73" i="3"/>
  <c r="Q81" i="3"/>
  <c r="Q96" i="3"/>
  <c r="Q105" i="3"/>
  <c r="Q118" i="3"/>
  <c r="Q125" i="3"/>
  <c r="R45" i="3"/>
  <c r="R73" i="3"/>
  <c r="R81" i="3"/>
  <c r="R96" i="3"/>
  <c r="R105" i="3"/>
  <c r="R118" i="3"/>
  <c r="R125" i="3"/>
  <c r="S30" i="3"/>
  <c r="S73" i="3"/>
  <c r="S81" i="3"/>
  <c r="S96" i="3"/>
  <c r="S105" i="3"/>
  <c r="S118" i="3"/>
  <c r="S125" i="3"/>
  <c r="T15" i="3"/>
  <c r="T30" i="3"/>
  <c r="T73" i="3"/>
  <c r="T81" i="3"/>
  <c r="T96" i="3"/>
  <c r="T105" i="3"/>
  <c r="T118" i="3"/>
  <c r="T125" i="3"/>
  <c r="D158" i="3"/>
  <c r="E158" i="3"/>
  <c r="F158" i="3"/>
  <c r="G158" i="3"/>
  <c r="H158" i="3"/>
  <c r="I158" i="3"/>
  <c r="J158" i="3"/>
  <c r="K158" i="3"/>
  <c r="L158" i="3"/>
  <c r="M158" i="3"/>
  <c r="N158" i="3"/>
  <c r="Q158" i="3"/>
  <c r="R158" i="3"/>
  <c r="S158" i="3"/>
  <c r="T158" i="3"/>
  <c r="X15" i="3"/>
  <c r="X81" i="3"/>
  <c r="X105" i="3"/>
  <c r="X158" i="3"/>
  <c r="S134" i="1"/>
  <c r="N134" i="1"/>
  <c r="T134" i="1"/>
  <c r="S15" i="1"/>
  <c r="S56" i="1"/>
  <c r="S96" i="1"/>
  <c r="M15" i="1"/>
  <c r="M56" i="1"/>
  <c r="M96" i="1"/>
  <c r="M108" i="1"/>
  <c r="N15" i="1"/>
  <c r="N56" i="1"/>
  <c r="N108" i="1"/>
  <c r="R134" i="1"/>
  <c r="R15" i="1"/>
  <c r="R96" i="1"/>
  <c r="R108" i="1"/>
  <c r="T15" i="1"/>
  <c r="T56" i="1"/>
  <c r="T96" i="1"/>
  <c r="T108" i="1"/>
  <c r="E15" i="1"/>
  <c r="E56" i="1"/>
  <c r="E96" i="1"/>
  <c r="E108" i="1"/>
  <c r="F15" i="1"/>
  <c r="F56" i="1"/>
  <c r="F96" i="1"/>
  <c r="F108" i="1"/>
  <c r="L15" i="1"/>
  <c r="L56" i="1"/>
  <c r="L96" i="1"/>
  <c r="L108" i="1"/>
  <c r="J15" i="1"/>
  <c r="J56" i="1"/>
  <c r="J108" i="1"/>
  <c r="D15" i="1"/>
  <c r="D108" i="1"/>
  <c r="G15" i="1"/>
  <c r="G56" i="1"/>
  <c r="G108" i="1"/>
  <c r="H15" i="1"/>
  <c r="H108" i="1"/>
  <c r="I15" i="1"/>
  <c r="I108" i="1"/>
  <c r="K15" i="1"/>
  <c r="K108" i="1"/>
  <c r="Q15" i="1"/>
  <c r="Q56" i="1"/>
  <c r="Q96" i="1"/>
  <c r="Q108" i="1"/>
  <c r="Q134" i="1"/>
  <c r="W95" i="3"/>
  <c r="Q183" i="3"/>
  <c r="Q190" i="3"/>
  <c r="R183" i="3"/>
  <c r="R190" i="3"/>
  <c r="Y15" i="4"/>
  <c r="I187" i="1"/>
  <c r="D183" i="3"/>
  <c r="G183" i="3"/>
  <c r="L190" i="3"/>
  <c r="G226" i="4"/>
  <c r="G242" i="4"/>
  <c r="H226" i="4"/>
  <c r="H242" i="4"/>
  <c r="I242" i="4"/>
  <c r="K226" i="4"/>
  <c r="K242" i="4"/>
  <c r="L226" i="4"/>
  <c r="L242" i="4"/>
  <c r="M226" i="4"/>
  <c r="M242" i="4"/>
  <c r="N242" i="4"/>
  <c r="N245" i="4" s="1"/>
  <c r="O242" i="4"/>
  <c r="P226" i="4"/>
  <c r="P242" i="4"/>
  <c r="Q226" i="4"/>
  <c r="Q242" i="4"/>
  <c r="V226" i="4"/>
  <c r="V242" i="4"/>
  <c r="W226" i="4"/>
  <c r="W242" i="4"/>
  <c r="L183" i="3"/>
  <c r="H183" i="3"/>
  <c r="H190" i="3"/>
  <c r="I183" i="3"/>
  <c r="I190" i="3"/>
  <c r="J183" i="3"/>
  <c r="J190" i="3"/>
  <c r="K183" i="3"/>
  <c r="K190" i="3"/>
  <c r="M183" i="3"/>
  <c r="M190" i="3"/>
  <c r="N183" i="3"/>
  <c r="S183" i="3"/>
  <c r="S190" i="3"/>
  <c r="T183" i="3"/>
  <c r="T190" i="3"/>
  <c r="G187" i="1"/>
  <c r="H187" i="1"/>
  <c r="J187" i="1"/>
  <c r="K152" i="1"/>
  <c r="K187" i="1"/>
  <c r="N152" i="1"/>
  <c r="Q187" i="1"/>
  <c r="R152" i="1"/>
  <c r="R187" i="1"/>
  <c r="T152" i="1"/>
  <c r="T187" i="1"/>
  <c r="P454" i="2"/>
  <c r="W454" i="2"/>
  <c r="W106" i="3"/>
  <c r="I492" i="3"/>
  <c r="I519" i="1"/>
  <c r="E158" i="4"/>
  <c r="F187" i="1"/>
  <c r="O238" i="2"/>
  <c r="N190" i="4"/>
  <c r="D158" i="4"/>
  <c r="F242" i="4"/>
  <c r="N167" i="4"/>
  <c r="E242" i="4"/>
  <c r="D133" i="4"/>
  <c r="O346" i="2"/>
  <c r="N159" i="2"/>
  <c r="T346" i="2"/>
  <c r="T238" i="2"/>
  <c r="O159" i="2"/>
  <c r="N454" i="2"/>
  <c r="I454" i="2"/>
  <c r="M134" i="1"/>
  <c r="E118" i="3"/>
  <c r="N125" i="3"/>
  <c r="X183" i="3"/>
  <c r="N190" i="3"/>
  <c r="E105" i="3"/>
  <c r="E190" i="3"/>
  <c r="X73" i="3"/>
  <c r="E183" i="3"/>
  <c r="Q152" i="1"/>
  <c r="N187" i="1"/>
  <c r="F152" i="1"/>
  <c r="M187" i="1"/>
  <c r="E134" i="1"/>
  <c r="L187" i="1"/>
  <c r="E187" i="1"/>
  <c r="S152" i="1"/>
  <c r="I226" i="4"/>
  <c r="I245" i="4" s="1"/>
  <c r="F226" i="4"/>
  <c r="T454" i="2"/>
  <c r="M454" i="2"/>
  <c r="G454" i="2"/>
  <c r="V238" i="2"/>
  <c r="X185" i="2"/>
  <c r="L116" i="4"/>
  <c r="D116" i="4"/>
  <c r="R60" i="4"/>
  <c r="D75" i="4"/>
  <c r="E116" i="4"/>
  <c r="F81" i="3"/>
  <c r="R101" i="4"/>
  <c r="Y101" i="4" s="1"/>
  <c r="F116" i="4"/>
  <c r="F120" i="4" s="1"/>
  <c r="R170" i="2"/>
  <c r="O65" i="1"/>
  <c r="O117" i="1"/>
  <c r="O136" i="1"/>
  <c r="K96" i="1"/>
  <c r="O126" i="1"/>
  <c r="W126" i="1" s="1"/>
  <c r="O129" i="1"/>
  <c r="L134" i="1"/>
  <c r="D134" i="1"/>
  <c r="I96" i="1"/>
  <c r="F134" i="1"/>
  <c r="O127" i="1"/>
  <c r="J134" i="1"/>
  <c r="I134" i="1"/>
  <c r="J96" i="1"/>
  <c r="H96" i="1"/>
  <c r="D96" i="1"/>
  <c r="O64" i="1"/>
  <c r="H134" i="1"/>
  <c r="O114" i="1"/>
  <c r="O111" i="1"/>
  <c r="E133" i="4"/>
  <c r="E148" i="4" s="1"/>
  <c r="R290" i="2"/>
  <c r="R340" i="2"/>
  <c r="R178" i="2"/>
  <c r="M346" i="2"/>
  <c r="R261" i="2"/>
  <c r="R281" i="2"/>
  <c r="R382" i="2"/>
  <c r="R376" i="2"/>
  <c r="R260" i="2"/>
  <c r="J346" i="2"/>
  <c r="R295" i="2"/>
  <c r="R312" i="2"/>
  <c r="M238" i="2"/>
  <c r="R164" i="2"/>
  <c r="R286" i="2"/>
  <c r="R341" i="2"/>
  <c r="R328" i="2"/>
  <c r="R330" i="2"/>
  <c r="R177" i="2"/>
  <c r="D159" i="2"/>
  <c r="Z238" i="2"/>
  <c r="R167" i="2"/>
  <c r="R176" i="2"/>
  <c r="R182" i="2"/>
  <c r="R279" i="2"/>
  <c r="R318" i="2"/>
  <c r="R320" i="2"/>
  <c r="R331" i="2"/>
  <c r="R383" i="2"/>
  <c r="J238" i="2"/>
  <c r="R171" i="2"/>
  <c r="Q238" i="2"/>
  <c r="R174" i="2"/>
  <c r="R280" i="2"/>
  <c r="R348" i="2"/>
  <c r="R374" i="2"/>
  <c r="R181" i="2"/>
  <c r="K238" i="2"/>
  <c r="K346" i="2"/>
  <c r="R268" i="2"/>
  <c r="R342" i="2"/>
  <c r="R120" i="2"/>
  <c r="L454" i="2"/>
  <c r="H238" i="2"/>
  <c r="R199" i="2"/>
  <c r="F238" i="2"/>
  <c r="R381" i="2"/>
  <c r="F368" i="2"/>
  <c r="K454" i="2"/>
  <c r="F346" i="2"/>
  <c r="L346" i="2"/>
  <c r="N346" i="2"/>
  <c r="E346" i="2"/>
  <c r="H346" i="2"/>
  <c r="Z346" i="2"/>
  <c r="R392" i="2"/>
  <c r="Y392" i="2" s="1"/>
  <c r="O454" i="2"/>
  <c r="R122" i="2"/>
  <c r="L238" i="2"/>
  <c r="R259" i="2"/>
  <c r="Y259" i="2" s="1"/>
  <c r="R299" i="2"/>
  <c r="R390" i="2"/>
  <c r="O160" i="1"/>
  <c r="E513" i="2"/>
  <c r="R468" i="2"/>
  <c r="R473" i="2"/>
  <c r="R478" i="2"/>
  <c r="O194" i="1"/>
  <c r="W194" i="1" s="1"/>
  <c r="O199" i="1"/>
  <c r="D218" i="1"/>
  <c r="R492" i="2"/>
  <c r="G513" i="2"/>
  <c r="R496" i="2"/>
  <c r="V513" i="2"/>
  <c r="R188" i="4"/>
  <c r="Y188" i="4" s="1"/>
  <c r="F105" i="3"/>
  <c r="H105" i="3"/>
  <c r="X139" i="3"/>
  <c r="F125" i="3"/>
  <c r="F128" i="3" s="1"/>
  <c r="O120" i="3"/>
  <c r="O142" i="3"/>
  <c r="R501" i="2"/>
  <c r="R506" i="2"/>
  <c r="M193" i="4"/>
  <c r="R183" i="4"/>
  <c r="R174" i="4"/>
  <c r="R186" i="4"/>
  <c r="Y186" i="4" s="1"/>
  <c r="E167" i="4"/>
  <c r="Y164" i="4"/>
  <c r="R182" i="4"/>
  <c r="L190" i="4"/>
  <c r="Y165" i="4"/>
  <c r="Y159" i="4"/>
  <c r="O100" i="3"/>
  <c r="W100" i="3" s="1"/>
  <c r="Y156" i="4"/>
  <c r="R102" i="2"/>
  <c r="D32" i="4"/>
  <c r="U35" i="1"/>
  <c r="O38" i="3"/>
  <c r="Y213" i="4"/>
  <c r="Y472" i="2"/>
  <c r="Y128" i="4"/>
  <c r="R38" i="4"/>
  <c r="L75" i="4"/>
  <c r="G109" i="2"/>
  <c r="R116" i="2"/>
  <c r="R140" i="2"/>
  <c r="R23" i="2"/>
  <c r="R81" i="2"/>
  <c r="J109" i="2"/>
  <c r="O18" i="1"/>
  <c r="D56" i="1"/>
  <c r="W169" i="1"/>
  <c r="D109" i="2"/>
  <c r="K109" i="2"/>
  <c r="R131" i="2"/>
  <c r="R22" i="2"/>
  <c r="R17" i="2"/>
  <c r="J159" i="2"/>
  <c r="F109" i="2"/>
  <c r="R105" i="2"/>
  <c r="F159" i="2"/>
  <c r="L109" i="2"/>
  <c r="Z109" i="2"/>
  <c r="V193" i="4" l="1"/>
  <c r="Y136" i="4"/>
  <c r="Y109" i="4"/>
  <c r="Y117" i="4"/>
  <c r="Y177" i="4"/>
  <c r="Y198" i="4"/>
  <c r="Y202" i="4"/>
  <c r="Y209" i="4"/>
  <c r="Y217" i="4"/>
  <c r="Y221" i="4"/>
  <c r="Y230" i="4"/>
  <c r="D193" i="4"/>
  <c r="F245" i="4"/>
  <c r="X193" i="3"/>
  <c r="W113" i="3"/>
  <c r="N128" i="3"/>
  <c r="E148" i="3"/>
  <c r="M148" i="3"/>
  <c r="S148" i="3"/>
  <c r="W114" i="3"/>
  <c r="X128" i="3"/>
  <c r="W115" i="3"/>
  <c r="U43" i="3"/>
  <c r="Y467" i="2"/>
  <c r="Y508" i="2"/>
  <c r="Y130" i="2"/>
  <c r="Y134" i="2"/>
  <c r="Y151" i="2"/>
  <c r="Y473" i="2"/>
  <c r="Y263" i="2"/>
  <c r="Y469" i="2"/>
  <c r="Y477" i="2"/>
  <c r="Y489" i="2"/>
  <c r="Y491" i="2"/>
  <c r="Y494" i="2"/>
  <c r="Y86" i="2"/>
  <c r="Y95" i="2"/>
  <c r="W211" i="1"/>
  <c r="W67" i="1"/>
  <c r="W124" i="1"/>
  <c r="W128" i="1"/>
  <c r="W111" i="1"/>
  <c r="W127" i="1"/>
  <c r="W121" i="1"/>
  <c r="W138" i="1"/>
  <c r="W76" i="1"/>
  <c r="W160" i="1"/>
  <c r="U96" i="1"/>
  <c r="W66" i="1"/>
  <c r="W201" i="1"/>
  <c r="U152" i="1"/>
  <c r="W183" i="1"/>
  <c r="W159" i="1"/>
  <c r="W206" i="1"/>
  <c r="W21" i="3"/>
  <c r="W170" i="1"/>
  <c r="W182" i="1"/>
  <c r="W64" i="1"/>
  <c r="W65" i="1"/>
  <c r="W130" i="1"/>
  <c r="W62" i="1"/>
  <c r="W196" i="1"/>
  <c r="W117" i="1"/>
  <c r="W174" i="1"/>
  <c r="W145" i="1"/>
  <c r="W146" i="1"/>
  <c r="W112" i="1"/>
  <c r="M57" i="1"/>
  <c r="M59" i="1" s="1"/>
  <c r="M60" i="1" s="1"/>
  <c r="W75" i="1"/>
  <c r="W97" i="1"/>
  <c r="W120" i="1"/>
  <c r="W118" i="1"/>
  <c r="W38" i="1"/>
  <c r="W68" i="1"/>
  <c r="W72" i="1"/>
  <c r="W197" i="1"/>
  <c r="W192" i="1"/>
  <c r="W210" i="1"/>
  <c r="W39" i="1"/>
  <c r="Y382" i="2"/>
  <c r="Y354" i="2"/>
  <c r="Y358" i="2"/>
  <c r="Y362" i="2"/>
  <c r="Y366" i="2"/>
  <c r="Y492" i="2"/>
  <c r="Y281" i="2"/>
  <c r="Y199" i="2"/>
  <c r="Y188" i="2"/>
  <c r="Y198" i="2"/>
  <c r="Y417" i="2"/>
  <c r="Y332" i="2"/>
  <c r="Y292" i="2"/>
  <c r="Y459" i="2"/>
  <c r="J113" i="2"/>
  <c r="J160" i="2" s="1"/>
  <c r="Y171" i="2"/>
  <c r="I113" i="2"/>
  <c r="I160" i="2" s="1"/>
  <c r="L113" i="2"/>
  <c r="Y212" i="2"/>
  <c r="Y216" i="2"/>
  <c r="Y220" i="2"/>
  <c r="Y224" i="2"/>
  <c r="Y228" i="2"/>
  <c r="Y236" i="2"/>
  <c r="Y445" i="2"/>
  <c r="Y449" i="2"/>
  <c r="Y343" i="2"/>
  <c r="Y339" i="2"/>
  <c r="Y374" i="2"/>
  <c r="Y353" i="2"/>
  <c r="Y357" i="2"/>
  <c r="Y361" i="2"/>
  <c r="Y365" i="2"/>
  <c r="Y451" i="2"/>
  <c r="Y197" i="2"/>
  <c r="Y165" i="2"/>
  <c r="Y183" i="2"/>
  <c r="Y179" i="2"/>
  <c r="Y270" i="2"/>
  <c r="Y323" i="2"/>
  <c r="Y333" i="2"/>
  <c r="Y340" i="2"/>
  <c r="Y474" i="2"/>
  <c r="Y486" i="2"/>
  <c r="Y458" i="2"/>
  <c r="Y69" i="4"/>
  <c r="Y45" i="4"/>
  <c r="Y29" i="4"/>
  <c r="O43" i="3"/>
  <c r="W34" i="1"/>
  <c r="W54" i="1"/>
  <c r="W53" i="1"/>
  <c r="W41" i="1"/>
  <c r="Y84" i="2"/>
  <c r="W35" i="1"/>
  <c r="P113" i="2"/>
  <c r="P160" i="2" s="1"/>
  <c r="Y43" i="2"/>
  <c r="Y124" i="2"/>
  <c r="W150" i="3"/>
  <c r="W154" i="3"/>
  <c r="W164" i="3"/>
  <c r="J108" i="3"/>
  <c r="W57" i="3"/>
  <c r="W65" i="3"/>
  <c r="W83" i="3"/>
  <c r="W155" i="3"/>
  <c r="X85" i="3"/>
  <c r="S128" i="3"/>
  <c r="W178" i="3"/>
  <c r="W188" i="3"/>
  <c r="I193" i="3"/>
  <c r="Q85" i="3"/>
  <c r="W61" i="3"/>
  <c r="W98" i="3"/>
  <c r="W151" i="3"/>
  <c r="W165" i="3"/>
  <c r="D108" i="3"/>
  <c r="W112" i="3"/>
  <c r="U118" i="3"/>
  <c r="Y183" i="4"/>
  <c r="Y108" i="4"/>
  <c r="Y112" i="4"/>
  <c r="D148" i="4"/>
  <c r="J193" i="4"/>
  <c r="Y197" i="4"/>
  <c r="Y201" i="4"/>
  <c r="Y206" i="4"/>
  <c r="Y212" i="4"/>
  <c r="Y216" i="4"/>
  <c r="Y220" i="4"/>
  <c r="Y224" i="4"/>
  <c r="Y102" i="4"/>
  <c r="K120" i="4"/>
  <c r="H120" i="4"/>
  <c r="V170" i="4"/>
  <c r="V120" i="4"/>
  <c r="Y232" i="4"/>
  <c r="Y236" i="4"/>
  <c r="F85" i="3"/>
  <c r="W111" i="3"/>
  <c r="W152" i="3"/>
  <c r="W156" i="3"/>
  <c r="D193" i="3"/>
  <c r="W170" i="3"/>
  <c r="W174" i="3"/>
  <c r="U81" i="3"/>
  <c r="U96" i="3"/>
  <c r="W99" i="3"/>
  <c r="U125" i="3"/>
  <c r="W132" i="3"/>
  <c r="U158" i="3"/>
  <c r="W176" i="3"/>
  <c r="W180" i="3"/>
  <c r="U190" i="3"/>
  <c r="X108" i="3"/>
  <c r="Q193" i="3"/>
  <c r="W56" i="3"/>
  <c r="W64" i="3"/>
  <c r="W68" i="3"/>
  <c r="W77" i="3"/>
  <c r="W90" i="3"/>
  <c r="W122" i="3"/>
  <c r="W134" i="3"/>
  <c r="Y381" i="2"/>
  <c r="Y177" i="2"/>
  <c r="Y210" i="2"/>
  <c r="Y180" i="2"/>
  <c r="Y278" i="2"/>
  <c r="Y341" i="2"/>
  <c r="Y415" i="2"/>
  <c r="Y435" i="2"/>
  <c r="Y73" i="2"/>
  <c r="Y304" i="2"/>
  <c r="X513" i="2"/>
  <c r="X454" i="2"/>
  <c r="Y296" i="2"/>
  <c r="Y319" i="2"/>
  <c r="Y174" i="2"/>
  <c r="W33" i="1"/>
  <c r="W22" i="1"/>
  <c r="W18" i="1"/>
  <c r="Y178" i="2"/>
  <c r="X238" i="2"/>
  <c r="Y390" i="2"/>
  <c r="Y280" i="2"/>
  <c r="Y318" i="2"/>
  <c r="Y167" i="2"/>
  <c r="Y185" i="2"/>
  <c r="Y202" i="2"/>
  <c r="Y206" i="2"/>
  <c r="Y163" i="2"/>
  <c r="Y306" i="2"/>
  <c r="Y302" i="2"/>
  <c r="Y298" i="2"/>
  <c r="Y308" i="2"/>
  <c r="Y311" i="2"/>
  <c r="Y295" i="2"/>
  <c r="Y170" i="2"/>
  <c r="Y209" i="2"/>
  <c r="T113" i="2"/>
  <c r="T160" i="2" s="1"/>
  <c r="Z113" i="2"/>
  <c r="Z160" i="2" s="1"/>
  <c r="Y299" i="2"/>
  <c r="Y290" i="2"/>
  <c r="Y230" i="2"/>
  <c r="Y395" i="2"/>
  <c r="Y403" i="2"/>
  <c r="Y407" i="2"/>
  <c r="Y411" i="2"/>
  <c r="Y419" i="2"/>
  <c r="Y423" i="2"/>
  <c r="Y427" i="2"/>
  <c r="Y431" i="2"/>
  <c r="Y439" i="2"/>
  <c r="Y443" i="2"/>
  <c r="Y128" i="2"/>
  <c r="Y133" i="2"/>
  <c r="Y204" i="2"/>
  <c r="Y400" i="2"/>
  <c r="Y429" i="2"/>
  <c r="Y289" i="2"/>
  <c r="Y305" i="2"/>
  <c r="Y322" i="2"/>
  <c r="Y338" i="2"/>
  <c r="Y481" i="2"/>
  <c r="Y79" i="2"/>
  <c r="Y103" i="2"/>
  <c r="Y64" i="2"/>
  <c r="Y320" i="2"/>
  <c r="Y496" i="2"/>
  <c r="Y164" i="2"/>
  <c r="Y232" i="2"/>
  <c r="Y245" i="2"/>
  <c r="Y425" i="2"/>
  <c r="Y257" i="2"/>
  <c r="Y348" i="2"/>
  <c r="Y464" i="2"/>
  <c r="Y383" i="2"/>
  <c r="Y279" i="2"/>
  <c r="Y328" i="2"/>
  <c r="Y260" i="2"/>
  <c r="Y261" i="2"/>
  <c r="Y229" i="2"/>
  <c r="Y359" i="2"/>
  <c r="Y367" i="2"/>
  <c r="Y414" i="2"/>
  <c r="Y418" i="2"/>
  <c r="Y422" i="2"/>
  <c r="Y426" i="2"/>
  <c r="Y430" i="2"/>
  <c r="Y438" i="2"/>
  <c r="Y442" i="2"/>
  <c r="Y446" i="2"/>
  <c r="Y222" i="2"/>
  <c r="Y284" i="2"/>
  <c r="Y262" i="2"/>
  <c r="Y274" i="2"/>
  <c r="Y277" i="2"/>
  <c r="Y283" i="2"/>
  <c r="Y293" i="2"/>
  <c r="Y324" i="2"/>
  <c r="Y335" i="2"/>
  <c r="Y327" i="2"/>
  <c r="Y326" i="2"/>
  <c r="Y396" i="2"/>
  <c r="Y397" i="2"/>
  <c r="Y505" i="2"/>
  <c r="Y241" i="2"/>
  <c r="Y393" i="2"/>
  <c r="Y413" i="2"/>
  <c r="Y275" i="2"/>
  <c r="Y388" i="2"/>
  <c r="Y468" i="2"/>
  <c r="Y331" i="2"/>
  <c r="Y312" i="2"/>
  <c r="Y196" i="2"/>
  <c r="Y208" i="2"/>
  <c r="Y356" i="2"/>
  <c r="Y360" i="2"/>
  <c r="Y364" i="2"/>
  <c r="Y370" i="2"/>
  <c r="Y378" i="2"/>
  <c r="Y168" i="2"/>
  <c r="Y175" i="2"/>
  <c r="Y189" i="2"/>
  <c r="Y192" i="2"/>
  <c r="Y184" i="2"/>
  <c r="Y264" i="2"/>
  <c r="Y337" i="2"/>
  <c r="Y398" i="2"/>
  <c r="Y401" i="2"/>
  <c r="Y476" i="2"/>
  <c r="Y488" i="2"/>
  <c r="Y501" i="2"/>
  <c r="Y461" i="2"/>
  <c r="U183" i="3"/>
  <c r="K193" i="3"/>
  <c r="L108" i="3"/>
  <c r="J128" i="3"/>
  <c r="Q46" i="3"/>
  <c r="Q52" i="3" s="1"/>
  <c r="Q53" i="3" s="1"/>
  <c r="Q86" i="3" s="1"/>
  <c r="Q87" i="3" s="1"/>
  <c r="W67" i="3"/>
  <c r="W89" i="3"/>
  <c r="U145" i="3"/>
  <c r="O183" i="3"/>
  <c r="T193" i="3"/>
  <c r="R85" i="3"/>
  <c r="W27" i="3"/>
  <c r="M193" i="3"/>
  <c r="T85" i="3"/>
  <c r="S108" i="3"/>
  <c r="M108" i="3"/>
  <c r="F148" i="3"/>
  <c r="H108" i="3"/>
  <c r="W50" i="3"/>
  <c r="W62" i="3"/>
  <c r="E128" i="3"/>
  <c r="J193" i="3"/>
  <c r="R108" i="3"/>
  <c r="O118" i="3"/>
  <c r="L148" i="3"/>
  <c r="R148" i="3"/>
  <c r="D148" i="3"/>
  <c r="J148" i="3"/>
  <c r="F193" i="3"/>
  <c r="W55" i="3"/>
  <c r="W59" i="3"/>
  <c r="W63" i="3"/>
  <c r="E108" i="3"/>
  <c r="W58" i="3"/>
  <c r="O158" i="3"/>
  <c r="W120" i="3"/>
  <c r="F108" i="3"/>
  <c r="S193" i="3"/>
  <c r="G193" i="3"/>
  <c r="W66" i="3"/>
  <c r="O190" i="3"/>
  <c r="U73" i="3"/>
  <c r="W141" i="3"/>
  <c r="O81" i="3"/>
  <c r="N193" i="3"/>
  <c r="L193" i="3"/>
  <c r="T108" i="3"/>
  <c r="K108" i="3"/>
  <c r="J85" i="3"/>
  <c r="G128" i="3"/>
  <c r="N148" i="3"/>
  <c r="T148" i="3"/>
  <c r="W88" i="3"/>
  <c r="W172" i="3"/>
  <c r="W101" i="3"/>
  <c r="W185" i="3"/>
  <c r="U105" i="3"/>
  <c r="E193" i="3"/>
  <c r="Q108" i="3"/>
  <c r="Q109" i="3" s="1"/>
  <c r="Q110" i="3" s="1"/>
  <c r="N108" i="3"/>
  <c r="L85" i="3"/>
  <c r="I85" i="3"/>
  <c r="H148" i="3"/>
  <c r="K148" i="3"/>
  <c r="W76" i="3"/>
  <c r="W166" i="3"/>
  <c r="W173" i="3"/>
  <c r="W177" i="3"/>
  <c r="M245" i="4"/>
  <c r="X190" i="4"/>
  <c r="U148" i="4"/>
  <c r="U170" i="4"/>
  <c r="U193" i="4"/>
  <c r="Y175" i="4"/>
  <c r="Y196" i="4"/>
  <c r="Y200" i="4"/>
  <c r="Y215" i="4"/>
  <c r="Y219" i="4"/>
  <c r="Y223" i="4"/>
  <c r="Y187" i="4"/>
  <c r="L245" i="4"/>
  <c r="T120" i="4"/>
  <c r="T193" i="4"/>
  <c r="Y143" i="4"/>
  <c r="G193" i="4"/>
  <c r="F148" i="4"/>
  <c r="N193" i="4"/>
  <c r="O245" i="4"/>
  <c r="Y44" i="4"/>
  <c r="Y60" i="4"/>
  <c r="Y18" i="2"/>
  <c r="L160" i="2"/>
  <c r="Y153" i="2"/>
  <c r="Y268" i="2"/>
  <c r="Y330" i="2"/>
  <c r="Y286" i="2"/>
  <c r="Y376" i="2"/>
  <c r="X346" i="2"/>
  <c r="Y214" i="2"/>
  <c r="Y181" i="2"/>
  <c r="Y194" i="2"/>
  <c r="Y190" i="2"/>
  <c r="Y265" i="2"/>
  <c r="Y288" i="2"/>
  <c r="Y342" i="2"/>
  <c r="Y377" i="2"/>
  <c r="Y375" i="2"/>
  <c r="Y465" i="2"/>
  <c r="Y482" i="2"/>
  <c r="Y484" i="2"/>
  <c r="Y511" i="2"/>
  <c r="Y475" i="2"/>
  <c r="Y478" i="2"/>
  <c r="Y218" i="2"/>
  <c r="Y450" i="2"/>
  <c r="Y256" i="2"/>
  <c r="Y269" i="2"/>
  <c r="Y325" i="2"/>
  <c r="R247" i="2"/>
  <c r="Y506" i="2"/>
  <c r="R513" i="2"/>
  <c r="R346" i="2"/>
  <c r="R454" i="2"/>
  <c r="Y226" i="2"/>
  <c r="Y394" i="2"/>
  <c r="Y402" i="2"/>
  <c r="Y406" i="2"/>
  <c r="Y410" i="2"/>
  <c r="Y201" i="2"/>
  <c r="Y205" i="2"/>
  <c r="Y225" i="2"/>
  <c r="Y233" i="2"/>
  <c r="Y237" i="2"/>
  <c r="Y242" i="2"/>
  <c r="Y246" i="2"/>
  <c r="Y363" i="2"/>
  <c r="Y437" i="2"/>
  <c r="Y173" i="2"/>
  <c r="Y169" i="2"/>
  <c r="Y253" i="2"/>
  <c r="Y267" i="2"/>
  <c r="Y310" i="2"/>
  <c r="Y300" i="2"/>
  <c r="Y313" i="2"/>
  <c r="Y334" i="2"/>
  <c r="Y466" i="2"/>
  <c r="Y471" i="2"/>
  <c r="Y483" i="2"/>
  <c r="Y498" i="2"/>
  <c r="Y503" i="2"/>
  <c r="Y510" i="2"/>
  <c r="O134" i="1"/>
  <c r="W73" i="1"/>
  <c r="W172" i="1"/>
  <c r="W125" i="1"/>
  <c r="W69" i="1"/>
  <c r="W176" i="1"/>
  <c r="W122" i="1"/>
  <c r="W114" i="1"/>
  <c r="W136" i="1"/>
  <c r="W77" i="1"/>
  <c r="W81" i="1"/>
  <c r="W93" i="1"/>
  <c r="W103" i="1"/>
  <c r="W142" i="1"/>
  <c r="W150" i="1"/>
  <c r="W166" i="1"/>
  <c r="U108" i="1"/>
  <c r="W63" i="1"/>
  <c r="W123" i="1"/>
  <c r="W129" i="1"/>
  <c r="W82" i="1"/>
  <c r="W86" i="1"/>
  <c r="W90" i="1"/>
  <c r="W94" i="1"/>
  <c r="W100" i="1"/>
  <c r="W104" i="1"/>
  <c r="W171" i="1"/>
  <c r="W175" i="1"/>
  <c r="W179" i="1"/>
  <c r="W92" i="1"/>
  <c r="W106" i="1"/>
  <c r="O96" i="1"/>
  <c r="W79" i="1"/>
  <c r="W91" i="1"/>
  <c r="W80" i="1"/>
  <c r="W84" i="1"/>
  <c r="W88" i="1"/>
  <c r="W98" i="1"/>
  <c r="W102" i="1"/>
  <c r="W158" i="1"/>
  <c r="W164" i="1"/>
  <c r="W168" i="1"/>
  <c r="W185" i="1"/>
  <c r="W144" i="1"/>
  <c r="W195" i="1"/>
  <c r="W191" i="1"/>
  <c r="W83" i="1"/>
  <c r="W87" i="1"/>
  <c r="W101" i="1"/>
  <c r="O152" i="1"/>
  <c r="W152" i="1" s="1"/>
  <c r="W199" i="1"/>
  <c r="W173" i="1"/>
  <c r="W177" i="1"/>
  <c r="W143" i="1"/>
  <c r="W115" i="1"/>
  <c r="W204" i="1"/>
  <c r="W208" i="1"/>
  <c r="W212" i="1"/>
  <c r="Y97" i="2"/>
  <c r="Y58" i="2"/>
  <c r="Y82" i="4"/>
  <c r="Y86" i="4"/>
  <c r="Y90" i="4"/>
  <c r="Y80" i="4"/>
  <c r="Y26" i="4"/>
  <c r="Y43" i="4"/>
  <c r="Y30" i="4"/>
  <c r="W113" i="2"/>
  <c r="Y100" i="2"/>
  <c r="Y80" i="2"/>
  <c r="K57" i="1"/>
  <c r="K59" i="1" s="1"/>
  <c r="K60" i="1" s="1"/>
  <c r="K109" i="1" s="1"/>
  <c r="K110" i="1" s="1"/>
  <c r="K156" i="1" s="1"/>
  <c r="K157" i="1" s="1"/>
  <c r="K188" i="1" s="1"/>
  <c r="K189" i="1" s="1"/>
  <c r="K219" i="1" s="1"/>
  <c r="K223" i="1" s="1"/>
  <c r="T57" i="1"/>
  <c r="T59" i="1" s="1"/>
  <c r="T60" i="1" s="1"/>
  <c r="T109" i="1" s="1"/>
  <c r="T110" i="1" s="1"/>
  <c r="W42" i="1"/>
  <c r="Q57" i="1"/>
  <c r="Q59" i="1" s="1"/>
  <c r="Q60" i="1" s="1"/>
  <c r="Q109" i="1" s="1"/>
  <c r="Q110" i="1" s="1"/>
  <c r="Q156" i="1" s="1"/>
  <c r="Q157" i="1" s="1"/>
  <c r="Q188" i="1" s="1"/>
  <c r="Q189" i="1" s="1"/>
  <c r="Q219" i="1" s="1"/>
  <c r="Q223" i="1" s="1"/>
  <c r="W31" i="1"/>
  <c r="W28" i="1"/>
  <c r="Y125" i="2"/>
  <c r="Y123" i="2"/>
  <c r="X242" i="4"/>
  <c r="K245" i="4"/>
  <c r="J148" i="4"/>
  <c r="Y231" i="4"/>
  <c r="N55" i="4"/>
  <c r="N77" i="4" s="1"/>
  <c r="N78" i="4" s="1"/>
  <c r="Y182" i="4"/>
  <c r="Y174" i="4"/>
  <c r="D120" i="4"/>
  <c r="W170" i="4"/>
  <c r="W120" i="4"/>
  <c r="V148" i="4"/>
  <c r="Q170" i="4"/>
  <c r="Q120" i="4"/>
  <c r="D170" i="4"/>
  <c r="H193" i="4"/>
  <c r="L193" i="4"/>
  <c r="E193" i="4"/>
  <c r="Y135" i="4"/>
  <c r="Y153" i="4"/>
  <c r="Y228" i="4"/>
  <c r="Y235" i="4"/>
  <c r="Y61" i="4"/>
  <c r="Y237" i="4"/>
  <c r="M120" i="4"/>
  <c r="R116" i="4"/>
  <c r="Y116" i="4" s="1"/>
  <c r="R98" i="4"/>
  <c r="Y127" i="4"/>
  <c r="X98" i="4"/>
  <c r="U120" i="4"/>
  <c r="X120" i="4" s="1"/>
  <c r="N170" i="4"/>
  <c r="N120" i="4"/>
  <c r="P193" i="4"/>
  <c r="Y126" i="4"/>
  <c r="Y142" i="4"/>
  <c r="O148" i="4"/>
  <c r="M148" i="4"/>
  <c r="K148" i="4"/>
  <c r="G148" i="4"/>
  <c r="P120" i="4"/>
  <c r="G51" i="4"/>
  <c r="G55" i="4" s="1"/>
  <c r="G77" i="4" s="1"/>
  <c r="G78" i="4" s="1"/>
  <c r="I193" i="4"/>
  <c r="T245" i="4"/>
  <c r="J245" i="4"/>
  <c r="Y56" i="4"/>
  <c r="Y154" i="4"/>
  <c r="Y178" i="4"/>
  <c r="Y240" i="4"/>
  <c r="Y184" i="4"/>
  <c r="Y89" i="4"/>
  <c r="Y46" i="4"/>
  <c r="Y57" i="4"/>
  <c r="Y81" i="4"/>
  <c r="Y85" i="4"/>
  <c r="W245" i="4"/>
  <c r="Q245" i="4"/>
  <c r="G245" i="4"/>
  <c r="R203" i="4"/>
  <c r="O120" i="4"/>
  <c r="I120" i="4"/>
  <c r="W148" i="4"/>
  <c r="Q148" i="4"/>
  <c r="X133" i="4"/>
  <c r="X158" i="4"/>
  <c r="U245" i="4"/>
  <c r="Y83" i="4"/>
  <c r="Y87" i="4"/>
  <c r="Y105" i="4"/>
  <c r="Y229" i="4"/>
  <c r="Y110" i="4"/>
  <c r="Y118" i="4"/>
  <c r="Y243" i="4"/>
  <c r="Y104" i="4"/>
  <c r="E170" i="4"/>
  <c r="P245" i="4"/>
  <c r="I170" i="4"/>
  <c r="O170" i="4"/>
  <c r="X203" i="4"/>
  <c r="O193" i="4"/>
  <c r="Y161" i="4"/>
  <c r="Y62" i="4"/>
  <c r="J170" i="4"/>
  <c r="N148" i="4"/>
  <c r="R146" i="4"/>
  <c r="H148" i="4"/>
  <c r="Y241" i="4"/>
  <c r="R190" i="4"/>
  <c r="L170" i="4"/>
  <c r="P148" i="4"/>
  <c r="G120" i="4"/>
  <c r="Y152" i="4"/>
  <c r="Y227" i="4"/>
  <c r="Y234" i="4"/>
  <c r="Y100" i="4"/>
  <c r="Y124" i="4"/>
  <c r="K51" i="4"/>
  <c r="K55" i="4" s="1"/>
  <c r="K77" i="4" s="1"/>
  <c r="K78" i="4" s="1"/>
  <c r="K121" i="4" s="1"/>
  <c r="K122" i="4" s="1"/>
  <c r="L148" i="4"/>
  <c r="T170" i="4"/>
  <c r="R167" i="4"/>
  <c r="R133" i="4"/>
  <c r="E120" i="4"/>
  <c r="L120" i="4"/>
  <c r="V245" i="4"/>
  <c r="H245" i="4"/>
  <c r="H170" i="4"/>
  <c r="H51" i="4"/>
  <c r="H55" i="4" s="1"/>
  <c r="H77" i="4" s="1"/>
  <c r="H78" i="4" s="1"/>
  <c r="T148" i="4"/>
  <c r="Y238" i="4"/>
  <c r="Y103" i="4"/>
  <c r="Y125" i="4"/>
  <c r="T51" i="4"/>
  <c r="T55" i="4" s="1"/>
  <c r="T77" i="4" s="1"/>
  <c r="T78" i="4" s="1"/>
  <c r="X180" i="4"/>
  <c r="R158" i="4"/>
  <c r="I148" i="4"/>
  <c r="X16" i="4"/>
  <c r="X146" i="4"/>
  <c r="X75" i="4"/>
  <c r="Q193" i="4"/>
  <c r="D245" i="4"/>
  <c r="Y205" i="4"/>
  <c r="Y211" i="4"/>
  <c r="Y138" i="4"/>
  <c r="F193" i="4"/>
  <c r="K46" i="3"/>
  <c r="K52" i="3" s="1"/>
  <c r="K53" i="3" s="1"/>
  <c r="J46" i="3"/>
  <c r="J52" i="3" s="1"/>
  <c r="J53" i="3" s="1"/>
  <c r="D57" i="1"/>
  <c r="D59" i="1" s="1"/>
  <c r="D60" i="1" s="1"/>
  <c r="D109" i="1" s="1"/>
  <c r="D110" i="1" s="1"/>
  <c r="D156" i="1" s="1"/>
  <c r="D157" i="1" s="1"/>
  <c r="D188" i="1" s="1"/>
  <c r="D189" i="1" s="1"/>
  <c r="D219" i="1" s="1"/>
  <c r="D223" i="1" s="1"/>
  <c r="O125" i="3"/>
  <c r="O105" i="3"/>
  <c r="H193" i="3"/>
  <c r="R193" i="3"/>
  <c r="Q128" i="3"/>
  <c r="N85" i="3"/>
  <c r="K128" i="3"/>
  <c r="H85" i="3"/>
  <c r="G148" i="3"/>
  <c r="O139" i="3"/>
  <c r="W75" i="3"/>
  <c r="T128" i="3"/>
  <c r="S85" i="3"/>
  <c r="R128" i="3"/>
  <c r="M128" i="3"/>
  <c r="M85" i="3"/>
  <c r="K85" i="3"/>
  <c r="G85" i="3"/>
  <c r="E85" i="3"/>
  <c r="Q148" i="3"/>
  <c r="X148" i="3"/>
  <c r="W136" i="3"/>
  <c r="W60" i="3"/>
  <c r="W92" i="3"/>
  <c r="W13" i="3"/>
  <c r="W15" i="3" s="1"/>
  <c r="L128" i="3"/>
  <c r="I108" i="3"/>
  <c r="D128" i="3"/>
  <c r="D85" i="3"/>
  <c r="I148" i="3"/>
  <c r="W121" i="3"/>
  <c r="W133" i="3"/>
  <c r="W168" i="3"/>
  <c r="W181" i="3"/>
  <c r="W187" i="3"/>
  <c r="R46" i="3"/>
  <c r="R52" i="3" s="1"/>
  <c r="R53" i="3" s="1"/>
  <c r="W123" i="3"/>
  <c r="S45" i="3"/>
  <c r="S46" i="3" s="1"/>
  <c r="S52" i="3" s="1"/>
  <c r="S53" i="3" s="1"/>
  <c r="M46" i="3"/>
  <c r="M52" i="3" s="1"/>
  <c r="M53" i="3" s="1"/>
  <c r="E46" i="3"/>
  <c r="E52" i="3" s="1"/>
  <c r="E53" i="3" s="1"/>
  <c r="T45" i="3"/>
  <c r="T46" i="3" s="1"/>
  <c r="T52" i="3" s="1"/>
  <c r="T53" i="3" s="1"/>
  <c r="N46" i="3"/>
  <c r="N52" i="3" s="1"/>
  <c r="N53" i="3" s="1"/>
  <c r="F46" i="3"/>
  <c r="F52" i="3" s="1"/>
  <c r="F53" i="3" s="1"/>
  <c r="F86" i="3" s="1"/>
  <c r="F87" i="3" s="1"/>
  <c r="I46" i="3"/>
  <c r="I52" i="3" s="1"/>
  <c r="I53" i="3" s="1"/>
  <c r="W41" i="3"/>
  <c r="W37" i="1"/>
  <c r="Y111" i="2"/>
  <c r="Y83" i="2"/>
  <c r="Y88" i="2"/>
  <c r="Y104" i="2"/>
  <c r="Y99" i="2"/>
  <c r="Y105" i="2"/>
  <c r="O113" i="2"/>
  <c r="H113" i="2"/>
  <c r="Y142" i="2"/>
  <c r="Y75" i="2"/>
  <c r="Y20" i="2"/>
  <c r="Y67" i="2"/>
  <c r="Y33" i="2"/>
  <c r="Y81" i="2"/>
  <c r="Y102" i="2"/>
  <c r="Y136" i="2"/>
  <c r="Y120" i="2"/>
  <c r="W48" i="3"/>
  <c r="Y84" i="4"/>
  <c r="Y88" i="4"/>
  <c r="Y41" i="4"/>
  <c r="W38" i="3"/>
  <c r="Y91" i="4"/>
  <c r="Y92" i="4"/>
  <c r="Y25" i="4"/>
  <c r="Y38" i="4"/>
  <c r="Y39" i="4"/>
  <c r="Y58" i="4"/>
  <c r="Y17" i="4"/>
  <c r="Y28" i="4"/>
  <c r="Y24" i="4"/>
  <c r="Y72" i="4"/>
  <c r="Y37" i="4"/>
  <c r="Y93" i="4"/>
  <c r="Y27" i="4"/>
  <c r="Y23" i="4"/>
  <c r="Y34" i="4"/>
  <c r="Y73" i="4"/>
  <c r="Y59" i="4"/>
  <c r="Y94" i="4"/>
  <c r="O30" i="3"/>
  <c r="J55" i="4"/>
  <c r="J77" i="4" s="1"/>
  <c r="J78" i="4" s="1"/>
  <c r="J121" i="4" s="1"/>
  <c r="J122" i="4" s="1"/>
  <c r="X49" i="4"/>
  <c r="Q51" i="4"/>
  <c r="Q55" i="4" s="1"/>
  <c r="Q77" i="4" s="1"/>
  <c r="Q78" i="4" s="1"/>
  <c r="Y40" i="4"/>
  <c r="Y32" i="2"/>
  <c r="Y68" i="2"/>
  <c r="G57" i="1"/>
  <c r="G59" i="1" s="1"/>
  <c r="G60" i="1" s="1"/>
  <c r="G109" i="1" s="1"/>
  <c r="G110" i="1" s="1"/>
  <c r="G156" i="1" s="1"/>
  <c r="G157" i="1" s="1"/>
  <c r="G188" i="1" s="1"/>
  <c r="G189" i="1" s="1"/>
  <c r="G219" i="1" s="1"/>
  <c r="G223" i="1" s="1"/>
  <c r="J57" i="1"/>
  <c r="J59" i="1" s="1"/>
  <c r="J60" i="1" s="1"/>
  <c r="J109" i="1" s="1"/>
  <c r="J110" i="1" s="1"/>
  <c r="J156" i="1" s="1"/>
  <c r="J157" i="1" s="1"/>
  <c r="J188" i="1" s="1"/>
  <c r="J189" i="1" s="1"/>
  <c r="J219" i="1" s="1"/>
  <c r="J223" i="1" s="1"/>
  <c r="E57" i="1"/>
  <c r="E59" i="1" s="1"/>
  <c r="E60" i="1" s="1"/>
  <c r="E109" i="1" s="1"/>
  <c r="E110" i="1" s="1"/>
  <c r="E156" i="1" s="1"/>
  <c r="E157" i="1" s="1"/>
  <c r="E188" i="1" s="1"/>
  <c r="E189" i="1" s="1"/>
  <c r="E219" i="1" s="1"/>
  <c r="E223" i="1" s="1"/>
  <c r="W70" i="1"/>
  <c r="W74" i="1"/>
  <c r="W85" i="1"/>
  <c r="W89" i="1"/>
  <c r="W27" i="1"/>
  <c r="S156" i="1"/>
  <c r="S157" i="1" s="1"/>
  <c r="W78" i="1"/>
  <c r="W99" i="1"/>
  <c r="W105" i="1"/>
  <c r="W139" i="1"/>
  <c r="W147" i="1"/>
  <c r="W180" i="1"/>
  <c r="U134" i="1"/>
  <c r="W181" i="1"/>
  <c r="W193" i="1"/>
  <c r="M109" i="1"/>
  <c r="M110" i="1" s="1"/>
  <c r="M156" i="1" s="1"/>
  <c r="M157" i="1" s="1"/>
  <c r="M188" i="1" s="1"/>
  <c r="M189" i="1" s="1"/>
  <c r="M219" i="1" s="1"/>
  <c r="M223" i="1" s="1"/>
  <c r="W154" i="1"/>
  <c r="W163" i="1"/>
  <c r="W167" i="1"/>
  <c r="O218" i="1"/>
  <c r="W214" i="1"/>
  <c r="R57" i="1"/>
  <c r="R59" i="1" s="1"/>
  <c r="R60" i="1" s="1"/>
  <c r="R109" i="1" s="1"/>
  <c r="R110" i="1" s="1"/>
  <c r="R156" i="1" s="1"/>
  <c r="R157" i="1" s="1"/>
  <c r="R188" i="1" s="1"/>
  <c r="R189" i="1" s="1"/>
  <c r="R219" i="1" s="1"/>
  <c r="R223" i="1" s="1"/>
  <c r="U56" i="1"/>
  <c r="U57" i="1" s="1"/>
  <c r="U59" i="1" s="1"/>
  <c r="U60" i="1" s="1"/>
  <c r="Y387" i="2"/>
  <c r="Y119" i="2"/>
  <c r="R368" i="2"/>
  <c r="Y182" i="2"/>
  <c r="X247" i="2"/>
  <c r="Y213" i="2"/>
  <c r="Y421" i="2"/>
  <c r="Y162" i="2"/>
  <c r="Y243" i="2"/>
  <c r="Y166" i="2"/>
  <c r="Y172" i="2"/>
  <c r="Y193" i="2"/>
  <c r="Y200" i="2"/>
  <c r="Y287" i="2"/>
  <c r="Y294" i="2"/>
  <c r="Y317" i="2"/>
  <c r="Y336" i="2"/>
  <c r="Y329" i="2"/>
  <c r="Y384" i="2"/>
  <c r="Y490" i="2"/>
  <c r="Y495" i="2"/>
  <c r="Y470" i="2"/>
  <c r="Y65" i="2"/>
  <c r="Y96" i="2"/>
  <c r="Y176" i="2"/>
  <c r="Y355" i="2"/>
  <c r="Y405" i="2"/>
  <c r="Y409" i="2"/>
  <c r="Y440" i="2"/>
  <c r="Y452" i="2"/>
  <c r="Y121" i="2"/>
  <c r="Y131" i="2"/>
  <c r="Y135" i="2"/>
  <c r="Y271" i="2"/>
  <c r="Y301" i="2"/>
  <c r="Y297" i="2"/>
  <c r="Y316" i="2"/>
  <c r="Y314" i="2"/>
  <c r="Y385" i="2"/>
  <c r="Y389" i="2"/>
  <c r="Y497" i="2"/>
  <c r="Y66" i="2"/>
  <c r="Y48" i="2"/>
  <c r="Y85" i="2"/>
  <c r="Y94" i="2"/>
  <c r="Y98" i="2"/>
  <c r="G113" i="2"/>
  <c r="Y217" i="2"/>
  <c r="Y221" i="2"/>
  <c r="Y433" i="2"/>
  <c r="Y55" i="2"/>
  <c r="Y140" i="2"/>
  <c r="Y399" i="2"/>
  <c r="Y186" i="2"/>
  <c r="Y191" i="2"/>
  <c r="Y252" i="2"/>
  <c r="Y255" i="2"/>
  <c r="Y258" i="2"/>
  <c r="Y272" i="2"/>
  <c r="Y315" i="2"/>
  <c r="Y321" i="2"/>
  <c r="Y479" i="2"/>
  <c r="Y485" i="2"/>
  <c r="Y502" i="2"/>
  <c r="Y507" i="2"/>
  <c r="Y462" i="2"/>
  <c r="Y457" i="2"/>
  <c r="Y36" i="2"/>
  <c r="Y74" i="2"/>
  <c r="Y87" i="2"/>
  <c r="N113" i="2"/>
  <c r="V113" i="2"/>
  <c r="V160" i="2" s="1"/>
  <c r="V527" i="2" s="1"/>
  <c r="Y22" i="2"/>
  <c r="Y117" i="2"/>
  <c r="Y60" i="2"/>
  <c r="Y24" i="2"/>
  <c r="W32" i="1"/>
  <c r="Y17" i="2"/>
  <c r="Y23" i="2"/>
  <c r="Y122" i="2"/>
  <c r="Y118" i="2"/>
  <c r="Y63" i="2"/>
  <c r="Y62" i="2"/>
  <c r="Y41" i="2"/>
  <c r="Y44" i="2"/>
  <c r="X109" i="2"/>
  <c r="Y137" i="2"/>
  <c r="W26" i="1"/>
  <c r="Y49" i="2"/>
  <c r="U30" i="3"/>
  <c r="N57" i="1"/>
  <c r="N59" i="1" s="1"/>
  <c r="N60" i="1" s="1"/>
  <c r="N109" i="1" s="1"/>
  <c r="N110" i="1" s="1"/>
  <c r="N156" i="1" s="1"/>
  <c r="N157" i="1" s="1"/>
  <c r="N188" i="1" s="1"/>
  <c r="N189" i="1" s="1"/>
  <c r="N219" i="1" s="1"/>
  <c r="N223" i="1" s="1"/>
  <c r="K113" i="2"/>
  <c r="F113" i="2"/>
  <c r="D113" i="2"/>
  <c r="O55" i="4"/>
  <c r="O77" i="4" s="1"/>
  <c r="O78" i="4" s="1"/>
  <c r="P55" i="4"/>
  <c r="P77" i="4" s="1"/>
  <c r="P78" i="4" s="1"/>
  <c r="P121" i="4" s="1"/>
  <c r="P122" i="4" s="1"/>
  <c r="R16" i="4"/>
  <c r="D46" i="3"/>
  <c r="D52" i="3" s="1"/>
  <c r="D53" i="3" s="1"/>
  <c r="W142" i="3"/>
  <c r="O145" i="3"/>
  <c r="W162" i="1"/>
  <c r="O187" i="1"/>
  <c r="W91" i="3"/>
  <c r="O96" i="3"/>
  <c r="R242" i="4"/>
  <c r="S188" i="1"/>
  <c r="S189" i="1" s="1"/>
  <c r="S219" i="1" s="1"/>
  <c r="S223" i="1" s="1"/>
  <c r="I128" i="3"/>
  <c r="H128" i="3"/>
  <c r="O108" i="1"/>
  <c r="T156" i="1"/>
  <c r="T157" i="1" s="1"/>
  <c r="T188" i="1" s="1"/>
  <c r="T189" i="1" s="1"/>
  <c r="T219" i="1" s="1"/>
  <c r="T223" i="1" s="1"/>
  <c r="W190" i="1"/>
  <c r="X226" i="4"/>
  <c r="R180" i="4"/>
  <c r="M170" i="4"/>
  <c r="U187" i="1"/>
  <c r="R226" i="4"/>
  <c r="E245" i="4"/>
  <c r="W69" i="3"/>
  <c r="O73" i="3"/>
  <c r="L57" i="1"/>
  <c r="L59" i="1" s="1"/>
  <c r="L60" i="1" s="1"/>
  <c r="L109" i="1" s="1"/>
  <c r="L110" i="1" s="1"/>
  <c r="L156" i="1" s="1"/>
  <c r="L157" i="1" s="1"/>
  <c r="L188" i="1" s="1"/>
  <c r="L189" i="1" s="1"/>
  <c r="L219" i="1" s="1"/>
  <c r="L223" i="1" s="1"/>
  <c r="F57" i="1"/>
  <c r="F59" i="1" s="1"/>
  <c r="F60" i="1" s="1"/>
  <c r="F109" i="1" s="1"/>
  <c r="F110" i="1" s="1"/>
  <c r="F156" i="1" s="1"/>
  <c r="F157" i="1" s="1"/>
  <c r="F188" i="1" s="1"/>
  <c r="F189" i="1" s="1"/>
  <c r="F219" i="1" s="1"/>
  <c r="F223" i="1" s="1"/>
  <c r="W140" i="1"/>
  <c r="X167" i="4"/>
  <c r="Y234" i="2"/>
  <c r="Y239" i="2"/>
  <c r="L46" i="3"/>
  <c r="L52" i="3" s="1"/>
  <c r="L53" i="3" s="1"/>
  <c r="G45" i="3"/>
  <c r="G46" i="3" s="1"/>
  <c r="G52" i="3" s="1"/>
  <c r="G53" i="3" s="1"/>
  <c r="V55" i="4"/>
  <c r="V77" i="4" s="1"/>
  <c r="V78" i="4" s="1"/>
  <c r="W71" i="1"/>
  <c r="W178" i="1"/>
  <c r="W20" i="3"/>
  <c r="U139" i="3"/>
  <c r="Y441" i="2"/>
  <c r="Y276" i="2"/>
  <c r="S57" i="1"/>
  <c r="S59" i="1" s="1"/>
  <c r="S60" i="1" s="1"/>
  <c r="S109" i="1" s="1"/>
  <c r="M55" i="4"/>
  <c r="M77" i="4" s="1"/>
  <c r="M78" i="4" s="1"/>
  <c r="I55" i="4"/>
  <c r="I77" i="4" s="1"/>
  <c r="I78" i="4" s="1"/>
  <c r="W55" i="4"/>
  <c r="W77" i="4" s="1"/>
  <c r="W78" i="4" s="1"/>
  <c r="W121" i="4" s="1"/>
  <c r="W122" i="4" s="1"/>
  <c r="X159" i="2"/>
  <c r="Y132" i="2"/>
  <c r="Y14" i="2"/>
  <c r="Y16" i="2" s="1"/>
  <c r="Y434" i="2"/>
  <c r="Y116" i="2"/>
  <c r="R238" i="2"/>
  <c r="Y187" i="2"/>
  <c r="W113" i="1"/>
  <c r="Y266" i="2"/>
  <c r="Y282" i="2"/>
  <c r="W119" i="1"/>
  <c r="W131" i="1"/>
  <c r="Y500" i="2"/>
  <c r="X45" i="3"/>
  <c r="X46" i="3" s="1"/>
  <c r="X52" i="3" s="1"/>
  <c r="X53" i="3" s="1"/>
  <c r="U55" i="4"/>
  <c r="U77" i="4" s="1"/>
  <c r="U78" i="4" s="1"/>
  <c r="Y126" i="2"/>
  <c r="Y239" i="4"/>
  <c r="Y244" i="4"/>
  <c r="Y195" i="2"/>
  <c r="Y250" i="2"/>
  <c r="Y285" i="2"/>
  <c r="Y379" i="2"/>
  <c r="Y391" i="2"/>
  <c r="U218" i="1"/>
  <c r="Y460" i="2"/>
  <c r="W143" i="3"/>
  <c r="Y42" i="4"/>
  <c r="W16" i="1"/>
  <c r="U113" i="2"/>
  <c r="X368" i="2"/>
  <c r="Y225" i="4"/>
  <c r="Y233" i="4"/>
  <c r="W61" i="1"/>
  <c r="Y254" i="2"/>
  <c r="Y273" i="2"/>
  <c r="W116" i="1"/>
  <c r="Y307" i="2"/>
  <c r="Y386" i="2"/>
  <c r="Y499" i="2"/>
  <c r="Y504" i="2"/>
  <c r="Y509" i="2"/>
  <c r="Y493" i="2"/>
  <c r="Y163" i="4"/>
  <c r="Y93" i="2"/>
  <c r="Y14" i="4"/>
  <c r="Y16" i="4" s="1"/>
  <c r="W17" i="1"/>
  <c r="Y59" i="2"/>
  <c r="Y21" i="4"/>
  <c r="Y127" i="2"/>
  <c r="R159" i="2"/>
  <c r="Y138" i="2"/>
  <c r="Y152" i="2"/>
  <c r="Y70" i="4"/>
  <c r="H46" i="3"/>
  <c r="H52" i="3" s="1"/>
  <c r="H53" i="3" s="1"/>
  <c r="R49" i="4"/>
  <c r="Y72" i="2"/>
  <c r="Y39" i="2"/>
  <c r="Y22" i="4"/>
  <c r="E113" i="2"/>
  <c r="Y139" i="2"/>
  <c r="Y53" i="4"/>
  <c r="Y76" i="2"/>
  <c r="Y77" i="2"/>
  <c r="Y107" i="2"/>
  <c r="Y82" i="2"/>
  <c r="L51" i="4"/>
  <c r="L55" i="4" s="1"/>
  <c r="L77" i="4" s="1"/>
  <c r="L78" i="4" s="1"/>
  <c r="M113" i="2"/>
  <c r="W30" i="1"/>
  <c r="F51" i="4"/>
  <c r="F55" i="4" s="1"/>
  <c r="F77" i="4" s="1"/>
  <c r="F78" i="4" s="1"/>
  <c r="F121" i="4" s="1"/>
  <c r="F122" i="4" s="1"/>
  <c r="W36" i="1"/>
  <c r="R75" i="4"/>
  <c r="D51" i="4"/>
  <c r="D55" i="4" s="1"/>
  <c r="D77" i="4" s="1"/>
  <c r="D78" i="4" s="1"/>
  <c r="X32" i="4"/>
  <c r="R32" i="4"/>
  <c r="E55" i="4"/>
  <c r="E77" i="4" s="1"/>
  <c r="Y114" i="2"/>
  <c r="Y115" i="2"/>
  <c r="R109" i="2"/>
  <c r="Q113" i="2"/>
  <c r="I57" i="1"/>
  <c r="I59" i="1" s="1"/>
  <c r="I60" i="1" s="1"/>
  <c r="I109" i="1" s="1"/>
  <c r="I110" i="1" s="1"/>
  <c r="I156" i="1" s="1"/>
  <c r="I157" i="1" s="1"/>
  <c r="I188" i="1" s="1"/>
  <c r="I189" i="1" s="1"/>
  <c r="I219" i="1" s="1"/>
  <c r="I223" i="1" s="1"/>
  <c r="O56" i="1"/>
  <c r="H57" i="1"/>
  <c r="H59" i="1" s="1"/>
  <c r="H60" i="1" s="1"/>
  <c r="H109" i="1" s="1"/>
  <c r="H110" i="1" s="1"/>
  <c r="H156" i="1" s="1"/>
  <c r="H157" i="1" s="1"/>
  <c r="H188" i="1" s="1"/>
  <c r="H189" i="1" s="1"/>
  <c r="H219" i="1" s="1"/>
  <c r="H223" i="1" s="1"/>
  <c r="W13" i="1"/>
  <c r="W15" i="1" s="1"/>
  <c r="O15" i="1"/>
  <c r="Y98" i="4" l="1"/>
  <c r="X193" i="4"/>
  <c r="L121" i="4"/>
  <c r="L122" i="4" s="1"/>
  <c r="V121" i="4"/>
  <c r="V122" i="4" s="1"/>
  <c r="Y158" i="4"/>
  <c r="U85" i="3"/>
  <c r="U193" i="3"/>
  <c r="U128" i="3"/>
  <c r="W158" i="3"/>
  <c r="W134" i="1"/>
  <c r="O45" i="3"/>
  <c r="W108" i="1"/>
  <c r="U109" i="1"/>
  <c r="U110" i="1" s="1"/>
  <c r="U156" i="1" s="1"/>
  <c r="U157" i="1" s="1"/>
  <c r="U188" i="1" s="1"/>
  <c r="U189" i="1" s="1"/>
  <c r="U219" i="1" s="1"/>
  <c r="U223" i="1" s="1"/>
  <c r="Y513" i="2"/>
  <c r="T161" i="2"/>
  <c r="T248" i="2" s="1"/>
  <c r="T249" i="2" s="1"/>
  <c r="T372" i="2" s="1"/>
  <c r="T373" i="2" s="1"/>
  <c r="T455" i="2" s="1"/>
  <c r="T456" i="2" s="1"/>
  <c r="T514" i="2" s="1"/>
  <c r="T518" i="2" s="1"/>
  <c r="T527" i="2"/>
  <c r="P161" i="2"/>
  <c r="P248" i="2" s="1"/>
  <c r="P249" i="2" s="1"/>
  <c r="P372" i="2" s="1"/>
  <c r="P373" i="2" s="1"/>
  <c r="P455" i="2" s="1"/>
  <c r="P456" i="2" s="1"/>
  <c r="P514" i="2" s="1"/>
  <c r="P518" i="2" s="1"/>
  <c r="P527" i="2"/>
  <c r="Z161" i="2"/>
  <c r="Z248" i="2" s="1"/>
  <c r="Z249" i="2" s="1"/>
  <c r="Z372" i="2" s="1"/>
  <c r="Z373" i="2" s="1"/>
  <c r="Z455" i="2" s="1"/>
  <c r="Z456" i="2" s="1"/>
  <c r="Z514" i="2" s="1"/>
  <c r="Z518" i="2" s="1"/>
  <c r="Z527" i="2"/>
  <c r="J161" i="2"/>
  <c r="J248" i="2" s="1"/>
  <c r="J249" i="2" s="1"/>
  <c r="J372" i="2" s="1"/>
  <c r="J373" i="2" s="1"/>
  <c r="J455" i="2" s="1"/>
  <c r="J456" i="2" s="1"/>
  <c r="J514" i="2" s="1"/>
  <c r="J518" i="2" s="1"/>
  <c r="J527" i="2"/>
  <c r="I161" i="2"/>
  <c r="I248" i="2" s="1"/>
  <c r="I249" i="2" s="1"/>
  <c r="I372" i="2" s="1"/>
  <c r="I373" i="2" s="1"/>
  <c r="I455" i="2" s="1"/>
  <c r="I456" i="2" s="1"/>
  <c r="I514" i="2" s="1"/>
  <c r="I518" i="2" s="1"/>
  <c r="I527" i="2"/>
  <c r="W118" i="3"/>
  <c r="R109" i="3"/>
  <c r="R110" i="3" s="1"/>
  <c r="R129" i="3" s="1"/>
  <c r="R130" i="3" s="1"/>
  <c r="R149" i="3" s="1"/>
  <c r="R199" i="3" s="1"/>
  <c r="W105" i="3"/>
  <c r="L161" i="2"/>
  <c r="L248" i="2" s="1"/>
  <c r="L249" i="2" s="1"/>
  <c r="L372" i="2" s="1"/>
  <c r="L373" i="2" s="1"/>
  <c r="L455" i="2" s="1"/>
  <c r="L456" i="2" s="1"/>
  <c r="L514" i="2" s="1"/>
  <c r="L518" i="2" s="1"/>
  <c r="L527" i="2"/>
  <c r="W145" i="3"/>
  <c r="S109" i="3"/>
  <c r="S110" i="3" s="1"/>
  <c r="S129" i="3" s="1"/>
  <c r="S162" i="3" s="1"/>
  <c r="S163" i="3" s="1"/>
  <c r="S194" i="3" s="1"/>
  <c r="U108" i="3"/>
  <c r="O128" i="3"/>
  <c r="X109" i="3"/>
  <c r="X129" i="3" s="1"/>
  <c r="T109" i="3"/>
  <c r="T110" i="3" s="1"/>
  <c r="T129" i="3" s="1"/>
  <c r="T162" i="3" s="1"/>
  <c r="T163" i="3" s="1"/>
  <c r="T194" i="3" s="1"/>
  <c r="G121" i="4"/>
  <c r="G122" i="4" s="1"/>
  <c r="G149" i="4" s="1"/>
  <c r="G150" i="4" s="1"/>
  <c r="G171" i="4" s="1"/>
  <c r="G172" i="4" s="1"/>
  <c r="G194" i="4" s="1"/>
  <c r="G207" i="4" s="1"/>
  <c r="G208" i="4" s="1"/>
  <c r="G246" i="4" s="1"/>
  <c r="G252" i="4" s="1"/>
  <c r="F149" i="4"/>
  <c r="F150" i="4" s="1"/>
  <c r="F171" i="4" s="1"/>
  <c r="F172" i="4" s="1"/>
  <c r="F194" i="4" s="1"/>
  <c r="F207" i="4" s="1"/>
  <c r="F208" i="4" s="1"/>
  <c r="F246" i="4" s="1"/>
  <c r="F252" i="4" s="1"/>
  <c r="D121" i="4"/>
  <c r="D122" i="4" s="1"/>
  <c r="W149" i="4"/>
  <c r="W150" i="4" s="1"/>
  <c r="W171" i="4" s="1"/>
  <c r="W172" i="4" s="1"/>
  <c r="W194" i="4" s="1"/>
  <c r="W207" i="4" s="1"/>
  <c r="W208" i="4" s="1"/>
  <c r="K149" i="4"/>
  <c r="K150" i="4" s="1"/>
  <c r="K171" i="4" s="1"/>
  <c r="K172" i="4" s="1"/>
  <c r="K194" i="4" s="1"/>
  <c r="K207" i="4" s="1"/>
  <c r="K208" i="4" s="1"/>
  <c r="K246" i="4" s="1"/>
  <c r="K252" i="4" s="1"/>
  <c r="L149" i="4"/>
  <c r="L150" i="4" s="1"/>
  <c r="L171" i="4" s="1"/>
  <c r="L172" i="4" s="1"/>
  <c r="L194" i="4" s="1"/>
  <c r="L207" i="4" s="1"/>
  <c r="L208" i="4" s="1"/>
  <c r="L246" i="4" s="1"/>
  <c r="L252" i="4" s="1"/>
  <c r="U121" i="4"/>
  <c r="U122" i="4" s="1"/>
  <c r="U149" i="4" s="1"/>
  <c r="U150" i="4" s="1"/>
  <c r="U171" i="4" s="1"/>
  <c r="U172" i="4" s="1"/>
  <c r="U194" i="4" s="1"/>
  <c r="U207" i="4" s="1"/>
  <c r="U208" i="4" s="1"/>
  <c r="U246" i="4" s="1"/>
  <c r="U252" i="4" s="1"/>
  <c r="P149" i="4"/>
  <c r="P150" i="4" s="1"/>
  <c r="P171" i="4" s="1"/>
  <c r="P172" i="4" s="1"/>
  <c r="P194" i="4" s="1"/>
  <c r="P207" i="4" s="1"/>
  <c r="P208" i="4" s="1"/>
  <c r="P246" i="4" s="1"/>
  <c r="P252" i="4" s="1"/>
  <c r="I121" i="4"/>
  <c r="I122" i="4" s="1"/>
  <c r="H121" i="4"/>
  <c r="H122" i="4" s="1"/>
  <c r="H149" i="4" s="1"/>
  <c r="H150" i="4" s="1"/>
  <c r="H171" i="4" s="1"/>
  <c r="H172" i="4" s="1"/>
  <c r="H194" i="4" s="1"/>
  <c r="H207" i="4" s="1"/>
  <c r="H208" i="4" s="1"/>
  <c r="H246" i="4" s="1"/>
  <c r="H252" i="4" s="1"/>
  <c r="Y190" i="4"/>
  <c r="L86" i="3"/>
  <c r="L87" i="3" s="1"/>
  <c r="O193" i="3"/>
  <c r="W81" i="3"/>
  <c r="U45" i="3"/>
  <c r="U46" i="3" s="1"/>
  <c r="U52" i="3" s="1"/>
  <c r="U53" i="3" s="1"/>
  <c r="Y238" i="2"/>
  <c r="Y454" i="2"/>
  <c r="Y368" i="2"/>
  <c r="Y247" i="2"/>
  <c r="Y346" i="2"/>
  <c r="Q160" i="2"/>
  <c r="N160" i="2"/>
  <c r="M160" i="2"/>
  <c r="G160" i="2"/>
  <c r="O160" i="2"/>
  <c r="H160" i="2"/>
  <c r="X113" i="2"/>
  <c r="W160" i="2"/>
  <c r="U148" i="3"/>
  <c r="Q129" i="3"/>
  <c r="Q130" i="3" s="1"/>
  <c r="Q149" i="3" s="1"/>
  <c r="Q199" i="3" s="1"/>
  <c r="W96" i="3"/>
  <c r="W183" i="3"/>
  <c r="W125" i="3"/>
  <c r="W139" i="3"/>
  <c r="W190" i="3"/>
  <c r="J109" i="3"/>
  <c r="J110" i="3" s="1"/>
  <c r="J129" i="3" s="1"/>
  <c r="J162" i="3" s="1"/>
  <c r="J163" i="3" s="1"/>
  <c r="J194" i="3" s="1"/>
  <c r="N86" i="3"/>
  <c r="N87" i="3" s="1"/>
  <c r="K109" i="3"/>
  <c r="K110" i="3" s="1"/>
  <c r="K129" i="3" s="1"/>
  <c r="K162" i="3" s="1"/>
  <c r="K163" i="3" s="1"/>
  <c r="K194" i="3" s="1"/>
  <c r="R86" i="3"/>
  <c r="R87" i="3" s="1"/>
  <c r="E160" i="2"/>
  <c r="D160" i="2"/>
  <c r="Q121" i="4"/>
  <c r="Q122" i="4" s="1"/>
  <c r="Q149" i="4" s="1"/>
  <c r="Q150" i="4" s="1"/>
  <c r="Q171" i="4" s="1"/>
  <c r="Q172" i="4" s="1"/>
  <c r="Q194" i="4" s="1"/>
  <c r="Q207" i="4" s="1"/>
  <c r="Q208" i="4" s="1"/>
  <c r="Q246" i="4" s="1"/>
  <c r="Q252" i="4" s="1"/>
  <c r="Y242" i="4"/>
  <c r="X170" i="4"/>
  <c r="F160" i="2"/>
  <c r="K160" i="2"/>
  <c r="W218" i="1"/>
  <c r="W96" i="1"/>
  <c r="N121" i="4"/>
  <c r="N122" i="4" s="1"/>
  <c r="N149" i="4" s="1"/>
  <c r="N150" i="4" s="1"/>
  <c r="N171" i="4" s="1"/>
  <c r="N172" i="4" s="1"/>
  <c r="N194" i="4" s="1"/>
  <c r="N207" i="4" s="1"/>
  <c r="N208" i="4" s="1"/>
  <c r="N246" i="4" s="1"/>
  <c r="N252" i="4" s="1"/>
  <c r="Y146" i="4"/>
  <c r="V149" i="4"/>
  <c r="V150" i="4" s="1"/>
  <c r="V171" i="4" s="1"/>
  <c r="V172" i="4" s="1"/>
  <c r="V194" i="4" s="1"/>
  <c r="V207" i="4" s="1"/>
  <c r="V208" i="4" s="1"/>
  <c r="V246" i="4" s="1"/>
  <c r="V252" i="4" s="1"/>
  <c r="Y180" i="4"/>
  <c r="O121" i="4"/>
  <c r="O122" i="4" s="1"/>
  <c r="O149" i="4" s="1"/>
  <c r="O150" i="4" s="1"/>
  <c r="O171" i="4" s="1"/>
  <c r="O172" i="4" s="1"/>
  <c r="O194" i="4" s="1"/>
  <c r="O207" i="4" s="1"/>
  <c r="O208" i="4" s="1"/>
  <c r="O246" i="4" s="1"/>
  <c r="O252" i="4" s="1"/>
  <c r="J149" i="4"/>
  <c r="J150" i="4" s="1"/>
  <c r="J171" i="4" s="1"/>
  <c r="J172" i="4" s="1"/>
  <c r="J194" i="4" s="1"/>
  <c r="J207" i="4" s="1"/>
  <c r="J208" i="4" s="1"/>
  <c r="J246" i="4" s="1"/>
  <c r="J252" i="4" s="1"/>
  <c r="Y133" i="4"/>
  <c r="M121" i="4"/>
  <c r="M122" i="4" s="1"/>
  <c r="M149" i="4" s="1"/>
  <c r="M150" i="4" s="1"/>
  <c r="M171" i="4" s="1"/>
  <c r="M172" i="4" s="1"/>
  <c r="M194" i="4" s="1"/>
  <c r="M207" i="4" s="1"/>
  <c r="M208" i="4" s="1"/>
  <c r="M246" i="4" s="1"/>
  <c r="M252" i="4" s="1"/>
  <c r="W246" i="4"/>
  <c r="W252" i="4" s="1"/>
  <c r="R148" i="4"/>
  <c r="X148" i="4"/>
  <c r="X245" i="4"/>
  <c r="Y75" i="4"/>
  <c r="Y226" i="4"/>
  <c r="R245" i="4"/>
  <c r="R193" i="4"/>
  <c r="Y193" i="4" s="1"/>
  <c r="Y203" i="4"/>
  <c r="R170" i="4"/>
  <c r="Y170" i="4" s="1"/>
  <c r="R120" i="4"/>
  <c r="Y120" i="4" s="1"/>
  <c r="X51" i="4"/>
  <c r="I149" i="4"/>
  <c r="I150" i="4" s="1"/>
  <c r="I171" i="4" s="1"/>
  <c r="I172" i="4" s="1"/>
  <c r="I194" i="4" s="1"/>
  <c r="I207" i="4" s="1"/>
  <c r="I208" i="4" s="1"/>
  <c r="I246" i="4" s="1"/>
  <c r="I252" i="4" s="1"/>
  <c r="Y167" i="4"/>
  <c r="J86" i="3"/>
  <c r="J87" i="3" s="1"/>
  <c r="S86" i="3"/>
  <c r="S87" i="3" s="1"/>
  <c r="X77" i="4"/>
  <c r="N109" i="3"/>
  <c r="N110" i="3" s="1"/>
  <c r="N129" i="3" s="1"/>
  <c r="N130" i="3" s="1"/>
  <c r="N149" i="3" s="1"/>
  <c r="N199" i="3" s="1"/>
  <c r="O108" i="3"/>
  <c r="T86" i="3"/>
  <c r="T87" i="3" s="1"/>
  <c r="G86" i="3"/>
  <c r="G87" i="3" s="1"/>
  <c r="O148" i="3"/>
  <c r="H109" i="3"/>
  <c r="H110" i="3" s="1"/>
  <c r="H129" i="3" s="1"/>
  <c r="H162" i="3" s="1"/>
  <c r="H163" i="3" s="1"/>
  <c r="H194" i="3" s="1"/>
  <c r="M109" i="3"/>
  <c r="M110" i="3" s="1"/>
  <c r="M129" i="3" s="1"/>
  <c r="M130" i="3" s="1"/>
  <c r="M149" i="3" s="1"/>
  <c r="M199" i="3" s="1"/>
  <c r="T130" i="3"/>
  <c r="T149" i="3" s="1"/>
  <c r="T199" i="3" s="1"/>
  <c r="W30" i="3"/>
  <c r="I109" i="3"/>
  <c r="I110" i="3" s="1"/>
  <c r="I129" i="3" s="1"/>
  <c r="I86" i="3"/>
  <c r="I87" i="3" s="1"/>
  <c r="Y159" i="2"/>
  <c r="AA159" i="2" s="1"/>
  <c r="Y49" i="4"/>
  <c r="M86" i="3"/>
  <c r="M87" i="3" s="1"/>
  <c r="U160" i="2"/>
  <c r="Y109" i="2"/>
  <c r="F109" i="3"/>
  <c r="F110" i="3" s="1"/>
  <c r="F129" i="3" s="1"/>
  <c r="F162" i="3" s="1"/>
  <c r="F163" i="3" s="1"/>
  <c r="F194" i="3" s="1"/>
  <c r="R51" i="4"/>
  <c r="W56" i="1"/>
  <c r="X86" i="3"/>
  <c r="X87" i="3" s="1"/>
  <c r="D109" i="3"/>
  <c r="D110" i="3" s="1"/>
  <c r="D129" i="3" s="1"/>
  <c r="D86" i="3"/>
  <c r="D87" i="3" s="1"/>
  <c r="E109" i="3"/>
  <c r="E110" i="3" s="1"/>
  <c r="E129" i="3" s="1"/>
  <c r="E86" i="3"/>
  <c r="E87" i="3" s="1"/>
  <c r="G109" i="3"/>
  <c r="G110" i="3" s="1"/>
  <c r="G129" i="3" s="1"/>
  <c r="G162" i="3" s="1"/>
  <c r="G163" i="3" s="1"/>
  <c r="G194" i="3" s="1"/>
  <c r="K86" i="3"/>
  <c r="K87" i="3" s="1"/>
  <c r="W187" i="1"/>
  <c r="W73" i="3"/>
  <c r="O85" i="3"/>
  <c r="R113" i="2"/>
  <c r="H86" i="3"/>
  <c r="H87" i="3" s="1"/>
  <c r="K130" i="3"/>
  <c r="K149" i="3" s="1"/>
  <c r="K199" i="3" s="1"/>
  <c r="X55" i="4"/>
  <c r="R55" i="4"/>
  <c r="E78" i="4"/>
  <c r="R77" i="4"/>
  <c r="Y32" i="4"/>
  <c r="X78" i="4"/>
  <c r="T121" i="4"/>
  <c r="L109" i="3"/>
  <c r="L110" i="3" s="1"/>
  <c r="L129" i="3" s="1"/>
  <c r="L130" i="3" s="1"/>
  <c r="L149" i="3" s="1"/>
  <c r="L199" i="3" s="1"/>
  <c r="W43" i="3"/>
  <c r="O46" i="3"/>
  <c r="O52" i="3" s="1"/>
  <c r="O53" i="3" s="1"/>
  <c r="V161" i="2"/>
  <c r="O57" i="1"/>
  <c r="O59" i="1" s="1"/>
  <c r="W148" i="3" l="1"/>
  <c r="W128" i="3"/>
  <c r="X110" i="3"/>
  <c r="U161" i="2"/>
  <c r="U248" i="2" s="1"/>
  <c r="U249" i="2" s="1"/>
  <c r="U372" i="2" s="1"/>
  <c r="U373" i="2" s="1"/>
  <c r="U455" i="2" s="1"/>
  <c r="U456" i="2" s="1"/>
  <c r="U514" i="2" s="1"/>
  <c r="U518" i="2" s="1"/>
  <c r="U527" i="2"/>
  <c r="H161" i="2"/>
  <c r="H248" i="2" s="1"/>
  <c r="H249" i="2" s="1"/>
  <c r="H372" i="2" s="1"/>
  <c r="H373" i="2" s="1"/>
  <c r="H455" i="2" s="1"/>
  <c r="H456" i="2" s="1"/>
  <c r="H514" i="2" s="1"/>
  <c r="H518" i="2" s="1"/>
  <c r="H527" i="2"/>
  <c r="N161" i="2"/>
  <c r="N248" i="2" s="1"/>
  <c r="N249" i="2" s="1"/>
  <c r="N372" i="2" s="1"/>
  <c r="N373" i="2" s="1"/>
  <c r="N455" i="2" s="1"/>
  <c r="N456" i="2" s="1"/>
  <c r="N514" i="2" s="1"/>
  <c r="N518" i="2" s="1"/>
  <c r="N527" i="2"/>
  <c r="D161" i="2"/>
  <c r="D248" i="2" s="1"/>
  <c r="D249" i="2" s="1"/>
  <c r="D372" i="2" s="1"/>
  <c r="D373" i="2" s="1"/>
  <c r="D455" i="2" s="1"/>
  <c r="D527" i="2"/>
  <c r="O161" i="2"/>
  <c r="O248" i="2" s="1"/>
  <c r="O249" i="2" s="1"/>
  <c r="O372" i="2" s="1"/>
  <c r="O373" i="2" s="1"/>
  <c r="O455" i="2" s="1"/>
  <c r="O456" i="2" s="1"/>
  <c r="O514" i="2" s="1"/>
  <c r="O518" i="2" s="1"/>
  <c r="O527" i="2"/>
  <c r="M161" i="2"/>
  <c r="M248" i="2" s="1"/>
  <c r="M249" i="2" s="1"/>
  <c r="M372" i="2" s="1"/>
  <c r="M373" i="2" s="1"/>
  <c r="M455" i="2" s="1"/>
  <c r="M456" i="2" s="1"/>
  <c r="M514" i="2" s="1"/>
  <c r="M518" i="2" s="1"/>
  <c r="M527" i="2"/>
  <c r="E161" i="2"/>
  <c r="E248" i="2" s="1"/>
  <c r="E249" i="2" s="1"/>
  <c r="E372" i="2" s="1"/>
  <c r="E373" i="2" s="1"/>
  <c r="E455" i="2" s="1"/>
  <c r="E456" i="2" s="1"/>
  <c r="E514" i="2" s="1"/>
  <c r="E518" i="2" s="1"/>
  <c r="E527" i="2"/>
  <c r="W161" i="2"/>
  <c r="W248" i="2" s="1"/>
  <c r="W249" i="2" s="1"/>
  <c r="W372" i="2" s="1"/>
  <c r="W373" i="2" s="1"/>
  <c r="W455" i="2" s="1"/>
  <c r="W456" i="2" s="1"/>
  <c r="W514" i="2" s="1"/>
  <c r="W518" i="2" s="1"/>
  <c r="W527" i="2"/>
  <c r="G161" i="2"/>
  <c r="G248" i="2" s="1"/>
  <c r="G249" i="2" s="1"/>
  <c r="G372" i="2" s="1"/>
  <c r="G373" i="2" s="1"/>
  <c r="G455" i="2" s="1"/>
  <c r="G456" i="2" s="1"/>
  <c r="G514" i="2" s="1"/>
  <c r="G518" i="2" s="1"/>
  <c r="G527" i="2"/>
  <c r="S130" i="3"/>
  <c r="S149" i="3" s="1"/>
  <c r="S199" i="3" s="1"/>
  <c r="J130" i="3"/>
  <c r="J149" i="3" s="1"/>
  <c r="J199" i="3" s="1"/>
  <c r="W108" i="3"/>
  <c r="Q161" i="2"/>
  <c r="Q248" i="2" s="1"/>
  <c r="Q249" i="2" s="1"/>
  <c r="Q372" i="2" s="1"/>
  <c r="Q373" i="2" s="1"/>
  <c r="Q455" i="2" s="1"/>
  <c r="Q456" i="2" s="1"/>
  <c r="Q514" i="2" s="1"/>
  <c r="Q518" i="2" s="1"/>
  <c r="Q527" i="2"/>
  <c r="F161" i="2"/>
  <c r="F248" i="2" s="1"/>
  <c r="F249" i="2" s="1"/>
  <c r="F372" i="2" s="1"/>
  <c r="F373" i="2" s="1"/>
  <c r="F455" i="2" s="1"/>
  <c r="F456" i="2" s="1"/>
  <c r="F514" i="2" s="1"/>
  <c r="F518" i="2" s="1"/>
  <c r="F527" i="2"/>
  <c r="K161" i="2"/>
  <c r="K248" i="2" s="1"/>
  <c r="K249" i="2" s="1"/>
  <c r="K372" i="2" s="1"/>
  <c r="K373" i="2" s="1"/>
  <c r="K455" i="2" s="1"/>
  <c r="K456" i="2" s="1"/>
  <c r="K514" i="2" s="1"/>
  <c r="K518" i="2" s="1"/>
  <c r="K527" i="2"/>
  <c r="W85" i="3"/>
  <c r="Q162" i="3"/>
  <c r="Q163" i="3" s="1"/>
  <c r="Q194" i="3" s="1"/>
  <c r="W193" i="3"/>
  <c r="R162" i="3"/>
  <c r="R163" i="3" s="1"/>
  <c r="R194" i="3" s="1"/>
  <c r="N162" i="3"/>
  <c r="N163" i="3" s="1"/>
  <c r="N194" i="3" s="1"/>
  <c r="R160" i="2"/>
  <c r="R527" i="2" s="1"/>
  <c r="Y245" i="4"/>
  <c r="Y113" i="2"/>
  <c r="Y148" i="4"/>
  <c r="Y51" i="4"/>
  <c r="Y77" i="4"/>
  <c r="M162" i="3"/>
  <c r="M163" i="3" s="1"/>
  <c r="M194" i="3" s="1"/>
  <c r="H130" i="3"/>
  <c r="H149" i="3" s="1"/>
  <c r="H199" i="3" s="1"/>
  <c r="W45" i="3"/>
  <c r="I130" i="3"/>
  <c r="I149" i="3" s="1"/>
  <c r="I199" i="3" s="1"/>
  <c r="I162" i="3"/>
  <c r="I163" i="3" s="1"/>
  <c r="I194" i="3" s="1"/>
  <c r="G130" i="3"/>
  <c r="G149" i="3" s="1"/>
  <c r="G199" i="3" s="1"/>
  <c r="L162" i="3"/>
  <c r="L163" i="3" s="1"/>
  <c r="L194" i="3" s="1"/>
  <c r="X160" i="2"/>
  <c r="X527" i="2" s="1"/>
  <c r="Y55" i="4"/>
  <c r="F130" i="3"/>
  <c r="F149" i="3" s="1"/>
  <c r="F199" i="3" s="1"/>
  <c r="W46" i="3"/>
  <c r="W52" i="3" s="1"/>
  <c r="D162" i="3"/>
  <c r="D163" i="3" s="1"/>
  <c r="D194" i="3" s="1"/>
  <c r="D130" i="3"/>
  <c r="D149" i="3" s="1"/>
  <c r="D199" i="3" s="1"/>
  <c r="E162" i="3"/>
  <c r="E163" i="3" s="1"/>
  <c r="E194" i="3" s="1"/>
  <c r="E130" i="3"/>
  <c r="E149" i="3" s="1"/>
  <c r="E199" i="3" s="1"/>
  <c r="T122" i="4"/>
  <c r="X121" i="4"/>
  <c r="E121" i="4"/>
  <c r="R78" i="4"/>
  <c r="Y78" i="4" s="1"/>
  <c r="D149" i="4"/>
  <c r="O109" i="3"/>
  <c r="O110" i="3" s="1"/>
  <c r="O129" i="3" s="1"/>
  <c r="O86" i="3"/>
  <c r="O87" i="3" s="1"/>
  <c r="X130" i="3"/>
  <c r="X149" i="3"/>
  <c r="W53" i="3"/>
  <c r="U109" i="3"/>
  <c r="U110" i="3" s="1"/>
  <c r="U86" i="3"/>
  <c r="U87" i="3" s="1"/>
  <c r="V248" i="2"/>
  <c r="W57" i="1"/>
  <c r="W59" i="1"/>
  <c r="O60" i="1"/>
  <c r="X161" i="2" l="1"/>
  <c r="R161" i="2"/>
  <c r="Y161" i="2" s="1"/>
  <c r="R249" i="2"/>
  <c r="R372" i="2" s="1"/>
  <c r="R373" i="2"/>
  <c r="R248" i="2"/>
  <c r="Y160" i="2"/>
  <c r="AB113" i="2"/>
  <c r="E122" i="4"/>
  <c r="R121" i="4"/>
  <c r="Y121" i="4" s="1"/>
  <c r="T149" i="4"/>
  <c r="X122" i="4"/>
  <c r="D150" i="4"/>
  <c r="W87" i="3"/>
  <c r="O130" i="3"/>
  <c r="O149" i="3" s="1"/>
  <c r="O199" i="3" s="1"/>
  <c r="O162" i="3"/>
  <c r="O163" i="3" s="1"/>
  <c r="O194" i="3" s="1"/>
  <c r="X199" i="3"/>
  <c r="X162" i="3"/>
  <c r="U129" i="3"/>
  <c r="W110" i="3"/>
  <c r="W109" i="3"/>
  <c r="W86" i="3"/>
  <c r="V249" i="2"/>
  <c r="X248" i="2"/>
  <c r="D456" i="2"/>
  <c r="R455" i="2"/>
  <c r="W60" i="1"/>
  <c r="W109" i="1" s="1"/>
  <c r="O109" i="1"/>
  <c r="O110" i="1" s="1"/>
  <c r="Y248" i="2" l="1"/>
  <c r="AB248" i="2" s="1"/>
  <c r="Y527" i="2"/>
  <c r="T150" i="4"/>
  <c r="X149" i="4"/>
  <c r="E149" i="4"/>
  <c r="R122" i="4"/>
  <c r="Y122" i="4" s="1"/>
  <c r="D171" i="4"/>
  <c r="X163" i="3"/>
  <c r="X194" i="3"/>
  <c r="U162" i="3"/>
  <c r="U163" i="3" s="1"/>
  <c r="U130" i="3"/>
  <c r="W129" i="3"/>
  <c r="W162" i="3" s="1"/>
  <c r="V372" i="2"/>
  <c r="V373" i="2" s="1"/>
  <c r="X249" i="2"/>
  <c r="D514" i="2"/>
  <c r="R456" i="2"/>
  <c r="O156" i="1"/>
  <c r="O157" i="1" s="1"/>
  <c r="W110" i="1"/>
  <c r="W156" i="1" s="1"/>
  <c r="E150" i="4" l="1"/>
  <c r="R149" i="4"/>
  <c r="Y149" i="4" s="1"/>
  <c r="T171" i="4"/>
  <c r="X150" i="4"/>
  <c r="D172" i="4"/>
  <c r="U149" i="3"/>
  <c r="W130" i="3"/>
  <c r="U194" i="3"/>
  <c r="W194" i="3" s="1"/>
  <c r="W163" i="3"/>
  <c r="X372" i="2"/>
  <c r="Y249" i="2"/>
  <c r="Y372" i="2" s="1"/>
  <c r="AB372" i="2" s="1"/>
  <c r="V455" i="2"/>
  <c r="X373" i="2"/>
  <c r="Y373" i="2" s="1"/>
  <c r="D518" i="2"/>
  <c r="R514" i="2"/>
  <c r="W157" i="1"/>
  <c r="W188" i="1" s="1"/>
  <c r="O188" i="1"/>
  <c r="O189" i="1" s="1"/>
  <c r="T172" i="4" l="1"/>
  <c r="X171" i="4"/>
  <c r="E171" i="4"/>
  <c r="R150" i="4"/>
  <c r="Y150" i="4" s="1"/>
  <c r="D194" i="4"/>
  <c r="W149" i="3"/>
  <c r="W199" i="3" s="1"/>
  <c r="U199" i="3"/>
  <c r="X455" i="2"/>
  <c r="Y455" i="2" s="1"/>
  <c r="AB455" i="2" s="1"/>
  <c r="V456" i="2"/>
  <c r="R518" i="2"/>
  <c r="W189" i="1"/>
  <c r="W219" i="1" s="1"/>
  <c r="W223" i="1" s="1"/>
  <c r="O219" i="1"/>
  <c r="O223" i="1" s="1"/>
  <c r="E172" i="4" l="1"/>
  <c r="R171" i="4"/>
  <c r="Y171" i="4" s="1"/>
  <c r="Z171" i="4" s="1"/>
  <c r="T194" i="4"/>
  <c r="X172" i="4"/>
  <c r="D207" i="4"/>
  <c r="X456" i="2"/>
  <c r="Y456" i="2" s="1"/>
  <c r="V514" i="2"/>
  <c r="T207" i="4" l="1"/>
  <c r="X194" i="4"/>
  <c r="E194" i="4"/>
  <c r="R172" i="4"/>
  <c r="Y172" i="4" s="1"/>
  <c r="D208" i="4"/>
  <c r="X514" i="2"/>
  <c r="V518" i="2"/>
  <c r="E207" i="4" l="1"/>
  <c r="R194" i="4"/>
  <c r="Y194" i="4" s="1"/>
  <c r="T208" i="4"/>
  <c r="X207" i="4"/>
  <c r="D246" i="4"/>
  <c r="D252" i="4" s="1"/>
  <c r="X518" i="2"/>
  <c r="Y514" i="2"/>
  <c r="T246" i="4" l="1"/>
  <c r="X208" i="4"/>
  <c r="E208" i="4"/>
  <c r="R207" i="4"/>
  <c r="Y207" i="4" s="1"/>
  <c r="Y518" i="2"/>
  <c r="AB514" i="2"/>
  <c r="E246" i="4" l="1"/>
  <c r="E252" i="4" s="1"/>
  <c r="R208" i="4"/>
  <c r="Y208" i="4" s="1"/>
  <c r="T252" i="4"/>
  <c r="X246" i="4"/>
  <c r="X252" i="4" s="1"/>
  <c r="R246" i="4" l="1"/>
  <c r="R252" i="4" s="1"/>
  <c r="Y246" i="4" l="1"/>
  <c r="Y252" i="4" s="1"/>
</calcChain>
</file>

<file path=xl/sharedStrings.xml><?xml version="1.0" encoding="utf-8"?>
<sst xmlns="http://schemas.openxmlformats.org/spreadsheetml/2006/main" count="1123" uniqueCount="443">
  <si>
    <t>K I M U T A T Á S</t>
  </si>
  <si>
    <t>ezer Ft-ban</t>
  </si>
  <si>
    <t xml:space="preserve"> </t>
  </si>
  <si>
    <t>Szöveges indoklás a</t>
  </si>
  <si>
    <t>Egyéb</t>
  </si>
  <si>
    <t>Működési</t>
  </si>
  <si>
    <t>Felhalmozási</t>
  </si>
  <si>
    <t>Bevételek</t>
  </si>
  <si>
    <t>Ssz.</t>
  </si>
  <si>
    <t>forrás származására és a kiadás</t>
  </si>
  <si>
    <t>bevételek</t>
  </si>
  <si>
    <t>célú</t>
  </si>
  <si>
    <t>összesen</t>
  </si>
  <si>
    <t>felhasználási  jogcimére</t>
  </si>
  <si>
    <t>visszatérül.</t>
  </si>
  <si>
    <t>működési</t>
  </si>
  <si>
    <t>bevételei</t>
  </si>
  <si>
    <t>pénzeszköz</t>
  </si>
  <si>
    <t>Érvényes előirányzatok:</t>
  </si>
  <si>
    <t>Módosítás</t>
  </si>
  <si>
    <t>Módosított előirányzat</t>
  </si>
  <si>
    <t>Féléves</t>
  </si>
  <si>
    <t>000</t>
  </si>
  <si>
    <t>Felülvizsgálat</t>
  </si>
  <si>
    <t>010</t>
  </si>
  <si>
    <t>030</t>
  </si>
  <si>
    <t>080</t>
  </si>
  <si>
    <t>090</t>
  </si>
  <si>
    <t>120</t>
  </si>
  <si>
    <t>121</t>
  </si>
  <si>
    <t>180</t>
  </si>
  <si>
    <t>Felülvizsgálati módosítások összesen:</t>
  </si>
  <si>
    <t>Módosítások összesen:</t>
  </si>
  <si>
    <t>K I A D Á S O K</t>
  </si>
  <si>
    <t>Ellátottak</t>
  </si>
  <si>
    <t>Intézmény-</t>
  </si>
  <si>
    <t>Kiadások</t>
  </si>
  <si>
    <t>Személyi</t>
  </si>
  <si>
    <t>Munkaadót</t>
  </si>
  <si>
    <t xml:space="preserve">Dologi </t>
  </si>
  <si>
    <t>pénzbeli</t>
  </si>
  <si>
    <t>kiadások</t>
  </si>
  <si>
    <t>kölcsönök</t>
  </si>
  <si>
    <t>Tartalékok</t>
  </si>
  <si>
    <t>finan-</t>
  </si>
  <si>
    <t>juttatás</t>
  </si>
  <si>
    <t>juttatásai</t>
  </si>
  <si>
    <t>nyújtása</t>
  </si>
  <si>
    <t>kiadásai</t>
  </si>
  <si>
    <t>szírozás</t>
  </si>
  <si>
    <t>járulékok</t>
  </si>
  <si>
    <t>támogatás</t>
  </si>
  <si>
    <t>021</t>
  </si>
  <si>
    <t>Vonal alattiak</t>
  </si>
  <si>
    <t>1</t>
  </si>
  <si>
    <t>001</t>
  </si>
  <si>
    <t>Eredeti előirányzatok:</t>
  </si>
  <si>
    <t>Kerekítés miatt</t>
  </si>
  <si>
    <t>002</t>
  </si>
  <si>
    <t>013</t>
  </si>
  <si>
    <t>085</t>
  </si>
  <si>
    <t>102</t>
  </si>
  <si>
    <t>105</t>
  </si>
  <si>
    <t>112</t>
  </si>
  <si>
    <t>150</t>
  </si>
  <si>
    <t>190</t>
  </si>
  <si>
    <t>terhelő</t>
  </si>
  <si>
    <t>Szociális adó</t>
  </si>
  <si>
    <t>támogatások</t>
  </si>
  <si>
    <t>024</t>
  </si>
  <si>
    <t>054</t>
  </si>
  <si>
    <t>1/H-1</t>
  </si>
  <si>
    <t>003</t>
  </si>
  <si>
    <t>H010</t>
  </si>
  <si>
    <t>Előző évi maradvány átvétel</t>
  </si>
  <si>
    <t>FELÜGYELETI HATÁSKÖRŰ MÓDOSÍTÁSOK</t>
  </si>
  <si>
    <t>SAJÁT HATÁSKÖRŰ MÓDOSÍTÁSOK</t>
  </si>
  <si>
    <t>A</t>
  </si>
  <si>
    <t>B</t>
  </si>
  <si>
    <t>Módosítások összesen (A+B)</t>
  </si>
  <si>
    <t>H151</t>
  </si>
  <si>
    <t>Rendelet 4. sz. tábla</t>
  </si>
  <si>
    <t>Eltérés rendelethez:</t>
  </si>
  <si>
    <t>Felülvizs.</t>
  </si>
  <si>
    <t>ő151</t>
  </si>
  <si>
    <t>ő180</t>
  </si>
  <si>
    <t>Rendelet 5. sz. tábla</t>
  </si>
  <si>
    <t>Rendelet 4 sz. tábla</t>
  </si>
  <si>
    <t>belülről</t>
  </si>
  <si>
    <t>átvett</t>
  </si>
  <si>
    <t>Felhal-</t>
  </si>
  <si>
    <t>mozási</t>
  </si>
  <si>
    <t>felhalm.</t>
  </si>
  <si>
    <t>első</t>
  </si>
  <si>
    <t>Csak szöveges módosítás volt</t>
  </si>
  <si>
    <t>Csak szöveges módosítás volt!</t>
  </si>
  <si>
    <t xml:space="preserve">Irányító </t>
  </si>
  <si>
    <t>szervtől</t>
  </si>
  <si>
    <t>kapott</t>
  </si>
  <si>
    <t>…</t>
  </si>
  <si>
    <t>111</t>
  </si>
  <si>
    <t>418</t>
  </si>
  <si>
    <t>419</t>
  </si>
  <si>
    <t>utólag feladásnál</t>
  </si>
  <si>
    <t>nyolcadik</t>
  </si>
  <si>
    <t>Műk. célú támogatások áht-n belülről</t>
  </si>
  <si>
    <t>Önkorm.</t>
  </si>
  <si>
    <t>Elvonások</t>
  </si>
  <si>
    <t>Egyéb műk.c.</t>
  </si>
  <si>
    <t xml:space="preserve">és </t>
  </si>
  <si>
    <t>támogatása</t>
  </si>
  <si>
    <t>befizetések</t>
  </si>
  <si>
    <t>áht-n</t>
  </si>
  <si>
    <t>Felh.c.tám.áht-n belülről</t>
  </si>
  <si>
    <t>Felh.c.átvett pénzeszközök</t>
  </si>
  <si>
    <t>Közhatalmi</t>
  </si>
  <si>
    <t>Egyéb felh.c.</t>
  </si>
  <si>
    <t>Felh.c.</t>
  </si>
  <si>
    <t>támogatások,</t>
  </si>
  <si>
    <t>önk-i</t>
  </si>
  <si>
    <t>célú átvett</t>
  </si>
  <si>
    <t>Költség-</t>
  </si>
  <si>
    <t>vetési</t>
  </si>
  <si>
    <t>Finanszírozási bevételek</t>
  </si>
  <si>
    <t xml:space="preserve">Belföldi </t>
  </si>
  <si>
    <t>Előző év</t>
  </si>
  <si>
    <t>érték-</t>
  </si>
  <si>
    <t>költségv-i</t>
  </si>
  <si>
    <t>papírok</t>
  </si>
  <si>
    <t>maradvány</t>
  </si>
  <si>
    <t>igénybevét.</t>
  </si>
  <si>
    <t>(3+…+13)</t>
  </si>
  <si>
    <t>Finan-</t>
  </si>
  <si>
    <t>szírozási</t>
  </si>
  <si>
    <t>(15+18)</t>
  </si>
  <si>
    <t>(14 + 19)</t>
  </si>
  <si>
    <t>Módosított előirányzatok</t>
  </si>
  <si>
    <t>Módosított előirányzatok:</t>
  </si>
  <si>
    <t>Felh.c.vtérít.</t>
  </si>
  <si>
    <t>Lakás-</t>
  </si>
  <si>
    <t>Hosszú lej.</t>
  </si>
  <si>
    <t>Belföldi</t>
  </si>
  <si>
    <t>Beruházások</t>
  </si>
  <si>
    <t>Felújítások</t>
  </si>
  <si>
    <t>felhalm.célú</t>
  </si>
  <si>
    <t>tám.,kölcsön</t>
  </si>
  <si>
    <t>hitelek,</t>
  </si>
  <si>
    <t xml:space="preserve"> kölcsönök</t>
  </si>
  <si>
    <t>belülre</t>
  </si>
  <si>
    <t>kívülre</t>
  </si>
  <si>
    <t>áht-n belülre</t>
  </si>
  <si>
    <t>áht-n kívülre</t>
  </si>
  <si>
    <t>törlesztése</t>
  </si>
  <si>
    <t>Működési költségvetési kiadások</t>
  </si>
  <si>
    <t>Felhalmozási költségvetési kiadások</t>
  </si>
  <si>
    <t>Finanszírozási kiadások</t>
  </si>
  <si>
    <t>Első</t>
  </si>
  <si>
    <t>(3+16)</t>
  </si>
  <si>
    <t>(18+21)</t>
  </si>
  <si>
    <t>(17+22)</t>
  </si>
  <si>
    <t>Szoc. adó</t>
  </si>
  <si>
    <t>Második</t>
  </si>
  <si>
    <t>Féléves 2.</t>
  </si>
  <si>
    <t>Irányító szervi támogatás</t>
  </si>
  <si>
    <t>harmadik</t>
  </si>
  <si>
    <t>Harmadik</t>
  </si>
  <si>
    <t>Szept. 30.</t>
  </si>
  <si>
    <t>Működtetett intézmények többletbevétele</t>
  </si>
  <si>
    <t>Polgármesteri Kabinet dologi kiadásra</t>
  </si>
  <si>
    <t>Okt.31.</t>
  </si>
  <si>
    <t>negyedik</t>
  </si>
  <si>
    <t>nov.30.</t>
  </si>
  <si>
    <t>Okt. 31.</t>
  </si>
  <si>
    <t>dec.31.</t>
  </si>
  <si>
    <t>ötödik</t>
  </si>
  <si>
    <t>finanszí-</t>
  </si>
  <si>
    <t>rozási</t>
  </si>
  <si>
    <t>..</t>
  </si>
  <si>
    <t xml:space="preserve">Maradvány </t>
  </si>
  <si>
    <t>Maradvány</t>
  </si>
  <si>
    <t>Maradvánnyal módosított előirányzatok</t>
  </si>
  <si>
    <t>ÁHT-n</t>
  </si>
  <si>
    <t>belüli meg-</t>
  </si>
  <si>
    <t>előlegezések</t>
  </si>
  <si>
    <t>kapott előleg</t>
  </si>
  <si>
    <t>előlegezés</t>
  </si>
  <si>
    <t>visszafiz.</t>
  </si>
  <si>
    <t>8010</t>
  </si>
  <si>
    <t>8020</t>
  </si>
  <si>
    <t>8021</t>
  </si>
  <si>
    <t>8022</t>
  </si>
  <si>
    <t>8070</t>
  </si>
  <si>
    <t>8101</t>
  </si>
  <si>
    <t>8401</t>
  </si>
  <si>
    <t>8402</t>
  </si>
  <si>
    <t>9000</t>
  </si>
  <si>
    <t>9010</t>
  </si>
  <si>
    <t>9024</t>
  </si>
  <si>
    <t>9025</t>
  </si>
  <si>
    <t>9026</t>
  </si>
  <si>
    <t>9032</t>
  </si>
  <si>
    <t>9035</t>
  </si>
  <si>
    <t>9052</t>
  </si>
  <si>
    <t>9054</t>
  </si>
  <si>
    <t>9060</t>
  </si>
  <si>
    <t>Nem intézmények által ellátott önkormányzati feladatok bevételi előirányzatain végrehajtott saját hatáskörű változtatások kiemelt előirányzatonként 
2019. február 21 - től   2019. április 30 - ig</t>
  </si>
  <si>
    <t>Nem intézmények által ellátott önkormányzati feladatok kiadási előirányzatain végrehajtott saját hatáskörű változtatások kiemelt előirányzatonként 
2019. február 21 - től   2019. április 30 - ig</t>
  </si>
  <si>
    <t>A Polgármesteri Hivatal által ellátott feladatok bevételi előirányzatain végrehajtott változtatások kiemelt előirányzatonként 
2019. február 21 - től   2019. április 30 - ig</t>
  </si>
  <si>
    <t>A Polgármesteri Hivatal által ellátott feladatok kiadási előirányzatain végrehajtott változtatások kiemelt előirányzatonként 
2019. február 21 - től   2019. április 30 - ig</t>
  </si>
  <si>
    <t>8090</t>
  </si>
  <si>
    <t>8180</t>
  </si>
  <si>
    <t>8023</t>
  </si>
  <si>
    <t>8024</t>
  </si>
  <si>
    <t>8041</t>
  </si>
  <si>
    <t>8043</t>
  </si>
  <si>
    <t>8045</t>
  </si>
  <si>
    <t>9028</t>
  </si>
  <si>
    <t>9034</t>
  </si>
  <si>
    <t>9042</t>
  </si>
  <si>
    <t>9043</t>
  </si>
  <si>
    <t>9044</t>
  </si>
  <si>
    <t>9053</t>
  </si>
  <si>
    <t>9055</t>
  </si>
  <si>
    <t>9056</t>
  </si>
  <si>
    <t>9057</t>
  </si>
  <si>
    <t>EIM-2</t>
  </si>
  <si>
    <t>Kártérítés fizetése peres ügyben</t>
  </si>
  <si>
    <t>EIM-1</t>
  </si>
  <si>
    <t>EIM-3</t>
  </si>
  <si>
    <t>EIM-4</t>
  </si>
  <si>
    <t>EIM-5</t>
  </si>
  <si>
    <t>EIM-7</t>
  </si>
  <si>
    <t>EIM-8</t>
  </si>
  <si>
    <t>EIM-9</t>
  </si>
  <si>
    <t>EIM-10</t>
  </si>
  <si>
    <t>EIM-12</t>
  </si>
  <si>
    <t>EIM-23</t>
  </si>
  <si>
    <t>EIM-24</t>
  </si>
  <si>
    <t>Keleti K.u.2. térfigyelő kamera telepítés</t>
  </si>
  <si>
    <t>Parkoló automata utólagos kártérítése</t>
  </si>
  <si>
    <t>Várakozóhely megváltás</t>
  </si>
  <si>
    <t>2017.évi jogtalanul igénybe vett tám. Kamat</t>
  </si>
  <si>
    <t>Internet Kortalanul tanfolyam</t>
  </si>
  <si>
    <t>PH.Fejl.O-ra mosogatógép beszerzés</t>
  </si>
  <si>
    <t>Fény u.2.kerítés eng-i és kiviteli terv</t>
  </si>
  <si>
    <t>Csapadékvíz-csat. felülvizsg. dok. elkész.</t>
  </si>
  <si>
    <t>Központi ügyfélszolgálat</t>
  </si>
  <si>
    <t>Központi ügyfélszolg.tervezői műve.pótmunkákra</t>
  </si>
  <si>
    <t>EIM-H-5
EIM-24</t>
  </si>
  <si>
    <t>eltérés rendelethez:</t>
  </si>
  <si>
    <t>EIM-H-4</t>
  </si>
  <si>
    <t>Startech dokkoló beszerzés</t>
  </si>
  <si>
    <t>EIM-16</t>
  </si>
  <si>
    <t>PH. Bérkompenzáció 2018. évi</t>
  </si>
  <si>
    <t>EIM-H-2
EIM-16</t>
  </si>
  <si>
    <t>Bevételek átcsoportosítása</t>
  </si>
  <si>
    <t>EIM-30</t>
  </si>
  <si>
    <t>Állampolgársági eskütételeken versmondás</t>
  </si>
  <si>
    <t>EIM-H-6
EIM-30</t>
  </si>
  <si>
    <t>EIM-34</t>
  </si>
  <si>
    <t>Végrehajtási bírság - Igazgatási Osztály</t>
  </si>
  <si>
    <t>EIM-H-7</t>
  </si>
  <si>
    <t>Int. Fin. - Gesztenyéskert Óvoda-mosogatógép besz.</t>
  </si>
  <si>
    <t>Int.fin. - Bérkompenzáció 2018. évi</t>
  </si>
  <si>
    <t>EIM-16/A</t>
  </si>
  <si>
    <t>Int. Fin. - Eü. Szolg. Bérkompenzáció 2018. évi</t>
  </si>
  <si>
    <t>EIM-20</t>
  </si>
  <si>
    <t>Int.fin. - Óvodák, szoc.intézmények beruházás, felújítás, karbantartás</t>
  </si>
  <si>
    <t>EIM-33</t>
  </si>
  <si>
    <t>2019.01. havi Szoc ágazati pótlék humán intézmények</t>
  </si>
  <si>
    <t>EIM-45</t>
  </si>
  <si>
    <t>Musica Sacra közreműködőinek vendéglátás</t>
  </si>
  <si>
    <t>EIM-48</t>
  </si>
  <si>
    <t>Polgármesteri Keret felhasználása</t>
  </si>
  <si>
    <t>EIM-40</t>
  </si>
  <si>
    <t>EIM-39</t>
  </si>
  <si>
    <t>EIM-41</t>
  </si>
  <si>
    <t>Fénymásoló és nyomtató géphez tálca besz</t>
  </si>
  <si>
    <t>EIM-44</t>
  </si>
  <si>
    <t>OMR olvasó beszerzése borítékoló géphez</t>
  </si>
  <si>
    <t>EIM-37</t>
  </si>
  <si>
    <t>KDNP Frakció</t>
  </si>
  <si>
    <t>EIM-36</t>
  </si>
  <si>
    <t>FIDESZ Franció</t>
  </si>
  <si>
    <t>EIM-32</t>
  </si>
  <si>
    <t>Helyiség ért.bérlőnek többletbev.beem.</t>
  </si>
  <si>
    <t>EIM-25</t>
  </si>
  <si>
    <t>Kapott késedelmi kamat</t>
  </si>
  <si>
    <t>EIM-38</t>
  </si>
  <si>
    <t>Hűvösvölgyi SZH - üzemeltetési díj 50% továbbszámlázása</t>
  </si>
  <si>
    <t>EIM-21</t>
  </si>
  <si>
    <t>Lövőház u-i rendszámfelismerő rsz.cseréje</t>
  </si>
  <si>
    <t>EIM-26</t>
  </si>
  <si>
    <t>Őrzési szerződés hosszabbítása</t>
  </si>
  <si>
    <t>EIM-51</t>
  </si>
  <si>
    <t>Eü.Szolg. - Bérkompenzáció 2019. évi</t>
  </si>
  <si>
    <t>PH. -  Bérkompenzáció 2019. évi</t>
  </si>
  <si>
    <t>Intézmények - Bérkompenzáció 2019. évi</t>
  </si>
  <si>
    <t>EIM-50</t>
  </si>
  <si>
    <t>Egyéb szolgáltatás-intézményekhez kapcs. kiadások</t>
  </si>
  <si>
    <t>EIM-52</t>
  </si>
  <si>
    <t>2019. évi összevont ágazati pótlék</t>
  </si>
  <si>
    <t>EIM-53</t>
  </si>
  <si>
    <t>Int.fin. - Intézményi felújítás, érintésvédelem</t>
  </si>
  <si>
    <t>EIM-H-1
EIM-3</t>
  </si>
  <si>
    <t>EIM-H-11
EIM-51</t>
  </si>
  <si>
    <t>PH. Bérkompenzáció 2019. évi</t>
  </si>
  <si>
    <t>EIM-H-9</t>
  </si>
  <si>
    <t>Reprezentáció áfá-ja</t>
  </si>
  <si>
    <t>EIM-56</t>
  </si>
  <si>
    <t>Pályázati dokumentáció bevétele</t>
  </si>
  <si>
    <t>EIM-58</t>
  </si>
  <si>
    <t>Kutyaürülék gyűjtő edények beszerzése, felállítása</t>
  </si>
  <si>
    <t>Képviselői tiszteletdíj visszafizetése</t>
  </si>
  <si>
    <t>EIM-61</t>
  </si>
  <si>
    <t>EIM-64</t>
  </si>
  <si>
    <t>Parkolás Ügyfélszolg.számlájához kamatbevétel</t>
  </si>
  <si>
    <t>EIM-H-16</t>
  </si>
  <si>
    <t>Költségek továbbszámlázása</t>
  </si>
  <si>
    <t>EIM-H-17</t>
  </si>
  <si>
    <t>Jogi O.Végrehajt.kapcs.megtérülések bev.beem.</t>
  </si>
  <si>
    <t>EIM-H-18</t>
  </si>
  <si>
    <t>Köztisztv.munkabér visszafizetés beem.</t>
  </si>
  <si>
    <t>EIM-H-19</t>
  </si>
  <si>
    <t>Egyéb (állatvédelmi) bírság bev.</t>
  </si>
  <si>
    <t>EIM-H-20</t>
  </si>
  <si>
    <t>Foglalkoztatást helyettesítő tám.visszafiz.beem.</t>
  </si>
  <si>
    <t>EIM-44/A</t>
  </si>
  <si>
    <t>EIM-65</t>
  </si>
  <si>
    <t>Óvodai és Szociális dolgozó álláshirdetés megj.</t>
  </si>
  <si>
    <t>Felh.c.kamatbev,Kapott késedelmi kamat</t>
  </si>
  <si>
    <t>EIM-68</t>
  </si>
  <si>
    <t>EIM-70</t>
  </si>
  <si>
    <t>Szoc.szakosított ellátás finansz.bev.beem.</t>
  </si>
  <si>
    <t>EIM-66</t>
  </si>
  <si>
    <t>Gemini szerverlicenc</t>
  </si>
  <si>
    <t>EIM-H-21
EIM-66</t>
  </si>
  <si>
    <t>Előző évi visszajött szoc. támogatások</t>
  </si>
  <si>
    <t>Előző évi visszajött szoc. Támogatások</t>
  </si>
  <si>
    <t>EIM-71</t>
  </si>
  <si>
    <t>EIM-73</t>
  </si>
  <si>
    <t>Jogi képviselet - Ellátási osztályon</t>
  </si>
  <si>
    <t>EIM-74</t>
  </si>
  <si>
    <t>EIM-75</t>
  </si>
  <si>
    <t xml:space="preserve">Szolgáltatások ellenértéke </t>
  </si>
  <si>
    <t>Egyéb szabálysértési bírság beem.</t>
  </si>
  <si>
    <t>Egyéb bevételek beem.</t>
  </si>
  <si>
    <t>EIM-76</t>
  </si>
  <si>
    <t>Fővárosi EU-s csatornafejlesztés bev.beem.</t>
  </si>
  <si>
    <t>EIM-77</t>
  </si>
  <si>
    <t>EIM-82</t>
  </si>
  <si>
    <t>Parkolás Ügyfélszolg.másolási díj beem.</t>
  </si>
  <si>
    <t>EIM-83</t>
  </si>
  <si>
    <t>EIM-84</t>
  </si>
  <si>
    <t>Előző évben adott, fel nem használt támogatások visszafizetése</t>
  </si>
  <si>
    <t>EIM-88</t>
  </si>
  <si>
    <t>EIM-89</t>
  </si>
  <si>
    <t>Kv-i O-ra beérkező bevételek beem.</t>
  </si>
  <si>
    <t>EIM-90</t>
  </si>
  <si>
    <t>EIM-92</t>
  </si>
  <si>
    <t>KDNP Frakciókeret visszavonás</t>
  </si>
  <si>
    <t>EIM-93</t>
  </si>
  <si>
    <t>FIDESZ Frakciókeret módosítás</t>
  </si>
  <si>
    <t>EIM-95</t>
  </si>
  <si>
    <t xml:space="preserve">Európai Mobilitási Hét - Autómentes Nap </t>
  </si>
  <si>
    <t>EIM-94</t>
  </si>
  <si>
    <t xml:space="preserve">Kerületünk az Otthonunk Fr. </t>
  </si>
  <si>
    <t>Lamináló gép beszerzése</t>
  </si>
  <si>
    <t>EIM-101</t>
  </si>
  <si>
    <t>EIM-102</t>
  </si>
  <si>
    <t>Iskolabusz pr.igényfelméréshez szem.jutt.</t>
  </si>
  <si>
    <t>EIM-102/a</t>
  </si>
  <si>
    <t>EIM-104</t>
  </si>
  <si>
    <t>Ügyfélhívó rendszer -központi ügyfélszolra</t>
  </si>
  <si>
    <t>EIM-H-23
EIM-104</t>
  </si>
  <si>
    <t>EIM-107</t>
  </si>
  <si>
    <t>Takarító gép vásárlása</t>
  </si>
  <si>
    <t>Parkolási övezet kial. tanulmányterv</t>
  </si>
  <si>
    <t>EIM-109</t>
  </si>
  <si>
    <t>EIM-H-24
EIM-109</t>
  </si>
  <si>
    <t>Adyligeti nyilv.illemhely üzemeltetése</t>
  </si>
  <si>
    <t>EIM-110</t>
  </si>
  <si>
    <t>EIM-113</t>
  </si>
  <si>
    <t>Őrzési és takarítási szerz-k hosszabbítása</t>
  </si>
  <si>
    <t>EIM-117</t>
  </si>
  <si>
    <t>2019. évi bérkompenzáció 03. havi</t>
  </si>
  <si>
    <t>EIM-H-28
EIM-117</t>
  </si>
  <si>
    <t>EIM-122</t>
  </si>
  <si>
    <t>Bursa Hungarica - visszautalt fel nem haszn.ösztöndíj</t>
  </si>
  <si>
    <t>EIM-123</t>
  </si>
  <si>
    <t>Régi bizt.díj túlfiz.visszaut.LXS-159 KGFB</t>
  </si>
  <si>
    <t>EIM-H-25</t>
  </si>
  <si>
    <t>Reprezentációk áfá-ja 8101 OK</t>
  </si>
  <si>
    <t>EIM-H-26</t>
  </si>
  <si>
    <t>Végrehajtási bírság - Környezetgazd. Osztály</t>
  </si>
  <si>
    <t>EIM-H-27</t>
  </si>
  <si>
    <t>Képviselő részére inf.eszk.értékesítése</t>
  </si>
  <si>
    <t>EIM-H-30</t>
  </si>
  <si>
    <t>Költségek továbbszámlázása Telenor szerz-ből</t>
  </si>
  <si>
    <t>EIM-H-31</t>
  </si>
  <si>
    <t>EIM-124</t>
  </si>
  <si>
    <t>EIM-125</t>
  </si>
  <si>
    <t>2018.évben megrongált 2 db.parkoló automata utólagos kártérítése</t>
  </si>
  <si>
    <t>HungaroControll Zrt-től támogatás</t>
  </si>
  <si>
    <t>2018.évben megrongált 7 db.parkoló automata utólagos kártérítése</t>
  </si>
  <si>
    <t>EIM-127</t>
  </si>
  <si>
    <t>EIM-128</t>
  </si>
  <si>
    <t>Főv-i parkoláshoz szoftvercsomagra átcsop.</t>
  </si>
  <si>
    <t>EIM-129</t>
  </si>
  <si>
    <t>EIM-132</t>
  </si>
  <si>
    <t>EIM-136</t>
  </si>
  <si>
    <t>EIM-138</t>
  </si>
  <si>
    <t>EIM-139</t>
  </si>
  <si>
    <t>EIM-140</t>
  </si>
  <si>
    <t>Földutak szilárd burkolására</t>
  </si>
  <si>
    <t>Fény u.4-6. kerítés kivitelezése</t>
  </si>
  <si>
    <t>EIM-H-33
EIM-132</t>
  </si>
  <si>
    <t>Klebelsberg Kúria híd kivit.szerz-hez</t>
  </si>
  <si>
    <t>Szociális lakások felújítására átcsop.</t>
  </si>
  <si>
    <t>Közbiztonsági Alapítvány tám.</t>
  </si>
  <si>
    <t>Használatba adott eszköz megvásárlása</t>
  </si>
  <si>
    <t>2019. évi bérkompenzáció 03. havi PH</t>
  </si>
  <si>
    <t>EIM-118</t>
  </si>
  <si>
    <t xml:space="preserve">Intézm. - 2019. évi bérkompenzáció 03. havi </t>
  </si>
  <si>
    <t>Eü.Szolg. - 2019. évi bérkompenzáció 3. havi</t>
  </si>
  <si>
    <t>Intézm. - 2019.04.havi ágazati pótlék</t>
  </si>
  <si>
    <t>EIM-119</t>
  </si>
  <si>
    <t>Int.fin. - Óvodai karbantartásokra</t>
  </si>
  <si>
    <t>EIM-133</t>
  </si>
  <si>
    <t>Margit krt.-Kelet K. u. csp. gyal.felj</t>
  </si>
  <si>
    <t>EIM-145</t>
  </si>
  <si>
    <t>Osztalék bev.csökk.a Fény Utcai Piac Kft adózott er-ből</t>
  </si>
  <si>
    <t>Osztalék bev.csökk.a Fény Utcai Piac Kft</t>
  </si>
  <si>
    <t>EIM-H-34</t>
  </si>
  <si>
    <t>EP választás - Központi keret</t>
  </si>
  <si>
    <t>EIM-141</t>
  </si>
  <si>
    <t>EP választás - saját keret</t>
  </si>
  <si>
    <t>EIM-H-35
EIM-141</t>
  </si>
  <si>
    <t>2018. évben le nem utalt finanszírozás</t>
  </si>
  <si>
    <t>8. sz. melléklet</t>
  </si>
  <si>
    <t>9. sz. melléklet</t>
  </si>
  <si>
    <t>10. sz. melléklet</t>
  </si>
  <si>
    <t>11.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</si>
</sst>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#,##0\ _F_t"/>
    <numFmt numFmtId="165" formatCode="#,##0.000"/>
    <numFmt numFmtId="166" formatCode="_-* #,##0.000\ _F_t_-;\-* #,##0.000\ _F_t_-;_-* &quot;-&quot;??\ _F_t_-;_-@_-"/>
    <numFmt numFmtId="167" formatCode="_-* #,##0\ _F_t_-;\-* #,##0\ _F_t_-;_-* &quot;-&quot;??\ _F_t_-;_-@_-"/>
    <numFmt numFmtId="168" formatCode="#,##0.000;[Red]#,##0.000"/>
    <numFmt numFmtId="169" formatCode="0.000"/>
    <numFmt numFmtId="170" formatCode="#,##0.000\ _F_t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8"/>
      <name val="Arial"/>
      <family val="2"/>
      <charset val="238"/>
    </font>
    <font>
      <sz val="13"/>
      <name val="Times New Roman CE"/>
      <family val="1"/>
      <charset val="238"/>
    </font>
    <font>
      <sz val="10"/>
      <name val="Times New Roman CE"/>
      <family val="1"/>
      <charset val="238"/>
    </font>
    <font>
      <b/>
      <sz val="13"/>
      <name val="Times New Roman CE"/>
      <family val="1"/>
      <charset val="238"/>
    </font>
    <font>
      <sz val="9"/>
      <name val="Times New Roman CE"/>
      <family val="1"/>
      <charset val="238"/>
    </font>
    <font>
      <sz val="13"/>
      <name val="Times New Roman CE"/>
      <charset val="238"/>
    </font>
    <font>
      <i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Times New Roman CE"/>
      <charset val="238"/>
    </font>
    <font>
      <sz val="12"/>
      <name val="Times New Roman CE"/>
      <family val="1"/>
      <charset val="238"/>
    </font>
    <font>
      <i/>
      <sz val="13"/>
      <name val="Times New Roman CE"/>
      <charset val="238"/>
    </font>
    <font>
      <sz val="11"/>
      <name val="Times New Roman CE"/>
      <family val="1"/>
      <charset val="238"/>
    </font>
    <font>
      <i/>
      <sz val="10"/>
      <name val="Times New Roman CE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color indexed="10"/>
      <name val="Times New Roman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3"/>
      <color indexed="10"/>
      <name val="Times New Roman CE"/>
      <family val="1"/>
      <charset val="238"/>
    </font>
    <font>
      <b/>
      <i/>
      <sz val="10"/>
      <name val="Times New Roman CE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charset val="238"/>
    </font>
    <font>
      <sz val="12"/>
      <color rgb="FFFF0000"/>
      <name val="Times New Roman CE"/>
      <family val="1"/>
      <charset val="238"/>
    </font>
    <font>
      <b/>
      <sz val="13"/>
      <color rgb="FFFF0000"/>
      <name val="Times New Roman CE"/>
      <charset val="238"/>
    </font>
    <font>
      <sz val="13"/>
      <color theme="1"/>
      <name val="Times New Roman CE"/>
      <charset val="238"/>
    </font>
    <font>
      <sz val="9"/>
      <name val="Times New Roman CE"/>
      <charset val="238"/>
    </font>
    <font>
      <sz val="13"/>
      <color rgb="FFFF0000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2" fillId="0" borderId="0"/>
  </cellStyleXfs>
  <cellXfs count="697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1" xfId="2" applyFont="1" applyBorder="1" applyAlignment="1">
      <alignment horizontal="right" vertical="top"/>
    </xf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4" fillId="0" borderId="5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4" fillId="0" borderId="7" xfId="2" applyFont="1" applyBorder="1" applyAlignment="1"/>
    <xf numFmtId="0" fontId="6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right"/>
    </xf>
    <xf numFmtId="0" fontId="4" fillId="0" borderId="14" xfId="2" applyFont="1" applyBorder="1" applyAlignment="1">
      <alignment horizontal="right"/>
    </xf>
    <xf numFmtId="0" fontId="9" fillId="0" borderId="15" xfId="2" applyFont="1" applyBorder="1" applyAlignment="1">
      <alignment horizontal="right" vertical="center"/>
    </xf>
    <xf numFmtId="3" fontId="9" fillId="0" borderId="15" xfId="2" applyNumberFormat="1" applyFont="1" applyBorder="1" applyAlignment="1">
      <alignment horizontal="right" vertical="center" wrapText="1"/>
    </xf>
    <xf numFmtId="0" fontId="4" fillId="0" borderId="5" xfId="2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3" fontId="5" fillId="0" borderId="0" xfId="2" applyNumberFormat="1" applyFont="1"/>
    <xf numFmtId="1" fontId="8" fillId="0" borderId="15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4" fontId="11" fillId="0" borderId="17" xfId="2" applyNumberFormat="1" applyFont="1" applyBorder="1" applyAlignment="1">
      <alignment vertical="center" wrapText="1"/>
    </xf>
    <xf numFmtId="164" fontId="11" fillId="0" borderId="18" xfId="2" applyNumberFormat="1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1" fontId="4" fillId="0" borderId="15" xfId="2" applyNumberFormat="1" applyFont="1" applyBorder="1" applyAlignment="1">
      <alignment horizontal="center" vertical="center" wrapText="1"/>
    </xf>
    <xf numFmtId="16" fontId="5" fillId="0" borderId="16" xfId="2" quotePrefix="1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164" fontId="8" fillId="0" borderId="10" xfId="2" applyNumberFormat="1" applyFont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/>
    </xf>
    <xf numFmtId="3" fontId="12" fillId="0" borderId="10" xfId="2" applyNumberFormat="1" applyFont="1" applyBorder="1" applyAlignment="1">
      <alignment vertical="center" wrapText="1"/>
    </xf>
    <xf numFmtId="0" fontId="5" fillId="0" borderId="0" xfId="2" applyFont="1" applyBorder="1"/>
    <xf numFmtId="0" fontId="4" fillId="0" borderId="1" xfId="2" applyFont="1" applyBorder="1" applyAlignment="1">
      <alignment vertical="top"/>
    </xf>
    <xf numFmtId="0" fontId="4" fillId="0" borderId="2" xfId="2" applyFont="1" applyBorder="1" applyAlignment="1">
      <alignment vertical="top"/>
    </xf>
    <xf numFmtId="0" fontId="6" fillId="0" borderId="0" xfId="2" applyFont="1" applyBorder="1" applyAlignment="1">
      <alignment horizontal="center"/>
    </xf>
    <xf numFmtId="0" fontId="4" fillId="0" borderId="5" xfId="2" applyFont="1" applyBorder="1" applyAlignment="1">
      <alignment vertical="top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6" xfId="0" applyFont="1" applyFill="1" applyBorder="1" applyAlignment="1">
      <alignment horizontal="center"/>
    </xf>
    <xf numFmtId="0" fontId="13" fillId="0" borderId="13" xfId="2" applyFont="1" applyBorder="1" applyAlignment="1">
      <alignment vertical="top"/>
    </xf>
    <xf numFmtId="0" fontId="13" fillId="0" borderId="15" xfId="2" applyFont="1" applyBorder="1" applyAlignment="1">
      <alignment horizontal="right" vertical="center"/>
    </xf>
    <xf numFmtId="3" fontId="13" fillId="0" borderId="0" xfId="2" applyNumberFormat="1" applyFont="1" applyBorder="1"/>
    <xf numFmtId="3" fontId="11" fillId="0" borderId="0" xfId="2" applyNumberFormat="1" applyFont="1" applyBorder="1"/>
    <xf numFmtId="0" fontId="15" fillId="0" borderId="0" xfId="2" applyFont="1"/>
    <xf numFmtId="0" fontId="8" fillId="0" borderId="5" xfId="2" applyFont="1" applyBorder="1" applyAlignment="1">
      <alignment horizontal="center" vertical="top"/>
    </xf>
    <xf numFmtId="3" fontId="4" fillId="0" borderId="0" xfId="2" applyNumberFormat="1" applyFont="1" applyBorder="1"/>
    <xf numFmtId="3" fontId="6" fillId="0" borderId="0" xfId="2" applyNumberFormat="1" applyFont="1" applyBorder="1"/>
    <xf numFmtId="3" fontId="8" fillId="0" borderId="10" xfId="2" applyNumberFormat="1" applyFont="1" applyFill="1" applyBorder="1" applyAlignment="1">
      <alignment vertical="center" wrapText="1"/>
    </xf>
    <xf numFmtId="3" fontId="8" fillId="0" borderId="10" xfId="2" applyNumberFormat="1" applyFont="1" applyBorder="1" applyAlignment="1">
      <alignment vertical="center" wrapText="1"/>
    </xf>
    <xf numFmtId="3" fontId="8" fillId="0" borderId="19" xfId="2" applyNumberFormat="1" applyFont="1" applyBorder="1" applyAlignment="1">
      <alignment vertical="center" wrapText="1"/>
    </xf>
    <xf numFmtId="49" fontId="12" fillId="0" borderId="15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3" fontId="8" fillId="0" borderId="20" xfId="2" applyNumberFormat="1" applyFont="1" applyBorder="1" applyAlignment="1">
      <alignment vertical="center" wrapText="1"/>
    </xf>
    <xf numFmtId="3" fontId="10" fillId="0" borderId="21" xfId="2" applyNumberFormat="1" applyFont="1" applyBorder="1" applyAlignment="1">
      <alignment vertical="center"/>
    </xf>
    <xf numFmtId="0" fontId="5" fillId="0" borderId="17" xfId="2" applyFont="1" applyBorder="1"/>
    <xf numFmtId="0" fontId="8" fillId="0" borderId="5" xfId="2" applyFont="1" applyBorder="1" applyAlignment="1">
      <alignment horizontal="center" vertical="center"/>
    </xf>
    <xf numFmtId="3" fontId="16" fillId="0" borderId="22" xfId="2" applyNumberFormat="1" applyFont="1" applyBorder="1" applyAlignment="1">
      <alignment vertical="center" wrapText="1"/>
    </xf>
    <xf numFmtId="0" fontId="8" fillId="0" borderId="11" xfId="2" applyFont="1" applyBorder="1" applyAlignment="1">
      <alignment horizontal="center" vertical="center" wrapText="1"/>
    </xf>
    <xf numFmtId="3" fontId="5" fillId="0" borderId="0" xfId="2" applyNumberFormat="1" applyFont="1" applyBorder="1"/>
    <xf numFmtId="3" fontId="10" fillId="0" borderId="17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/>
    </xf>
    <xf numFmtId="16" fontId="4" fillId="0" borderId="16" xfId="2" applyNumberFormat="1" applyFont="1" applyBorder="1" applyAlignment="1">
      <alignment vertical="center"/>
    </xf>
    <xf numFmtId="0" fontId="4" fillId="0" borderId="0" xfId="2" applyFont="1" applyAlignment="1">
      <alignment vertical="top"/>
    </xf>
    <xf numFmtId="0" fontId="13" fillId="0" borderId="25" xfId="2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3" fontId="8" fillId="0" borderId="33" xfId="2" applyNumberFormat="1" applyFont="1" applyBorder="1" applyAlignment="1">
      <alignment vertical="center" wrapText="1"/>
    </xf>
    <xf numFmtId="3" fontId="8" fillId="0" borderId="34" xfId="2" applyNumberFormat="1" applyFont="1" applyBorder="1" applyAlignment="1">
      <alignment vertical="center" wrapText="1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49" fontId="8" fillId="0" borderId="11" xfId="2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4" fillId="0" borderId="17" xfId="2" quotePrefix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horizontal="center"/>
    </xf>
    <xf numFmtId="3" fontId="8" fillId="0" borderId="38" xfId="2" applyNumberFormat="1" applyFont="1" applyBorder="1" applyAlignment="1">
      <alignment vertical="center"/>
    </xf>
    <xf numFmtId="165" fontId="5" fillId="0" borderId="0" xfId="2" applyNumberFormat="1" applyFont="1" applyBorder="1"/>
    <xf numFmtId="0" fontId="4" fillId="0" borderId="39" xfId="2" applyFont="1" applyBorder="1" applyAlignment="1">
      <alignment horizontal="center"/>
    </xf>
    <xf numFmtId="0" fontId="13" fillId="0" borderId="11" xfId="2" applyFont="1" applyBorder="1" applyAlignment="1">
      <alignment horizontal="right" vertical="center"/>
    </xf>
    <xf numFmtId="0" fontId="10" fillId="0" borderId="16" xfId="2" applyFont="1" applyBorder="1" applyAlignment="1">
      <alignment horizontal="center"/>
    </xf>
    <xf numFmtId="0" fontId="4" fillId="0" borderId="16" xfId="2" applyFont="1" applyBorder="1" applyAlignment="1">
      <alignment horizontal="center" vertical="top"/>
    </xf>
    <xf numFmtId="49" fontId="12" fillId="0" borderId="11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1" fontId="8" fillId="0" borderId="10" xfId="2" applyNumberFormat="1" applyFont="1" applyBorder="1" applyAlignment="1">
      <alignment horizontal="center" vertical="center" wrapText="1"/>
    </xf>
    <xf numFmtId="3" fontId="16" fillId="0" borderId="10" xfId="2" applyNumberFormat="1" applyFont="1" applyBorder="1" applyAlignment="1">
      <alignment vertical="center" wrapText="1"/>
    </xf>
    <xf numFmtId="3" fontId="6" fillId="0" borderId="40" xfId="2" applyNumberFormat="1" applyFont="1" applyBorder="1" applyAlignment="1">
      <alignment horizontal="right" vertical="center" wrapText="1"/>
    </xf>
    <xf numFmtId="3" fontId="9" fillId="0" borderId="41" xfId="2" applyNumberFormat="1" applyFont="1" applyBorder="1" applyAlignment="1">
      <alignment horizontal="right" vertical="center" wrapText="1"/>
    </xf>
    <xf numFmtId="3" fontId="9" fillId="0" borderId="22" xfId="2" applyNumberFormat="1" applyFont="1" applyBorder="1"/>
    <xf numFmtId="3" fontId="9" fillId="0" borderId="42" xfId="2" applyNumberFormat="1" applyFont="1" applyBorder="1"/>
    <xf numFmtId="0" fontId="4" fillId="0" borderId="11" xfId="2" applyFont="1" applyBorder="1" applyAlignment="1">
      <alignment horizontal="center" vertical="center" wrapText="1"/>
    </xf>
    <xf numFmtId="0" fontId="9" fillId="0" borderId="43" xfId="2" applyFont="1" applyBorder="1" applyAlignment="1">
      <alignment vertical="center" wrapText="1"/>
    </xf>
    <xf numFmtId="3" fontId="18" fillId="0" borderId="43" xfId="2" applyNumberFormat="1" applyFont="1" applyFill="1" applyBorder="1" applyAlignment="1">
      <alignment vertical="center" wrapText="1"/>
    </xf>
    <xf numFmtId="3" fontId="8" fillId="0" borderId="43" xfId="2" applyNumberFormat="1" applyFont="1" applyFill="1" applyBorder="1" applyAlignment="1">
      <alignment vertical="center" wrapText="1"/>
    </xf>
    <xf numFmtId="3" fontId="8" fillId="0" borderId="43" xfId="2" applyNumberFormat="1" applyFont="1" applyBorder="1" applyAlignment="1">
      <alignment vertical="center" wrapText="1"/>
    </xf>
    <xf numFmtId="0" fontId="4" fillId="0" borderId="44" xfId="2" applyFont="1" applyBorder="1" applyAlignment="1">
      <alignment horizontal="center" vertical="top"/>
    </xf>
    <xf numFmtId="0" fontId="4" fillId="0" borderId="45" xfId="2" applyFont="1" applyBorder="1" applyAlignment="1">
      <alignment horizontal="center" vertical="top"/>
    </xf>
    <xf numFmtId="0" fontId="13" fillId="0" borderId="14" xfId="2" applyFont="1" applyBorder="1"/>
    <xf numFmtId="3" fontId="13" fillId="0" borderId="15" xfId="2" applyNumberFormat="1" applyFont="1" applyBorder="1" applyAlignment="1">
      <alignment vertical="center" wrapText="1"/>
    </xf>
    <xf numFmtId="3" fontId="13" fillId="0" borderId="46" xfId="2" applyNumberFormat="1" applyFont="1" applyBorder="1" applyAlignment="1">
      <alignment vertical="center" wrapText="1"/>
    </xf>
    <xf numFmtId="3" fontId="11" fillId="0" borderId="41" xfId="2" applyNumberFormat="1" applyFont="1" applyBorder="1" applyAlignment="1">
      <alignment horizontal="right" vertical="center" wrapText="1"/>
    </xf>
    <xf numFmtId="3" fontId="9" fillId="0" borderId="15" xfId="2" applyNumberFormat="1" applyFont="1" applyFill="1" applyBorder="1" applyAlignment="1">
      <alignment horizontal="right" vertical="center" wrapText="1"/>
    </xf>
    <xf numFmtId="165" fontId="8" fillId="0" borderId="10" xfId="2" applyNumberFormat="1" applyFont="1" applyBorder="1" applyAlignment="1">
      <alignment vertical="center" wrapText="1"/>
    </xf>
    <xf numFmtId="0" fontId="8" fillId="0" borderId="13" xfId="2" applyFont="1" applyBorder="1" applyAlignment="1">
      <alignment horizontal="center" vertical="top"/>
    </xf>
    <xf numFmtId="3" fontId="10" fillId="0" borderId="21" xfId="2" applyNumberFormat="1" applyFont="1" applyFill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5" fontId="8" fillId="0" borderId="10" xfId="2" applyNumberFormat="1" applyFont="1" applyFill="1" applyBorder="1" applyAlignment="1">
      <alignment vertical="center" wrapText="1"/>
    </xf>
    <xf numFmtId="165" fontId="8" fillId="0" borderId="19" xfId="2" applyNumberFormat="1" applyFont="1" applyBorder="1" applyAlignment="1">
      <alignment vertical="center" wrapText="1"/>
    </xf>
    <xf numFmtId="165" fontId="10" fillId="0" borderId="17" xfId="2" applyNumberFormat="1" applyFont="1" applyBorder="1" applyAlignment="1">
      <alignment vertical="center"/>
    </xf>
    <xf numFmtId="165" fontId="8" fillId="0" borderId="17" xfId="2" applyNumberFormat="1" applyFont="1" applyBorder="1" applyAlignment="1">
      <alignment vertical="center" wrapText="1"/>
    </xf>
    <xf numFmtId="165" fontId="8" fillId="0" borderId="33" xfId="2" applyNumberFormat="1" applyFont="1" applyBorder="1" applyAlignment="1">
      <alignment vertical="center" wrapText="1"/>
    </xf>
    <xf numFmtId="165" fontId="10" fillId="0" borderId="23" xfId="2" applyNumberFormat="1" applyFont="1" applyBorder="1" applyAlignment="1">
      <alignment vertical="center"/>
    </xf>
    <xf numFmtId="165" fontId="12" fillId="0" borderId="10" xfId="2" applyNumberFormat="1" applyFont="1" applyBorder="1" applyAlignment="1">
      <alignment vertical="center" wrapText="1"/>
    </xf>
    <xf numFmtId="165" fontId="12" fillId="0" borderId="19" xfId="2" applyNumberFormat="1" applyFont="1" applyBorder="1" applyAlignment="1">
      <alignment vertical="center" wrapText="1"/>
    </xf>
    <xf numFmtId="165" fontId="10" fillId="0" borderId="21" xfId="2" applyNumberFormat="1" applyFont="1" applyBorder="1" applyAlignment="1">
      <alignment vertical="center" wrapText="1"/>
    </xf>
    <xf numFmtId="165" fontId="5" fillId="0" borderId="0" xfId="2" applyNumberFormat="1" applyFont="1"/>
    <xf numFmtId="165" fontId="4" fillId="0" borderId="10" xfId="2" applyNumberFormat="1" applyFont="1" applyBorder="1" applyAlignment="1">
      <alignment vertical="center" wrapText="1"/>
    </xf>
    <xf numFmtId="165" fontId="4" fillId="0" borderId="19" xfId="2" applyNumberFormat="1" applyFont="1" applyBorder="1" applyAlignment="1">
      <alignment vertical="center" wrapText="1"/>
    </xf>
    <xf numFmtId="165" fontId="6" fillId="0" borderId="8" xfId="2" applyNumberFormat="1" applyFont="1" applyBorder="1" applyAlignment="1">
      <alignment vertical="center" wrapText="1"/>
    </xf>
    <xf numFmtId="165" fontId="4" fillId="0" borderId="33" xfId="2" applyNumberFormat="1" applyFont="1" applyBorder="1" applyAlignment="1">
      <alignment vertical="center" wrapText="1"/>
    </xf>
    <xf numFmtId="165" fontId="11" fillId="0" borderId="17" xfId="2" applyNumberFormat="1" applyFont="1" applyBorder="1" applyAlignment="1">
      <alignment vertical="center" wrapText="1"/>
    </xf>
    <xf numFmtId="165" fontId="11" fillId="0" borderId="18" xfId="2" applyNumberFormat="1" applyFont="1" applyBorder="1" applyAlignment="1">
      <alignment vertical="center" wrapText="1"/>
    </xf>
    <xf numFmtId="165" fontId="6" fillId="0" borderId="18" xfId="2" applyNumberFormat="1" applyFont="1" applyBorder="1" applyAlignment="1">
      <alignment vertical="center" wrapText="1"/>
    </xf>
    <xf numFmtId="165" fontId="4" fillId="0" borderId="5" xfId="2" applyNumberFormat="1" applyFont="1" applyBorder="1" applyAlignment="1">
      <alignment vertical="center" wrapText="1"/>
    </xf>
    <xf numFmtId="165" fontId="4" fillId="0" borderId="6" xfId="2" applyNumberFormat="1" applyFont="1" applyBorder="1" applyAlignment="1">
      <alignment vertical="center" wrapText="1"/>
    </xf>
    <xf numFmtId="165" fontId="10" fillId="0" borderId="17" xfId="2" applyNumberFormat="1" applyFont="1" applyBorder="1" applyAlignment="1">
      <alignment vertical="center" wrapText="1"/>
    </xf>
    <xf numFmtId="165" fontId="10" fillId="0" borderId="18" xfId="2" applyNumberFormat="1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65" fontId="11" fillId="0" borderId="21" xfId="2" applyNumberFormat="1" applyFont="1" applyBorder="1" applyAlignment="1">
      <alignment vertical="center" wrapText="1"/>
    </xf>
    <xf numFmtId="165" fontId="11" fillId="0" borderId="47" xfId="2" applyNumberFormat="1" applyFont="1" applyBorder="1" applyAlignment="1">
      <alignment vertical="center" wrapText="1"/>
    </xf>
    <xf numFmtId="0" fontId="4" fillId="0" borderId="0" xfId="2" applyFont="1" applyAlignment="1">
      <alignment horizontal="right"/>
    </xf>
    <xf numFmtId="0" fontId="4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 wrapText="1"/>
    </xf>
    <xf numFmtId="0" fontId="10" fillId="0" borderId="49" xfId="2" applyFont="1" applyBorder="1" applyAlignment="1">
      <alignment vertical="center"/>
    </xf>
    <xf numFmtId="165" fontId="10" fillId="0" borderId="50" xfId="2" applyNumberFormat="1" applyFont="1" applyBorder="1" applyAlignment="1">
      <alignment vertical="center"/>
    </xf>
    <xf numFmtId="165" fontId="10" fillId="0" borderId="51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wrapText="1"/>
    </xf>
    <xf numFmtId="165" fontId="10" fillId="0" borderId="46" xfId="2" applyNumberFormat="1" applyFont="1" applyBorder="1" applyAlignment="1">
      <alignment vertical="center"/>
    </xf>
    <xf numFmtId="165" fontId="10" fillId="0" borderId="41" xfId="2" applyNumberFormat="1" applyFont="1" applyBorder="1" applyAlignment="1">
      <alignment vertical="center"/>
    </xf>
    <xf numFmtId="0" fontId="4" fillId="0" borderId="5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vertical="center"/>
    </xf>
    <xf numFmtId="165" fontId="10" fillId="0" borderId="53" xfId="2" applyNumberFormat="1" applyFont="1" applyBorder="1" applyAlignment="1">
      <alignment vertical="center"/>
    </xf>
    <xf numFmtId="165" fontId="10" fillId="0" borderId="54" xfId="2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20" fillId="0" borderId="10" xfId="2" applyFont="1" applyBorder="1" applyAlignment="1">
      <alignment vertical="center" wrapText="1"/>
    </xf>
    <xf numFmtId="0" fontId="4" fillId="2" borderId="9" xfId="0" applyFont="1" applyFill="1" applyBorder="1" applyAlignment="1">
      <alignment horizontal="center"/>
    </xf>
    <xf numFmtId="3" fontId="16" fillId="0" borderId="19" xfId="2" applyNumberFormat="1" applyFont="1" applyBorder="1" applyAlignment="1">
      <alignment vertical="center" wrapText="1"/>
    </xf>
    <xf numFmtId="3" fontId="11" fillId="0" borderId="17" xfId="2" applyNumberFormat="1" applyFont="1" applyBorder="1" applyAlignment="1">
      <alignment vertical="center" wrapText="1"/>
    </xf>
    <xf numFmtId="165" fontId="21" fillId="0" borderId="17" xfId="2" applyNumberFormat="1" applyFont="1" applyBorder="1" applyAlignment="1">
      <alignment vertical="center" wrapText="1"/>
    </xf>
    <xf numFmtId="1" fontId="8" fillId="3" borderId="10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3" fontId="8" fillId="0" borderId="22" xfId="2" applyNumberFormat="1" applyFont="1" applyBorder="1" applyAlignment="1">
      <alignment vertical="center" wrapText="1"/>
    </xf>
    <xf numFmtId="164" fontId="11" fillId="0" borderId="21" xfId="2" applyNumberFormat="1" applyFont="1" applyBorder="1" applyAlignment="1">
      <alignment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 wrapText="1"/>
    </xf>
    <xf numFmtId="0" fontId="4" fillId="0" borderId="55" xfId="2" applyFont="1" applyBorder="1" applyAlignment="1">
      <alignment horizontal="center"/>
    </xf>
    <xf numFmtId="0" fontId="4" fillId="0" borderId="56" xfId="2" applyFont="1" applyBorder="1" applyAlignment="1">
      <alignment horizontal="center"/>
    </xf>
    <xf numFmtId="0" fontId="13" fillId="0" borderId="57" xfId="2" applyFont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3" fontId="13" fillId="0" borderId="11" xfId="2" applyNumberFormat="1" applyFont="1" applyBorder="1" applyAlignment="1">
      <alignment vertical="center" wrapText="1"/>
    </xf>
    <xf numFmtId="0" fontId="4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5" fillId="0" borderId="17" xfId="2" applyFont="1" applyBorder="1" applyAlignment="1">
      <alignment horizontal="center"/>
    </xf>
    <xf numFmtId="0" fontId="8" fillId="0" borderId="5" xfId="2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1" fontId="8" fillId="0" borderId="15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" fontId="4" fillId="0" borderId="15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Border="1" applyAlignment="1">
      <alignment vertical="center" wrapText="1"/>
    </xf>
    <xf numFmtId="3" fontId="4" fillId="0" borderId="19" xfId="2" applyNumberFormat="1" applyFont="1" applyBorder="1" applyAlignment="1">
      <alignment vertical="center" wrapText="1"/>
    </xf>
    <xf numFmtId="3" fontId="11" fillId="0" borderId="18" xfId="2" applyNumberFormat="1" applyFont="1" applyBorder="1" applyAlignment="1">
      <alignment vertical="center" wrapText="1"/>
    </xf>
    <xf numFmtId="3" fontId="13" fillId="0" borderId="11" xfId="2" applyNumberFormat="1" applyFont="1" applyBorder="1" applyAlignment="1">
      <alignment vertical="center"/>
    </xf>
    <xf numFmtId="3" fontId="16" fillId="0" borderId="58" xfId="2" applyNumberFormat="1" applyFont="1" applyBorder="1"/>
    <xf numFmtId="3" fontId="16" fillId="0" borderId="59" xfId="2" applyNumberFormat="1" applyFont="1" applyBorder="1"/>
    <xf numFmtId="165" fontId="16" fillId="0" borderId="19" xfId="2" applyNumberFormat="1" applyFont="1" applyBorder="1" applyAlignment="1">
      <alignment vertical="center" wrapText="1"/>
    </xf>
    <xf numFmtId="165" fontId="16" fillId="3" borderId="60" xfId="2" applyNumberFormat="1" applyFont="1" applyFill="1" applyBorder="1" applyAlignment="1">
      <alignment vertical="center" wrapText="1"/>
    </xf>
    <xf numFmtId="3" fontId="16" fillId="0" borderId="61" xfId="2" applyNumberFormat="1" applyFont="1" applyBorder="1"/>
    <xf numFmtId="164" fontId="11" fillId="0" borderId="62" xfId="2" applyNumberFormat="1" applyFont="1" applyBorder="1" applyAlignment="1">
      <alignment vertical="center" wrapText="1"/>
    </xf>
    <xf numFmtId="165" fontId="10" fillId="0" borderId="59" xfId="2" applyNumberFormat="1" applyFont="1" applyBorder="1" applyAlignment="1">
      <alignment horizontal="right" vertical="center" wrapText="1"/>
    </xf>
    <xf numFmtId="0" fontId="4" fillId="0" borderId="8" xfId="2" applyFont="1" applyBorder="1" applyAlignment="1">
      <alignment horizontal="center"/>
    </xf>
    <xf numFmtId="0" fontId="4" fillId="0" borderId="64" xfId="2" applyFont="1" applyBorder="1" applyAlignment="1">
      <alignment horizontal="center" vertical="center"/>
    </xf>
    <xf numFmtId="3" fontId="9" fillId="0" borderId="64" xfId="2" applyNumberFormat="1" applyFont="1" applyFill="1" applyBorder="1" applyAlignment="1">
      <alignment horizontal="right" vertical="center" wrapText="1"/>
    </xf>
    <xf numFmtId="3" fontId="8" fillId="0" borderId="8" xfId="2" applyNumberFormat="1" applyFont="1" applyBorder="1" applyAlignment="1">
      <alignment vertical="center" wrapText="1"/>
    </xf>
    <xf numFmtId="3" fontId="13" fillId="0" borderId="64" xfId="2" applyNumberFormat="1" applyFont="1" applyBorder="1" applyAlignment="1">
      <alignment vertical="center" wrapText="1"/>
    </xf>
    <xf numFmtId="3" fontId="9" fillId="0" borderId="64" xfId="2" applyNumberFormat="1" applyFont="1" applyBorder="1" applyAlignment="1">
      <alignment horizontal="right" vertical="center" wrapText="1"/>
    </xf>
    <xf numFmtId="3" fontId="6" fillId="0" borderId="60" xfId="2" applyNumberFormat="1" applyFont="1" applyBorder="1" applyAlignment="1">
      <alignment vertical="center" wrapText="1"/>
    </xf>
    <xf numFmtId="3" fontId="4" fillId="0" borderId="8" xfId="2" applyNumberFormat="1" applyFont="1" applyBorder="1" applyAlignment="1">
      <alignment vertical="center" wrapText="1"/>
    </xf>
    <xf numFmtId="3" fontId="16" fillId="3" borderId="60" xfId="2" applyNumberFormat="1" applyFont="1" applyFill="1" applyBorder="1" applyAlignment="1">
      <alignment vertical="center" wrapText="1"/>
    </xf>
    <xf numFmtId="3" fontId="4" fillId="0" borderId="33" xfId="2" applyNumberFormat="1" applyFont="1" applyBorder="1" applyAlignment="1">
      <alignment vertical="center" wrapText="1"/>
    </xf>
    <xf numFmtId="3" fontId="4" fillId="0" borderId="34" xfId="2" applyNumberFormat="1" applyFont="1" applyBorder="1" applyAlignment="1">
      <alignment vertical="center" wrapText="1"/>
    </xf>
    <xf numFmtId="3" fontId="6" fillId="0" borderId="65" xfId="2" applyNumberFormat="1" applyFont="1" applyBorder="1" applyAlignment="1">
      <alignment vertical="center" wrapText="1"/>
    </xf>
    <xf numFmtId="3" fontId="4" fillId="0" borderId="66" xfId="2" applyNumberFormat="1" applyFont="1" applyBorder="1" applyAlignment="1">
      <alignment vertical="center" wrapText="1"/>
    </xf>
    <xf numFmtId="3" fontId="11" fillId="0" borderId="62" xfId="2" applyNumberFormat="1" applyFont="1" applyBorder="1" applyAlignment="1">
      <alignment vertical="center" wrapText="1"/>
    </xf>
    <xf numFmtId="3" fontId="11" fillId="0" borderId="23" xfId="2" applyNumberFormat="1" applyFont="1" applyBorder="1" applyAlignment="1">
      <alignment vertical="center" wrapText="1"/>
    </xf>
    <xf numFmtId="3" fontId="16" fillId="0" borderId="60" xfId="2" applyNumberFormat="1" applyFont="1" applyBorder="1" applyAlignment="1">
      <alignment vertical="center" wrapText="1"/>
    </xf>
    <xf numFmtId="0" fontId="8" fillId="0" borderId="18" xfId="2" applyFont="1" applyBorder="1" applyAlignment="1">
      <alignment horizontal="center" vertical="center"/>
    </xf>
    <xf numFmtId="3" fontId="11" fillId="0" borderId="10" xfId="2" applyNumberFormat="1" applyFont="1" applyBorder="1" applyAlignment="1">
      <alignment vertical="center" wrapText="1"/>
    </xf>
    <xf numFmtId="3" fontId="11" fillId="0" borderId="19" xfId="2" applyNumberFormat="1" applyFont="1" applyBorder="1" applyAlignment="1">
      <alignment vertical="center" wrapText="1"/>
    </xf>
    <xf numFmtId="16" fontId="14" fillId="0" borderId="17" xfId="2" quotePrefix="1" applyNumberFormat="1" applyFont="1" applyBorder="1" applyAlignment="1">
      <alignment horizontal="center" vertical="center"/>
    </xf>
    <xf numFmtId="165" fontId="6" fillId="3" borderId="8" xfId="2" applyNumberFormat="1" applyFont="1" applyFill="1" applyBorder="1" applyAlignment="1">
      <alignment vertical="center" wrapText="1"/>
    </xf>
    <xf numFmtId="3" fontId="13" fillId="0" borderId="67" xfId="2" applyNumberFormat="1" applyFont="1" applyBorder="1" applyAlignment="1">
      <alignment vertical="center" wrapText="1"/>
    </xf>
    <xf numFmtId="3" fontId="11" fillId="0" borderId="68" xfId="2" applyNumberFormat="1" applyFont="1" applyBorder="1" applyAlignment="1">
      <alignment vertical="center" wrapText="1"/>
    </xf>
    <xf numFmtId="3" fontId="16" fillId="0" borderId="8" xfId="2" applyNumberFormat="1" applyFont="1" applyBorder="1" applyAlignment="1">
      <alignment vertical="center" wrapText="1"/>
    </xf>
    <xf numFmtId="3" fontId="16" fillId="0" borderId="66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 wrapText="1"/>
    </xf>
    <xf numFmtId="165" fontId="10" fillId="0" borderId="18" xfId="2" applyNumberFormat="1" applyFont="1" applyBorder="1" applyAlignment="1">
      <alignment vertical="center"/>
    </xf>
    <xf numFmtId="165" fontId="10" fillId="0" borderId="68" xfId="2" applyNumberFormat="1" applyFont="1" applyBorder="1" applyAlignment="1">
      <alignment vertical="center"/>
    </xf>
    <xf numFmtId="165" fontId="10" fillId="0" borderId="64" xfId="2" applyNumberFormat="1" applyFont="1" applyBorder="1" applyAlignment="1">
      <alignment vertical="center"/>
    </xf>
    <xf numFmtId="165" fontId="10" fillId="0" borderId="69" xfId="2" applyNumberFormat="1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/>
    </xf>
    <xf numFmtId="165" fontId="8" fillId="0" borderId="21" xfId="2" applyNumberFormat="1" applyFont="1" applyBorder="1" applyAlignment="1">
      <alignment vertical="center" wrapText="1"/>
    </xf>
    <xf numFmtId="3" fontId="11" fillId="0" borderId="21" xfId="2" applyNumberFormat="1" applyFont="1" applyBorder="1" applyAlignment="1">
      <alignment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3" fontId="4" fillId="0" borderId="5" xfId="2" applyNumberFormat="1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 wrapText="1"/>
    </xf>
    <xf numFmtId="165" fontId="11" fillId="0" borderId="16" xfId="2" applyNumberFormat="1" applyFont="1" applyBorder="1" applyAlignment="1">
      <alignment vertical="center" wrapText="1"/>
    </xf>
    <xf numFmtId="165" fontId="6" fillId="0" borderId="16" xfId="2" applyNumberFormat="1" applyFont="1" applyBorder="1" applyAlignment="1">
      <alignment vertical="center" wrapText="1"/>
    </xf>
    <xf numFmtId="165" fontId="10" fillId="0" borderId="48" xfId="2" applyNumberFormat="1" applyFont="1" applyBorder="1" applyAlignment="1">
      <alignment vertical="center"/>
    </xf>
    <xf numFmtId="165" fontId="10" fillId="0" borderId="13" xfId="2" applyNumberFormat="1" applyFont="1" applyBorder="1" applyAlignment="1">
      <alignment vertical="center"/>
    </xf>
    <xf numFmtId="165" fontId="10" fillId="0" borderId="52" xfId="2" applyNumberFormat="1" applyFont="1" applyBorder="1" applyAlignment="1">
      <alignment vertical="center"/>
    </xf>
    <xf numFmtId="165" fontId="21" fillId="0" borderId="16" xfId="2" applyNumberFormat="1" applyFont="1" applyBorder="1" applyAlignment="1">
      <alignment vertical="center" wrapText="1"/>
    </xf>
    <xf numFmtId="3" fontId="9" fillId="0" borderId="13" xfId="2" applyNumberFormat="1" applyFont="1" applyBorder="1" applyAlignment="1">
      <alignment horizontal="right" vertical="center" wrapText="1"/>
    </xf>
    <xf numFmtId="0" fontId="5" fillId="0" borderId="5" xfId="2" applyFont="1" applyBorder="1"/>
    <xf numFmtId="0" fontId="12" fillId="0" borderId="9" xfId="2" applyFont="1" applyBorder="1" applyAlignment="1">
      <alignment vertical="center" wrapText="1"/>
    </xf>
    <xf numFmtId="165" fontId="4" fillId="0" borderId="9" xfId="2" applyNumberFormat="1" applyFont="1" applyBorder="1" applyAlignment="1">
      <alignment vertical="center" wrapText="1"/>
    </xf>
    <xf numFmtId="0" fontId="12" fillId="0" borderId="10" xfId="2" applyFont="1" applyFill="1" applyBorder="1" applyAlignment="1">
      <alignment horizontal="center" vertical="center" wrapText="1"/>
    </xf>
    <xf numFmtId="49" fontId="12" fillId="0" borderId="15" xfId="2" applyNumberFormat="1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" fontId="5" fillId="0" borderId="70" xfId="2" applyNumberFormat="1" applyFont="1" applyBorder="1"/>
    <xf numFmtId="165" fontId="5" fillId="0" borderId="70" xfId="2" applyNumberFormat="1" applyFont="1" applyBorder="1"/>
    <xf numFmtId="0" fontId="5" fillId="0" borderId="70" xfId="2" applyFont="1" applyBorder="1"/>
    <xf numFmtId="0" fontId="23" fillId="0" borderId="0" xfId="2" applyFont="1"/>
    <xf numFmtId="0" fontId="23" fillId="0" borderId="0" xfId="2" applyFont="1" applyBorder="1"/>
    <xf numFmtId="165" fontId="23" fillId="0" borderId="0" xfId="2" applyNumberFormat="1" applyFont="1"/>
    <xf numFmtId="167" fontId="23" fillId="0" borderId="70" xfId="1" applyNumberFormat="1" applyFont="1" applyBorder="1" applyAlignment="1">
      <alignment horizontal="right"/>
    </xf>
    <xf numFmtId="167" fontId="23" fillId="0" borderId="70" xfId="1" applyNumberFormat="1" applyFont="1" applyBorder="1" applyAlignment="1"/>
    <xf numFmtId="0" fontId="24" fillId="0" borderId="9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/>
    </xf>
    <xf numFmtId="3" fontId="8" fillId="0" borderId="71" xfId="2" applyNumberFormat="1" applyFont="1" applyBorder="1" applyAlignment="1">
      <alignment vertical="center"/>
    </xf>
    <xf numFmtId="3" fontId="8" fillId="0" borderId="72" xfId="2" applyNumberFormat="1" applyFont="1" applyBorder="1" applyAlignment="1">
      <alignment vertical="center"/>
    </xf>
    <xf numFmtId="0" fontId="4" fillId="0" borderId="17" xfId="2" applyFont="1" applyBorder="1" applyAlignment="1">
      <alignment horizontal="center" vertical="center" wrapText="1"/>
    </xf>
    <xf numFmtId="0" fontId="12" fillId="0" borderId="17" xfId="2" applyFont="1" applyBorder="1" applyAlignment="1">
      <alignment vertical="center" wrapText="1"/>
    </xf>
    <xf numFmtId="3" fontId="12" fillId="0" borderId="17" xfId="2" applyNumberFormat="1" applyFont="1" applyBorder="1" applyAlignment="1">
      <alignment vertical="center" wrapText="1"/>
    </xf>
    <xf numFmtId="0" fontId="4" fillId="0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4" fillId="0" borderId="73" xfId="2" applyFont="1" applyBorder="1" applyAlignment="1">
      <alignment horizontal="center" vertical="center" wrapText="1"/>
    </xf>
    <xf numFmtId="0" fontId="12" fillId="0" borderId="73" xfId="2" applyFont="1" applyBorder="1" applyAlignment="1">
      <alignment vertical="center" wrapText="1"/>
    </xf>
    <xf numFmtId="3" fontId="12" fillId="0" borderId="73" xfId="2" applyNumberFormat="1" applyFont="1" applyBorder="1" applyAlignment="1">
      <alignment vertical="center" wrapText="1"/>
    </xf>
    <xf numFmtId="3" fontId="16" fillId="0" borderId="42" xfId="2" applyNumberFormat="1" applyFont="1" applyBorder="1" applyAlignment="1">
      <alignment vertical="center"/>
    </xf>
    <xf numFmtId="0" fontId="4" fillId="0" borderId="73" xfId="2" applyFont="1" applyFill="1" applyBorder="1" applyAlignment="1">
      <alignment horizontal="center" vertical="center" wrapText="1"/>
    </xf>
    <xf numFmtId="3" fontId="21" fillId="0" borderId="17" xfId="2" applyNumberFormat="1" applyFont="1" applyBorder="1" applyAlignment="1">
      <alignment vertical="center" wrapText="1"/>
    </xf>
    <xf numFmtId="3" fontId="13" fillId="0" borderId="57" xfId="2" applyNumberFormat="1" applyFont="1" applyBorder="1" applyAlignment="1">
      <alignment vertical="center" wrapText="1"/>
    </xf>
    <xf numFmtId="49" fontId="4" fillId="0" borderId="15" xfId="2" applyNumberFormat="1" applyFont="1" applyFill="1" applyBorder="1" applyAlignment="1">
      <alignment horizontal="center" vertical="center" wrapText="1"/>
    </xf>
    <xf numFmtId="49" fontId="8" fillId="0" borderId="15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Border="1" applyAlignment="1">
      <alignment horizontal="right" vertical="center" wrapText="1"/>
    </xf>
    <xf numFmtId="3" fontId="9" fillId="0" borderId="19" xfId="2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/>
    </xf>
    <xf numFmtId="3" fontId="5" fillId="0" borderId="70" xfId="2" applyNumberFormat="1" applyFont="1" applyFill="1" applyBorder="1"/>
    <xf numFmtId="16" fontId="5" fillId="0" borderId="17" xfId="2" applyNumberFormat="1" applyFont="1" applyBorder="1" applyAlignment="1">
      <alignment horizontal="center" vertical="center"/>
    </xf>
    <xf numFmtId="3" fontId="11" fillId="0" borderId="64" xfId="2" applyNumberFormat="1" applyFont="1" applyBorder="1" applyAlignment="1">
      <alignment vertical="center" wrapText="1"/>
    </xf>
    <xf numFmtId="49" fontId="18" fillId="0" borderId="11" xfId="2" applyNumberFormat="1" applyFont="1" applyBorder="1" applyAlignment="1">
      <alignment horizontal="center" vertical="center" wrapText="1"/>
    </xf>
    <xf numFmtId="165" fontId="8" fillId="0" borderId="8" xfId="2" applyNumberFormat="1" applyFont="1" applyBorder="1" applyAlignment="1">
      <alignment vertical="center" wrapText="1"/>
    </xf>
    <xf numFmtId="165" fontId="16" fillId="3" borderId="8" xfId="2" applyNumberFormat="1" applyFont="1" applyFill="1" applyBorder="1" applyAlignment="1">
      <alignment vertical="center" wrapText="1"/>
    </xf>
    <xf numFmtId="165" fontId="25" fillId="0" borderId="17" xfId="2" applyNumberFormat="1" applyFont="1" applyBorder="1" applyAlignment="1">
      <alignment vertical="center" wrapText="1"/>
    </xf>
    <xf numFmtId="165" fontId="8" fillId="3" borderId="10" xfId="2" applyNumberFormat="1" applyFont="1" applyFill="1" applyBorder="1" applyAlignment="1">
      <alignment vertical="center" wrapText="1"/>
    </xf>
    <xf numFmtId="165" fontId="8" fillId="3" borderId="8" xfId="2" applyNumberFormat="1" applyFont="1" applyFill="1" applyBorder="1" applyAlignment="1">
      <alignment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3" fontId="11" fillId="0" borderId="8" xfId="2" applyNumberFormat="1" applyFont="1" applyBorder="1" applyAlignment="1">
      <alignment vertical="center" wrapText="1"/>
    </xf>
    <xf numFmtId="165" fontId="4" fillId="0" borderId="0" xfId="2" applyNumberFormat="1" applyFont="1" applyBorder="1" applyAlignment="1">
      <alignment vertical="center" wrapText="1"/>
    </xf>
    <xf numFmtId="165" fontId="11" fillId="0" borderId="8" xfId="2" applyNumberFormat="1" applyFont="1" applyBorder="1" applyAlignment="1">
      <alignment vertical="center" wrapText="1"/>
    </xf>
    <xf numFmtId="165" fontId="11" fillId="0" borderId="5" xfId="2" applyNumberFormat="1" applyFont="1" applyBorder="1" applyAlignment="1">
      <alignment vertical="center" wrapText="1"/>
    </xf>
    <xf numFmtId="165" fontId="10" fillId="0" borderId="10" xfId="2" applyNumberFormat="1" applyFont="1" applyBorder="1" applyAlignment="1">
      <alignment vertical="center"/>
    </xf>
    <xf numFmtId="165" fontId="10" fillId="0" borderId="19" xfId="2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right" vertical="top"/>
    </xf>
    <xf numFmtId="0" fontId="8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 wrapText="1"/>
    </xf>
    <xf numFmtId="3" fontId="16" fillId="0" borderId="0" xfId="2" applyNumberFormat="1" applyFont="1" applyBorder="1" applyAlignment="1">
      <alignment vertical="center" wrapText="1"/>
    </xf>
    <xf numFmtId="3" fontId="10" fillId="0" borderId="0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7" fillId="0" borderId="0" xfId="2" applyNumberFormat="1" applyFont="1" applyBorder="1" applyAlignment="1">
      <alignment vertical="center" wrapText="1"/>
    </xf>
    <xf numFmtId="3" fontId="19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center" wrapText="1"/>
    </xf>
    <xf numFmtId="165" fontId="19" fillId="0" borderId="0" xfId="2" applyNumberFormat="1" applyFont="1" applyBorder="1" applyAlignment="1">
      <alignment vertical="center" wrapText="1"/>
    </xf>
    <xf numFmtId="165" fontId="11" fillId="0" borderId="0" xfId="2" applyNumberFormat="1" applyFont="1" applyBorder="1" applyAlignment="1">
      <alignment vertical="center" wrapText="1"/>
    </xf>
    <xf numFmtId="165" fontId="16" fillId="0" borderId="0" xfId="2" applyNumberFormat="1" applyFont="1" applyBorder="1" applyAlignment="1">
      <alignment vertical="center" wrapText="1"/>
    </xf>
    <xf numFmtId="165" fontId="10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 wrapText="1"/>
    </xf>
    <xf numFmtId="165" fontId="10" fillId="0" borderId="0" xfId="2" applyNumberFormat="1" applyFont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/>
    </xf>
    <xf numFmtId="0" fontId="6" fillId="0" borderId="74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4" fillId="0" borderId="76" xfId="2" applyFont="1" applyBorder="1" applyAlignment="1">
      <alignment horizontal="center" vertical="center"/>
    </xf>
    <xf numFmtId="3" fontId="11" fillId="0" borderId="67" xfId="2" applyNumberFormat="1" applyFont="1" applyBorder="1" applyAlignment="1">
      <alignment horizontal="right" vertical="center" wrapText="1"/>
    </xf>
    <xf numFmtId="3" fontId="11" fillId="0" borderId="46" xfId="2" applyNumberFormat="1" applyFont="1" applyBorder="1" applyAlignment="1">
      <alignment horizontal="right" vertical="center" wrapText="1"/>
    </xf>
    <xf numFmtId="165" fontId="19" fillId="0" borderId="77" xfId="2" applyNumberFormat="1" applyFont="1" applyBorder="1" applyAlignment="1">
      <alignment vertical="center" wrapText="1"/>
    </xf>
    <xf numFmtId="3" fontId="10" fillId="0" borderId="78" xfId="2" applyNumberFormat="1" applyFont="1" applyBorder="1" applyAlignment="1">
      <alignment vertical="center"/>
    </xf>
    <xf numFmtId="165" fontId="11" fillId="0" borderId="79" xfId="2" applyNumberFormat="1" applyFont="1" applyBorder="1" applyAlignment="1">
      <alignment vertical="center" wrapText="1"/>
    </xf>
    <xf numFmtId="165" fontId="16" fillId="0" borderId="34" xfId="2" applyNumberFormat="1" applyFont="1" applyBorder="1" applyAlignment="1">
      <alignment vertical="center" wrapText="1"/>
    </xf>
    <xf numFmtId="3" fontId="16" fillId="0" borderId="34" xfId="2" applyNumberFormat="1" applyFont="1" applyBorder="1" applyAlignment="1">
      <alignment vertical="center" wrapText="1"/>
    </xf>
    <xf numFmtId="3" fontId="10" fillId="0" borderId="34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165" fontId="10" fillId="0" borderId="23" xfId="2" applyNumberFormat="1" applyFont="1" applyBorder="1" applyAlignment="1">
      <alignment vertical="center" wrapText="1"/>
    </xf>
    <xf numFmtId="165" fontId="10" fillId="0" borderId="62" xfId="2" applyNumberFormat="1" applyFont="1" applyBorder="1" applyAlignment="1">
      <alignment vertical="center" wrapText="1"/>
    </xf>
    <xf numFmtId="0" fontId="4" fillId="0" borderId="80" xfId="2" applyFont="1" applyBorder="1" applyAlignment="1">
      <alignment horizontal="center"/>
    </xf>
    <xf numFmtId="3" fontId="8" fillId="0" borderId="81" xfId="2" applyNumberFormat="1" applyFont="1" applyBorder="1" applyAlignment="1">
      <alignment vertical="center"/>
    </xf>
    <xf numFmtId="3" fontId="8" fillId="0" borderId="82" xfId="2" applyNumberFormat="1" applyFont="1" applyBorder="1" applyAlignment="1">
      <alignment vertical="center"/>
    </xf>
    <xf numFmtId="3" fontId="8" fillId="0" borderId="82" xfId="2" applyNumberFormat="1" applyFont="1" applyBorder="1" applyAlignment="1">
      <alignment vertical="center" wrapText="1"/>
    </xf>
    <xf numFmtId="3" fontId="8" fillId="0" borderId="83" xfId="2" applyNumberFormat="1" applyFont="1" applyBorder="1" applyAlignment="1">
      <alignment vertical="center" wrapText="1"/>
    </xf>
    <xf numFmtId="3" fontId="12" fillId="0" borderId="8" xfId="2" applyNumberFormat="1" applyFont="1" applyBorder="1" applyAlignment="1">
      <alignment vertical="center" wrapText="1"/>
    </xf>
    <xf numFmtId="3" fontId="13" fillId="0" borderId="84" xfId="2" applyNumberFormat="1" applyFont="1" applyBorder="1" applyAlignment="1">
      <alignment vertical="center" wrapText="1"/>
    </xf>
    <xf numFmtId="165" fontId="8" fillId="0" borderId="66" xfId="2" applyNumberFormat="1" applyFont="1" applyBorder="1" applyAlignment="1">
      <alignment vertical="center" wrapText="1"/>
    </xf>
    <xf numFmtId="3" fontId="8" fillId="0" borderId="66" xfId="2" applyNumberFormat="1" applyFont="1" applyBorder="1" applyAlignment="1">
      <alignment vertical="center" wrapText="1"/>
    </xf>
    <xf numFmtId="3" fontId="13" fillId="0" borderId="47" xfId="2" applyNumberFormat="1" applyFont="1" applyBorder="1" applyAlignment="1">
      <alignment vertical="center"/>
    </xf>
    <xf numFmtId="165" fontId="4" fillId="0" borderId="8" xfId="2" applyNumberFormat="1" applyFont="1" applyBorder="1" applyAlignment="1">
      <alignment vertical="center" wrapText="1"/>
    </xf>
    <xf numFmtId="165" fontId="12" fillId="0" borderId="8" xfId="2" applyNumberFormat="1" applyFont="1" applyBorder="1" applyAlignment="1">
      <alignment vertical="center" wrapText="1"/>
    </xf>
    <xf numFmtId="165" fontId="10" fillId="0" borderId="18" xfId="2" applyNumberFormat="1" applyFont="1" applyFill="1" applyBorder="1" applyAlignment="1">
      <alignment vertical="center" wrapText="1"/>
    </xf>
    <xf numFmtId="49" fontId="31" fillId="0" borderId="11" xfId="2" applyNumberFormat="1" applyFont="1" applyBorder="1" applyAlignment="1">
      <alignment horizontal="center" vertical="center" wrapText="1"/>
    </xf>
    <xf numFmtId="0" fontId="31" fillId="0" borderId="0" xfId="2" applyFont="1" applyBorder="1" applyAlignment="1">
      <alignment vertical="center" wrapText="1"/>
    </xf>
    <xf numFmtId="165" fontId="31" fillId="0" borderId="10" xfId="2" applyNumberFormat="1" applyFont="1" applyBorder="1" applyAlignment="1">
      <alignment vertical="center" wrapText="1"/>
    </xf>
    <xf numFmtId="3" fontId="11" fillId="0" borderId="17" xfId="2" applyNumberFormat="1" applyFont="1" applyFill="1" applyBorder="1" applyAlignment="1">
      <alignment vertical="center" wrapText="1"/>
    </xf>
    <xf numFmtId="165" fontId="12" fillId="0" borderId="0" xfId="2" applyNumberFormat="1" applyFont="1"/>
    <xf numFmtId="165" fontId="32" fillId="0" borderId="19" xfId="2" applyNumberFormat="1" applyFont="1" applyBorder="1" applyAlignment="1">
      <alignment vertical="center" wrapText="1"/>
    </xf>
    <xf numFmtId="0" fontId="13" fillId="0" borderId="17" xfId="2" applyFont="1" applyBorder="1" applyAlignment="1">
      <alignment horizontal="right" vertical="center"/>
    </xf>
    <xf numFmtId="165" fontId="13" fillId="0" borderId="17" xfId="2" applyNumberFormat="1" applyFont="1" applyBorder="1" applyAlignment="1">
      <alignment vertical="center"/>
    </xf>
    <xf numFmtId="49" fontId="8" fillId="4" borderId="11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49" fontId="12" fillId="4" borderId="10" xfId="2" applyNumberFormat="1" applyFont="1" applyFill="1" applyBorder="1" applyAlignment="1">
      <alignment horizontal="center" vertical="center" wrapText="1"/>
    </xf>
    <xf numFmtId="165" fontId="12" fillId="4" borderId="8" xfId="2" applyNumberFormat="1" applyFont="1" applyFill="1" applyBorder="1" applyAlignment="1">
      <alignment vertical="center" wrapText="1"/>
    </xf>
    <xf numFmtId="49" fontId="12" fillId="4" borderId="15" xfId="2" applyNumberFormat="1" applyFont="1" applyFill="1" applyBorder="1" applyAlignment="1">
      <alignment horizontal="center" vertical="center" wrapText="1"/>
    </xf>
    <xf numFmtId="49" fontId="12" fillId="0" borderId="9" xfId="2" applyNumberFormat="1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165" fontId="22" fillId="0" borderId="17" xfId="2" applyNumberFormat="1" applyFont="1" applyBorder="1" applyAlignment="1">
      <alignment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4" fillId="0" borderId="6" xfId="2" applyFont="1" applyBorder="1" applyAlignment="1"/>
    <xf numFmtId="0" fontId="0" fillId="0" borderId="85" xfId="0" applyBorder="1" applyAlignment="1"/>
    <xf numFmtId="0" fontId="4" fillId="0" borderId="86" xfId="2" applyFont="1" applyBorder="1" applyAlignment="1"/>
    <xf numFmtId="0" fontId="8" fillId="0" borderId="1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4" fillId="0" borderId="87" xfId="2" applyFont="1" applyBorder="1" applyAlignment="1"/>
    <xf numFmtId="0" fontId="4" fillId="2" borderId="87" xfId="0" applyFont="1" applyFill="1" applyBorder="1" applyAlignment="1" applyProtection="1">
      <protection hidden="1"/>
    </xf>
    <xf numFmtId="0" fontId="4" fillId="2" borderId="87" xfId="0" applyFont="1" applyFill="1" applyBorder="1" applyAlignment="1" applyProtection="1">
      <alignment horizontal="center"/>
      <protection hidden="1"/>
    </xf>
    <xf numFmtId="0" fontId="4" fillId="0" borderId="88" xfId="2" applyFont="1" applyBorder="1" applyAlignment="1"/>
    <xf numFmtId="0" fontId="4" fillId="0" borderId="89" xfId="2" applyFont="1" applyBorder="1" applyAlignment="1"/>
    <xf numFmtId="0" fontId="16" fillId="0" borderId="90" xfId="2" applyFont="1" applyBorder="1" applyAlignment="1">
      <alignment horizontal="center"/>
    </xf>
    <xf numFmtId="0" fontId="16" fillId="0" borderId="87" xfId="2" applyFont="1" applyBorder="1" applyAlignment="1">
      <alignment horizontal="center"/>
    </xf>
    <xf numFmtId="3" fontId="11" fillId="0" borderId="15" xfId="2" applyNumberFormat="1" applyFont="1" applyBorder="1" applyAlignment="1">
      <alignment horizontal="right" vertical="center" wrapText="1"/>
    </xf>
    <xf numFmtId="3" fontId="16" fillId="0" borderId="91" xfId="2" applyNumberFormat="1" applyFont="1" applyBorder="1"/>
    <xf numFmtId="3" fontId="16" fillId="0" borderId="40" xfId="2" applyNumberFormat="1" applyFont="1" applyBorder="1"/>
    <xf numFmtId="165" fontId="10" fillId="0" borderId="40" xfId="2" applyNumberFormat="1" applyFont="1" applyBorder="1" applyAlignment="1">
      <alignment horizontal="right" vertical="center" wrapText="1"/>
    </xf>
    <xf numFmtId="165" fontId="6" fillId="0" borderId="86" xfId="2" applyNumberFormat="1" applyFont="1" applyBorder="1" applyAlignment="1">
      <alignment vertical="center" wrapText="1"/>
    </xf>
    <xf numFmtId="165" fontId="6" fillId="0" borderId="92" xfId="2" applyNumberFormat="1" applyFont="1" applyBorder="1" applyAlignment="1">
      <alignment vertical="center" wrapText="1"/>
    </xf>
    <xf numFmtId="165" fontId="11" fillId="0" borderId="93" xfId="2" applyNumberFormat="1" applyFont="1" applyBorder="1" applyAlignment="1">
      <alignment vertical="center" wrapText="1"/>
    </xf>
    <xf numFmtId="3" fontId="11" fillId="0" borderId="94" xfId="2" applyNumberFormat="1" applyFont="1" applyBorder="1" applyAlignment="1">
      <alignment vertical="center" wrapText="1"/>
    </xf>
    <xf numFmtId="3" fontId="11" fillId="0" borderId="86" xfId="2" applyNumberFormat="1" applyFont="1" applyBorder="1" applyAlignment="1">
      <alignment vertical="center" wrapText="1"/>
    </xf>
    <xf numFmtId="165" fontId="6" fillId="0" borderId="93" xfId="2" applyNumberFormat="1" applyFont="1" applyBorder="1" applyAlignment="1">
      <alignment vertical="center" wrapText="1"/>
    </xf>
    <xf numFmtId="165" fontId="10" fillId="0" borderId="95" xfId="2" applyNumberFormat="1" applyFont="1" applyBorder="1" applyAlignment="1">
      <alignment vertical="center"/>
    </xf>
    <xf numFmtId="165" fontId="10" fillId="0" borderId="96" xfId="2" applyNumberFormat="1" applyFont="1" applyBorder="1" applyAlignment="1">
      <alignment vertical="center"/>
    </xf>
    <xf numFmtId="165" fontId="10" fillId="0" borderId="93" xfId="2" applyNumberFormat="1" applyFont="1" applyBorder="1" applyAlignment="1">
      <alignment vertical="center" wrapText="1"/>
    </xf>
    <xf numFmtId="3" fontId="13" fillId="0" borderId="41" xfId="2" applyNumberFormat="1" applyFont="1" applyBorder="1" applyAlignment="1">
      <alignment vertical="center" wrapText="1"/>
    </xf>
    <xf numFmtId="3" fontId="21" fillId="0" borderId="21" xfId="2" applyNumberFormat="1" applyFont="1" applyBorder="1" applyAlignment="1">
      <alignment vertical="center" wrapText="1"/>
    </xf>
    <xf numFmtId="165" fontId="4" fillId="0" borderId="22" xfId="2" applyNumberFormat="1" applyFont="1" applyBorder="1" applyAlignment="1">
      <alignment vertical="center" wrapText="1"/>
    </xf>
    <xf numFmtId="165" fontId="4" fillId="0" borderId="97" xfId="2" applyNumberFormat="1" applyFont="1" applyBorder="1" applyAlignment="1">
      <alignment vertical="center" wrapText="1"/>
    </xf>
    <xf numFmtId="3" fontId="13" fillId="0" borderId="12" xfId="2" applyNumberFormat="1" applyFont="1" applyBorder="1" applyAlignment="1">
      <alignment vertical="center" wrapText="1"/>
    </xf>
    <xf numFmtId="165" fontId="25" fillId="0" borderId="21" xfId="2" applyNumberFormat="1" applyFont="1" applyBorder="1" applyAlignment="1">
      <alignment vertical="center" wrapText="1"/>
    </xf>
    <xf numFmtId="3" fontId="11" fillId="0" borderId="22" xfId="2" applyNumberFormat="1" applyFont="1" applyBorder="1" applyAlignment="1">
      <alignment vertical="center" wrapText="1"/>
    </xf>
    <xf numFmtId="165" fontId="8" fillId="0" borderId="22" xfId="2" applyNumberFormat="1" applyFont="1" applyBorder="1" applyAlignment="1">
      <alignment vertical="center" wrapText="1"/>
    </xf>
    <xf numFmtId="165" fontId="10" fillId="0" borderId="49" xfId="2" applyNumberFormat="1" applyFont="1" applyBorder="1" applyAlignment="1">
      <alignment vertical="center"/>
    </xf>
    <xf numFmtId="165" fontId="10" fillId="0" borderId="15" xfId="2" applyNumberFormat="1" applyFont="1" applyBorder="1" applyAlignment="1">
      <alignment vertical="center"/>
    </xf>
    <xf numFmtId="165" fontId="10" fillId="0" borderId="22" xfId="2" applyNumberFormat="1" applyFont="1" applyBorder="1" applyAlignment="1">
      <alignment vertical="center"/>
    </xf>
    <xf numFmtId="165" fontId="10" fillId="0" borderId="24" xfId="2" applyNumberFormat="1" applyFont="1" applyBorder="1" applyAlignment="1">
      <alignment vertical="center"/>
    </xf>
    <xf numFmtId="0" fontId="5" fillId="0" borderId="10" xfId="2" applyFont="1" applyBorder="1"/>
    <xf numFmtId="0" fontId="5" fillId="0" borderId="22" xfId="2" applyFont="1" applyBorder="1"/>
    <xf numFmtId="3" fontId="11" fillId="0" borderId="21" xfId="2" applyNumberFormat="1" applyFont="1" applyFill="1" applyBorder="1" applyAlignment="1">
      <alignment vertical="center" wrapText="1"/>
    </xf>
    <xf numFmtId="3" fontId="11" fillId="0" borderId="15" xfId="2" applyNumberFormat="1" applyFont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165" fontId="4" fillId="0" borderId="10" xfId="2" applyNumberFormat="1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/>
    </xf>
    <xf numFmtId="165" fontId="4" fillId="0" borderId="63" xfId="2" applyNumberFormat="1" applyFont="1" applyBorder="1" applyAlignment="1">
      <alignment vertical="center" wrapText="1"/>
    </xf>
    <xf numFmtId="0" fontId="6" fillId="0" borderId="98" xfId="2" applyFont="1" applyBorder="1" applyAlignment="1"/>
    <xf numFmtId="169" fontId="8" fillId="0" borderId="10" xfId="2" applyNumberFormat="1" applyFont="1" applyBorder="1" applyAlignment="1">
      <alignment vertical="center" wrapText="1"/>
    </xf>
    <xf numFmtId="165" fontId="27" fillId="0" borderId="17" xfId="2" applyNumberFormat="1" applyFont="1" applyBorder="1" applyAlignment="1">
      <alignment vertical="center" wrapText="1"/>
    </xf>
    <xf numFmtId="165" fontId="27" fillId="0" borderId="21" xfId="2" applyNumberFormat="1" applyFont="1" applyBorder="1" applyAlignment="1">
      <alignment vertical="center" wrapText="1"/>
    </xf>
    <xf numFmtId="165" fontId="27" fillId="0" borderId="93" xfId="2" applyNumberFormat="1" applyFont="1" applyBorder="1" applyAlignment="1">
      <alignment vertical="center" wrapText="1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49" fontId="4" fillId="0" borderId="10" xfId="2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3" fontId="8" fillId="0" borderId="10" xfId="2" applyNumberFormat="1" applyFont="1" applyBorder="1" applyAlignment="1">
      <alignment vertical="center"/>
    </xf>
    <xf numFmtId="3" fontId="8" fillId="0" borderId="19" xfId="2" applyNumberFormat="1" applyFont="1" applyBorder="1" applyAlignment="1">
      <alignment vertical="center"/>
    </xf>
    <xf numFmtId="3" fontId="17" fillId="0" borderId="22" xfId="2" applyNumberFormat="1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/>
    </xf>
    <xf numFmtId="3" fontId="8" fillId="0" borderId="99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 wrapText="1"/>
    </xf>
    <xf numFmtId="3" fontId="8" fillId="0" borderId="77" xfId="2" applyNumberFormat="1" applyFont="1" applyBorder="1" applyAlignment="1">
      <alignment vertical="center" wrapText="1"/>
    </xf>
    <xf numFmtId="3" fontId="12" fillId="0" borderId="19" xfId="2" applyNumberFormat="1" applyFont="1" applyBorder="1" applyAlignment="1">
      <alignment vertical="center" wrapText="1"/>
    </xf>
    <xf numFmtId="3" fontId="13" fillId="0" borderId="79" xfId="2" applyNumberFormat="1" applyFont="1" applyBorder="1" applyAlignment="1">
      <alignment vertical="center" wrapText="1"/>
    </xf>
    <xf numFmtId="165" fontId="8" fillId="0" borderId="34" xfId="2" applyNumberFormat="1" applyFont="1" applyBorder="1" applyAlignment="1">
      <alignment vertical="center" wrapText="1"/>
    </xf>
    <xf numFmtId="165" fontId="10" fillId="0" borderId="100" xfId="2" applyNumberFormat="1" applyFont="1" applyBorder="1" applyAlignment="1">
      <alignment vertical="center" wrapText="1"/>
    </xf>
    <xf numFmtId="0" fontId="16" fillId="2" borderId="9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4" fillId="0" borderId="31" xfId="2" applyFont="1" applyBorder="1" applyAlignment="1">
      <alignment horizontal="center" vertical="center"/>
    </xf>
    <xf numFmtId="3" fontId="11" fillId="0" borderId="67" xfId="2" applyNumberFormat="1" applyFont="1" applyBorder="1" applyAlignment="1">
      <alignment vertical="center" wrapText="1"/>
    </xf>
    <xf numFmtId="0" fontId="4" fillId="0" borderId="46" xfId="2" applyFont="1" applyBorder="1" applyAlignment="1">
      <alignment horizontal="center" vertical="center"/>
    </xf>
    <xf numFmtId="3" fontId="12" fillId="0" borderId="23" xfId="2" applyNumberFormat="1" applyFont="1" applyBorder="1" applyAlignment="1">
      <alignment vertical="center" wrapText="1"/>
    </xf>
    <xf numFmtId="3" fontId="12" fillId="0" borderId="78" xfId="2" applyNumberFormat="1" applyFont="1" applyBorder="1" applyAlignment="1">
      <alignment vertical="center" wrapText="1"/>
    </xf>
    <xf numFmtId="165" fontId="13" fillId="0" borderId="23" xfId="2" applyNumberFormat="1" applyFont="1" applyBorder="1" applyAlignment="1">
      <alignment vertical="center"/>
    </xf>
    <xf numFmtId="0" fontId="4" fillId="0" borderId="90" xfId="2" applyFont="1" applyBorder="1" applyAlignment="1">
      <alignment horizontal="center"/>
    </xf>
    <xf numFmtId="3" fontId="13" fillId="0" borderId="101" xfId="2" applyNumberFormat="1" applyFont="1" applyBorder="1" applyAlignment="1">
      <alignment vertical="center"/>
    </xf>
    <xf numFmtId="1" fontId="8" fillId="0" borderId="15" xfId="2" applyNumberFormat="1" applyFont="1" applyBorder="1" applyAlignment="1">
      <alignment horizontal="left" vertical="center" wrapText="1"/>
    </xf>
    <xf numFmtId="1" fontId="4" fillId="0" borderId="15" xfId="2" applyNumberFormat="1" applyFont="1" applyBorder="1" applyAlignment="1">
      <alignment horizontal="left" vertical="center" wrapText="1"/>
    </xf>
    <xf numFmtId="1" fontId="4" fillId="0" borderId="15" xfId="2" applyNumberFormat="1" applyFont="1" applyFill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165" fontId="29" fillId="0" borderId="17" xfId="2" applyNumberFormat="1" applyFont="1" applyBorder="1" applyAlignment="1">
      <alignment vertical="center"/>
    </xf>
    <xf numFmtId="165" fontId="29" fillId="0" borderId="23" xfId="2" applyNumberFormat="1" applyFont="1" applyBorder="1" applyAlignment="1">
      <alignment vertical="center"/>
    </xf>
    <xf numFmtId="165" fontId="29" fillId="0" borderId="18" xfId="2" applyNumberFormat="1" applyFont="1" applyBorder="1" applyAlignment="1">
      <alignment vertical="center"/>
    </xf>
    <xf numFmtId="165" fontId="16" fillId="0" borderId="19" xfId="2" applyNumberFormat="1" applyFont="1" applyFill="1" applyBorder="1" applyAlignment="1">
      <alignment vertical="center" wrapText="1"/>
    </xf>
    <xf numFmtId="1" fontId="8" fillId="0" borderId="15" xfId="2" applyNumberFormat="1" applyFont="1" applyFill="1" applyBorder="1" applyAlignment="1">
      <alignment horizontal="left" vertical="center" wrapText="1"/>
    </xf>
    <xf numFmtId="49" fontId="8" fillId="0" borderId="11" xfId="2" applyNumberFormat="1" applyFont="1" applyFill="1" applyBorder="1" applyAlignment="1">
      <alignment horizontal="left" vertical="center" wrapText="1"/>
    </xf>
    <xf numFmtId="49" fontId="8" fillId="0" borderId="15" xfId="2" applyNumberFormat="1" applyFont="1" applyFill="1" applyBorder="1" applyAlignment="1">
      <alignment horizontal="left" vertical="center" wrapText="1"/>
    </xf>
    <xf numFmtId="165" fontId="13" fillId="0" borderId="9" xfId="2" applyNumberFormat="1" applyFont="1" applyBorder="1" applyAlignment="1">
      <alignment vertical="center" wrapText="1"/>
    </xf>
    <xf numFmtId="165" fontId="8" fillId="0" borderId="9" xfId="2" applyNumberFormat="1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/>
    </xf>
    <xf numFmtId="165" fontId="6" fillId="0" borderId="60" xfId="2" applyNumberFormat="1" applyFont="1" applyBorder="1" applyAlignment="1">
      <alignment vertical="center" wrapText="1"/>
    </xf>
    <xf numFmtId="0" fontId="16" fillId="2" borderId="7" xfId="0" applyFont="1" applyFill="1" applyBorder="1" applyAlignment="1">
      <alignment horizontal="center"/>
    </xf>
    <xf numFmtId="0" fontId="4" fillId="0" borderId="5" xfId="2" applyFont="1" applyBorder="1" applyAlignment="1">
      <alignment horizontal="right"/>
    </xf>
    <xf numFmtId="0" fontId="4" fillId="0" borderId="35" xfId="2" applyFont="1" applyBorder="1" applyAlignment="1">
      <alignment horizontal="right"/>
    </xf>
    <xf numFmtId="0" fontId="9" fillId="0" borderId="10" xfId="2" applyFont="1" applyBorder="1" applyAlignment="1">
      <alignment horizontal="right" vertical="center"/>
    </xf>
    <xf numFmtId="165" fontId="10" fillId="0" borderId="60" xfId="2" applyNumberFormat="1" applyFont="1" applyBorder="1" applyAlignment="1">
      <alignment horizontal="right" vertical="center" wrapText="1"/>
    </xf>
    <xf numFmtId="3" fontId="9" fillId="0" borderId="8" xfId="2" applyNumberFormat="1" applyFont="1" applyBorder="1" applyAlignment="1">
      <alignment horizontal="right" vertical="center" wrapText="1"/>
    </xf>
    <xf numFmtId="3" fontId="8" fillId="0" borderId="10" xfId="2" applyNumberFormat="1" applyFont="1" applyBorder="1" applyAlignment="1">
      <alignment horizontal="right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65" fontId="13" fillId="0" borderId="10" xfId="2" applyNumberFormat="1" applyFont="1" applyBorder="1" applyAlignment="1">
      <alignment vertical="center" wrapText="1"/>
    </xf>
    <xf numFmtId="165" fontId="13" fillId="0" borderId="22" xfId="2" applyNumberFormat="1" applyFont="1" applyBorder="1" applyAlignment="1">
      <alignment vertical="center" wrapText="1"/>
    </xf>
    <xf numFmtId="3" fontId="8" fillId="0" borderId="97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/>
    </xf>
    <xf numFmtId="3" fontId="22" fillId="0" borderId="21" xfId="2" applyNumberFormat="1" applyFont="1" applyBorder="1" applyAlignment="1">
      <alignment vertical="center"/>
    </xf>
    <xf numFmtId="16" fontId="5" fillId="0" borderId="17" xfId="2" quotePrefix="1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65" fontId="13" fillId="0" borderId="75" xfId="2" applyNumberFormat="1" applyFont="1" applyBorder="1" applyAlignment="1">
      <alignment vertical="center" wrapText="1"/>
    </xf>
    <xf numFmtId="165" fontId="13" fillId="0" borderId="19" xfId="2" applyNumberFormat="1" applyFont="1" applyBorder="1" applyAlignment="1">
      <alignment vertical="center" wrapText="1"/>
    </xf>
    <xf numFmtId="165" fontId="8" fillId="3" borderId="19" xfId="2" applyNumberFormat="1" applyFont="1" applyFill="1" applyBorder="1" applyAlignment="1">
      <alignment vertical="center" wrapText="1"/>
    </xf>
    <xf numFmtId="165" fontId="10" fillId="0" borderId="17" xfId="2" applyNumberFormat="1" applyFont="1" applyFill="1" applyBorder="1" applyAlignment="1">
      <alignment vertical="center"/>
    </xf>
    <xf numFmtId="0" fontId="5" fillId="0" borderId="102" xfId="2" applyFont="1" applyBorder="1"/>
    <xf numFmtId="165" fontId="22" fillId="0" borderId="17" xfId="2" applyNumberFormat="1" applyFont="1" applyBorder="1" applyAlignment="1">
      <alignment vertical="center"/>
    </xf>
    <xf numFmtId="165" fontId="22" fillId="0" borderId="23" xfId="2" applyNumberFormat="1" applyFont="1" applyBorder="1" applyAlignment="1">
      <alignment vertical="center"/>
    </xf>
    <xf numFmtId="165" fontId="22" fillId="0" borderId="18" xfId="2" applyNumberFormat="1" applyFont="1" applyBorder="1" applyAlignment="1">
      <alignment vertical="center"/>
    </xf>
    <xf numFmtId="3" fontId="22" fillId="0" borderId="23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center" vertical="center" wrapText="1"/>
    </xf>
    <xf numFmtId="1" fontId="33" fillId="0" borderId="15" xfId="2" applyNumberFormat="1" applyFont="1" applyBorder="1" applyAlignment="1">
      <alignment horizontal="center" vertical="center" wrapText="1"/>
    </xf>
    <xf numFmtId="165" fontId="16" fillId="0" borderId="60" xfId="2" applyNumberFormat="1" applyFont="1" applyBorder="1" applyAlignment="1">
      <alignment vertical="center" wrapText="1"/>
    </xf>
    <xf numFmtId="0" fontId="26" fillId="0" borderId="15" xfId="2" applyFont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3" fontId="22" fillId="0" borderId="23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165" fontId="10" fillId="0" borderId="10" xfId="2" applyNumberFormat="1" applyFont="1" applyFill="1" applyBorder="1" applyAlignment="1">
      <alignment vertical="center"/>
    </xf>
    <xf numFmtId="165" fontId="12" fillId="0" borderId="10" xfId="2" applyNumberFormat="1" applyFont="1" applyFill="1" applyBorder="1" applyAlignment="1">
      <alignment vertical="center" wrapText="1"/>
    </xf>
    <xf numFmtId="165" fontId="10" fillId="0" borderId="50" xfId="2" applyNumberFormat="1" applyFont="1" applyFill="1" applyBorder="1" applyAlignment="1">
      <alignment vertical="center"/>
    </xf>
    <xf numFmtId="165" fontId="10" fillId="0" borderId="46" xfId="2" applyNumberFormat="1" applyFont="1" applyFill="1" applyBorder="1" applyAlignment="1">
      <alignment vertical="center"/>
    </xf>
    <xf numFmtId="165" fontId="10" fillId="0" borderId="53" xfId="2" applyNumberFormat="1" applyFont="1" applyFill="1" applyBorder="1" applyAlignment="1">
      <alignment vertical="center"/>
    </xf>
    <xf numFmtId="165" fontId="10" fillId="0" borderId="21" xfId="2" applyNumberFormat="1" applyFont="1" applyFill="1" applyBorder="1" applyAlignment="1">
      <alignment vertical="center" wrapText="1"/>
    </xf>
    <xf numFmtId="165" fontId="13" fillId="0" borderId="17" xfId="2" applyNumberFormat="1" applyFont="1" applyFill="1" applyBorder="1" applyAlignment="1">
      <alignment vertical="center"/>
    </xf>
    <xf numFmtId="0" fontId="5" fillId="0" borderId="0" xfId="2" applyFont="1" applyFill="1"/>
    <xf numFmtId="167" fontId="23" fillId="0" borderId="70" xfId="1" applyNumberFormat="1" applyFont="1" applyFill="1" applyBorder="1" applyAlignment="1">
      <alignment horizontal="right"/>
    </xf>
    <xf numFmtId="3" fontId="22" fillId="0" borderId="18" xfId="2" applyNumberFormat="1" applyFont="1" applyFill="1" applyBorder="1" applyAlignment="1">
      <alignment vertical="center" wrapText="1"/>
    </xf>
    <xf numFmtId="3" fontId="13" fillId="0" borderId="47" xfId="2" applyNumberFormat="1" applyFont="1" applyFill="1" applyBorder="1" applyAlignment="1">
      <alignment vertical="center" wrapText="1"/>
    </xf>
    <xf numFmtId="165" fontId="16" fillId="0" borderId="8" xfId="2" applyNumberFormat="1" applyFont="1" applyFill="1" applyBorder="1" applyAlignment="1">
      <alignment vertical="center" wrapText="1"/>
    </xf>
    <xf numFmtId="165" fontId="10" fillId="0" borderId="18" xfId="2" applyNumberFormat="1" applyFont="1" applyFill="1" applyBorder="1" applyAlignment="1">
      <alignment vertical="center"/>
    </xf>
    <xf numFmtId="165" fontId="10" fillId="0" borderId="8" xfId="2" applyNumberFormat="1" applyFont="1" applyFill="1" applyBorder="1" applyAlignment="1">
      <alignment vertical="center"/>
    </xf>
    <xf numFmtId="165" fontId="10" fillId="0" borderId="68" xfId="2" applyNumberFormat="1" applyFont="1" applyFill="1" applyBorder="1" applyAlignment="1">
      <alignment vertical="center"/>
    </xf>
    <xf numFmtId="165" fontId="10" fillId="0" borderId="64" xfId="2" applyNumberFormat="1" applyFont="1" applyFill="1" applyBorder="1" applyAlignment="1">
      <alignment vertical="center"/>
    </xf>
    <xf numFmtId="165" fontId="10" fillId="0" borderId="69" xfId="2" applyNumberFormat="1" applyFont="1" applyFill="1" applyBorder="1" applyAlignment="1">
      <alignment vertical="center"/>
    </xf>
    <xf numFmtId="165" fontId="16" fillId="0" borderId="21" xfId="2" applyNumberFormat="1" applyFont="1" applyFill="1" applyBorder="1" applyAlignment="1">
      <alignment vertical="center" wrapText="1"/>
    </xf>
    <xf numFmtId="0" fontId="5" fillId="0" borderId="0" xfId="2" applyFont="1" applyFill="1" applyBorder="1"/>
    <xf numFmtId="168" fontId="23" fillId="0" borderId="70" xfId="1" applyNumberFormat="1" applyFont="1" applyFill="1" applyBorder="1" applyAlignment="1">
      <alignment horizontal="right"/>
    </xf>
    <xf numFmtId="49" fontId="12" fillId="0" borderId="6" xfId="2" applyNumberFormat="1" applyFont="1" applyBorder="1" applyAlignment="1">
      <alignment horizontal="center" vertical="center" wrapText="1"/>
    </xf>
    <xf numFmtId="3" fontId="10" fillId="0" borderId="21" xfId="2" applyNumberFormat="1" applyFont="1" applyBorder="1" applyAlignment="1">
      <alignment vertical="center" wrapText="1"/>
    </xf>
    <xf numFmtId="3" fontId="10" fillId="0" borderId="23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 wrapText="1"/>
    </xf>
    <xf numFmtId="0" fontId="10" fillId="0" borderId="7" xfId="2" applyFont="1" applyBorder="1" applyAlignment="1">
      <alignment vertical="center"/>
    </xf>
    <xf numFmtId="3" fontId="11" fillId="0" borderId="7" xfId="2" applyNumberFormat="1" applyFont="1" applyBorder="1" applyAlignment="1">
      <alignment vertical="center" wrapText="1"/>
    </xf>
    <xf numFmtId="0" fontId="5" fillId="0" borderId="48" xfId="2" applyFont="1" applyBorder="1" applyAlignment="1">
      <alignment horizontal="center" vertical="center"/>
    </xf>
    <xf numFmtId="3" fontId="13" fillId="0" borderId="49" xfId="2" applyNumberFormat="1" applyFont="1" applyBorder="1" applyAlignment="1">
      <alignment vertical="center" wrapText="1"/>
    </xf>
    <xf numFmtId="3" fontId="13" fillId="0" borderId="51" xfId="2" applyNumberFormat="1" applyFont="1" applyBorder="1" applyAlignment="1">
      <alignment vertical="center" wrapText="1"/>
    </xf>
    <xf numFmtId="165" fontId="6" fillId="0" borderId="68" xfId="2" applyNumberFormat="1" applyFont="1" applyBorder="1" applyAlignment="1">
      <alignment vertical="center" wrapText="1"/>
    </xf>
    <xf numFmtId="0" fontId="13" fillId="0" borderId="49" xfId="2" applyFont="1" applyBorder="1" applyAlignment="1">
      <alignment horizontal="right" vertical="center"/>
    </xf>
    <xf numFmtId="3" fontId="13" fillId="0" borderId="49" xfId="2" applyNumberFormat="1" applyFont="1" applyBorder="1" applyAlignment="1">
      <alignment vertical="center"/>
    </xf>
    <xf numFmtId="3" fontId="13" fillId="0" borderId="50" xfId="2" applyNumberFormat="1" applyFont="1" applyBorder="1" applyAlignment="1">
      <alignment vertical="center"/>
    </xf>
    <xf numFmtId="3" fontId="10" fillId="0" borderId="50" xfId="2" applyNumberFormat="1" applyFont="1" applyBorder="1" applyAlignment="1">
      <alignment vertical="center"/>
    </xf>
    <xf numFmtId="3" fontId="13" fillId="0" borderId="68" xfId="2" applyNumberFormat="1" applyFont="1" applyBorder="1" applyAlignment="1">
      <alignment vertical="center"/>
    </xf>
    <xf numFmtId="49" fontId="8" fillId="0" borderId="6" xfId="2" applyNumberFormat="1" applyFont="1" applyFill="1" applyBorder="1" applyAlignment="1">
      <alignment horizontal="center"/>
    </xf>
    <xf numFmtId="165" fontId="12" fillId="0" borderId="8" xfId="2" applyNumberFormat="1" applyFont="1" applyFill="1" applyBorder="1" applyAlignment="1">
      <alignment vertical="center" wrapText="1"/>
    </xf>
    <xf numFmtId="165" fontId="16" fillId="0" borderId="0" xfId="2" applyNumberFormat="1" applyFont="1" applyFill="1" applyBorder="1" applyAlignment="1">
      <alignment vertical="center" wrapText="1"/>
    </xf>
    <xf numFmtId="0" fontId="12" fillId="0" borderId="9" xfId="2" applyFont="1" applyBorder="1" applyAlignment="1">
      <alignment horizontal="center" vertical="center" wrapText="1"/>
    </xf>
    <xf numFmtId="0" fontId="13" fillId="0" borderId="101" xfId="2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165" fontId="4" fillId="0" borderId="36" xfId="2" applyNumberFormat="1" applyFont="1" applyBorder="1" applyAlignment="1">
      <alignment vertical="center" wrapText="1"/>
    </xf>
    <xf numFmtId="165" fontId="4" fillId="0" borderId="73" xfId="2" applyNumberFormat="1" applyFont="1" applyBorder="1" applyAlignment="1">
      <alignment vertical="center" wrapText="1"/>
    </xf>
    <xf numFmtId="165" fontId="4" fillId="0" borderId="42" xfId="2" applyNumberFormat="1" applyFont="1" applyBorder="1" applyAlignment="1">
      <alignment vertical="center" wrapText="1"/>
    </xf>
    <xf numFmtId="165" fontId="8" fillId="0" borderId="86" xfId="2" applyNumberFormat="1" applyFont="1" applyBorder="1" applyAlignment="1">
      <alignment vertical="center" wrapText="1"/>
    </xf>
    <xf numFmtId="0" fontId="4" fillId="0" borderId="44" xfId="2" applyFont="1" applyBorder="1" applyAlignment="1">
      <alignment vertical="top"/>
    </xf>
    <xf numFmtId="0" fontId="4" fillId="0" borderId="73" xfId="2" applyFont="1" applyBorder="1"/>
    <xf numFmtId="0" fontId="5" fillId="0" borderId="73" xfId="2" applyFont="1" applyBorder="1"/>
    <xf numFmtId="0" fontId="5" fillId="0" borderId="42" xfId="2" applyFont="1" applyBorder="1"/>
    <xf numFmtId="0" fontId="5" fillId="0" borderId="103" xfId="2" applyFont="1" applyBorder="1"/>
    <xf numFmtId="3" fontId="10" fillId="0" borderId="18" xfId="2" applyNumberFormat="1" applyFont="1" applyFill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 wrapText="1"/>
    </xf>
    <xf numFmtId="3" fontId="10" fillId="0" borderId="17" xfId="2" applyNumberFormat="1" applyFont="1" applyBorder="1" applyAlignment="1">
      <alignment vertical="center" wrapText="1"/>
    </xf>
    <xf numFmtId="0" fontId="4" fillId="0" borderId="104" xfId="2" applyFont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5" fillId="0" borderId="105" xfId="2" applyFont="1" applyBorder="1" applyAlignment="1">
      <alignment horizontal="center" vertical="center"/>
    </xf>
    <xf numFmtId="1" fontId="26" fillId="0" borderId="15" xfId="2" applyNumberFormat="1" applyFont="1" applyFill="1" applyBorder="1" applyAlignment="1">
      <alignment horizontal="center" vertical="center" wrapText="1"/>
    </xf>
    <xf numFmtId="49" fontId="26" fillId="0" borderId="11" xfId="2" applyNumberFormat="1" applyFont="1" applyFill="1" applyBorder="1" applyAlignment="1">
      <alignment horizontal="center" vertical="center" wrapText="1"/>
    </xf>
    <xf numFmtId="0" fontId="5" fillId="0" borderId="106" xfId="2" applyFont="1" applyBorder="1" applyAlignment="1">
      <alignment horizontal="center" vertical="center"/>
    </xf>
    <xf numFmtId="3" fontId="9" fillId="0" borderId="63" xfId="2" applyNumberFormat="1" applyFont="1" applyBorder="1" applyAlignment="1">
      <alignment horizontal="right" vertical="center" wrapText="1"/>
    </xf>
    <xf numFmtId="0" fontId="4" fillId="0" borderId="60" xfId="2" applyFont="1" applyBorder="1" applyAlignment="1">
      <alignment horizontal="center"/>
    </xf>
    <xf numFmtId="0" fontId="13" fillId="0" borderId="10" xfId="2" applyFont="1" applyBorder="1" applyAlignment="1">
      <alignment horizontal="right" vertical="center"/>
    </xf>
    <xf numFmtId="3" fontId="13" fillId="0" borderId="10" xfId="2" applyNumberFormat="1" applyFont="1" applyBorder="1" applyAlignment="1">
      <alignment vertical="center" wrapText="1"/>
    </xf>
    <xf numFmtId="3" fontId="13" fillId="0" borderId="10" xfId="2" applyNumberFormat="1" applyFont="1" applyFill="1" applyBorder="1" applyAlignment="1">
      <alignment vertical="center" wrapText="1"/>
    </xf>
    <xf numFmtId="3" fontId="13" fillId="0" borderId="19" xfId="2" applyNumberFormat="1" applyFont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7" fillId="0" borderId="17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top"/>
    </xf>
    <xf numFmtId="0" fontId="13" fillId="0" borderId="0" xfId="2" applyFont="1" applyBorder="1" applyAlignment="1">
      <alignment horizontal="right" vertical="center"/>
    </xf>
    <xf numFmtId="165" fontId="16" fillId="0" borderId="22" xfId="2" applyNumberFormat="1" applyFont="1" applyBorder="1" applyAlignment="1">
      <alignment vertical="center" wrapText="1"/>
    </xf>
    <xf numFmtId="165" fontId="16" fillId="3" borderId="22" xfId="2" applyNumberFormat="1" applyFont="1" applyFill="1" applyBorder="1" applyAlignment="1">
      <alignment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3" fontId="29" fillId="0" borderId="17" xfId="2" applyNumberFormat="1" applyFont="1" applyFill="1" applyBorder="1" applyAlignment="1">
      <alignment vertical="center"/>
    </xf>
    <xf numFmtId="3" fontId="29" fillId="0" borderId="23" xfId="2" applyNumberFormat="1" applyFont="1" applyFill="1" applyBorder="1" applyAlignment="1">
      <alignment vertical="center"/>
    </xf>
    <xf numFmtId="3" fontId="29" fillId="0" borderId="18" xfId="2" applyNumberFormat="1" applyFont="1" applyFill="1" applyBorder="1" applyAlignment="1">
      <alignment vertical="center"/>
    </xf>
    <xf numFmtId="165" fontId="26" fillId="0" borderId="10" xfId="2" applyNumberFormat="1" applyFont="1" applyBorder="1" applyAlignment="1">
      <alignment vertical="center" wrapText="1"/>
    </xf>
    <xf numFmtId="0" fontId="26" fillId="0" borderId="0" xfId="2" applyFont="1"/>
    <xf numFmtId="165" fontId="26" fillId="0" borderId="19" xfId="2" applyNumberFormat="1" applyFont="1" applyBorder="1" applyAlignment="1">
      <alignment vertical="center" wrapText="1"/>
    </xf>
    <xf numFmtId="3" fontId="30" fillId="0" borderId="19" xfId="2" applyNumberFormat="1" applyFont="1" applyBorder="1" applyAlignment="1">
      <alignment vertical="center" wrapText="1"/>
    </xf>
    <xf numFmtId="165" fontId="26" fillId="0" borderId="8" xfId="2" applyNumberFormat="1" applyFont="1" applyBorder="1" applyAlignment="1">
      <alignment vertical="center" wrapText="1"/>
    </xf>
    <xf numFmtId="3" fontId="26" fillId="0" borderId="10" xfId="2" applyNumberFormat="1" applyFont="1" applyBorder="1" applyAlignment="1">
      <alignment vertical="center" wrapText="1"/>
    </xf>
    <xf numFmtId="3" fontId="26" fillId="0" borderId="19" xfId="2" applyNumberFormat="1" applyFont="1" applyBorder="1" applyAlignment="1">
      <alignment vertical="center" wrapText="1"/>
    </xf>
    <xf numFmtId="3" fontId="26" fillId="0" borderId="8" xfId="2" applyNumberFormat="1" applyFont="1" applyBorder="1" applyAlignment="1">
      <alignment vertical="center" wrapText="1"/>
    </xf>
    <xf numFmtId="169" fontId="26" fillId="0" borderId="10" xfId="2" applyNumberFormat="1" applyFont="1" applyBorder="1" applyAlignment="1">
      <alignment vertical="center" wrapText="1"/>
    </xf>
    <xf numFmtId="3" fontId="30" fillId="0" borderId="10" xfId="2" applyNumberFormat="1" applyFont="1" applyBorder="1" applyAlignment="1">
      <alignment vertical="center" wrapText="1"/>
    </xf>
    <xf numFmtId="3" fontId="30" fillId="0" borderId="22" xfId="2" applyNumberFormat="1" applyFont="1" applyBorder="1" applyAlignment="1">
      <alignment vertical="center" wrapText="1"/>
    </xf>
    <xf numFmtId="165" fontId="30" fillId="0" borderId="86" xfId="2" applyNumberFormat="1" applyFont="1" applyBorder="1" applyAlignment="1">
      <alignment vertical="center" wrapText="1"/>
    </xf>
    <xf numFmtId="3" fontId="30" fillId="0" borderId="73" xfId="2" applyNumberFormat="1" applyFont="1" applyBorder="1" applyAlignment="1">
      <alignment vertical="center" wrapText="1"/>
    </xf>
    <xf numFmtId="3" fontId="30" fillId="0" borderId="42" xfId="2" applyNumberFormat="1" applyFont="1" applyBorder="1" applyAlignment="1">
      <alignment vertical="center" wrapText="1"/>
    </xf>
    <xf numFmtId="3" fontId="30" fillId="0" borderId="107" xfId="2" applyNumberFormat="1" applyFont="1" applyBorder="1"/>
    <xf numFmtId="3" fontId="27" fillId="0" borderId="17" xfId="2" applyNumberFormat="1" applyFont="1" applyBorder="1" applyAlignment="1">
      <alignment vertical="center" wrapText="1"/>
    </xf>
    <xf numFmtId="164" fontId="27" fillId="0" borderId="17" xfId="2" applyNumberFormat="1" applyFont="1" applyBorder="1" applyAlignment="1">
      <alignment vertical="center" wrapText="1"/>
    </xf>
    <xf numFmtId="164" fontId="27" fillId="0" borderId="21" xfId="2" applyNumberFormat="1" applyFont="1" applyBorder="1" applyAlignment="1">
      <alignment vertical="center" wrapText="1"/>
    </xf>
    <xf numFmtId="164" fontId="27" fillId="0" borderId="93" xfId="2" applyNumberFormat="1" applyFont="1" applyBorder="1" applyAlignment="1">
      <alignment vertical="center" wrapText="1"/>
    </xf>
    <xf numFmtId="3" fontId="27" fillId="0" borderId="21" xfId="2" applyNumberFormat="1" applyFont="1" applyBorder="1" applyAlignment="1">
      <alignment vertical="center" wrapText="1"/>
    </xf>
    <xf numFmtId="165" fontId="26" fillId="0" borderId="0" xfId="2" applyNumberFormat="1" applyFont="1" applyBorder="1" applyAlignment="1">
      <alignment vertical="center" wrapText="1"/>
    </xf>
    <xf numFmtId="165" fontId="30" fillId="0" borderId="19" xfId="2" applyNumberFormat="1" applyFont="1" applyBorder="1" applyAlignment="1">
      <alignment vertical="center" wrapText="1"/>
    </xf>
    <xf numFmtId="164" fontId="8" fillId="0" borderId="17" xfId="2" applyNumberFormat="1" applyFont="1" applyBorder="1" applyAlignment="1">
      <alignment vertical="center" wrapText="1"/>
    </xf>
    <xf numFmtId="0" fontId="4" fillId="0" borderId="48" xfId="2" applyFont="1" applyBorder="1" applyAlignment="1">
      <alignment horizontal="center" vertical="top"/>
    </xf>
    <xf numFmtId="165" fontId="29" fillId="0" borderId="49" xfId="2" applyNumberFormat="1" applyFont="1" applyBorder="1" applyAlignment="1">
      <alignment vertical="center"/>
    </xf>
    <xf numFmtId="165" fontId="29" fillId="0" borderId="50" xfId="2" applyNumberFormat="1" applyFont="1" applyBorder="1" applyAlignment="1">
      <alignment vertical="center"/>
    </xf>
    <xf numFmtId="165" fontId="29" fillId="0" borderId="68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top"/>
    </xf>
    <xf numFmtId="0" fontId="12" fillId="0" borderId="15" xfId="2" applyFont="1" applyBorder="1" applyAlignment="1">
      <alignment vertical="center" wrapText="1"/>
    </xf>
    <xf numFmtId="165" fontId="26" fillId="0" borderId="15" xfId="2" applyNumberFormat="1" applyFont="1" applyBorder="1" applyAlignment="1">
      <alignment vertical="center" wrapText="1"/>
    </xf>
    <xf numFmtId="165" fontId="26" fillId="0" borderId="46" xfId="2" applyNumberFormat="1" applyFont="1" applyBorder="1" applyAlignment="1">
      <alignment vertical="center" wrapText="1"/>
    </xf>
    <xf numFmtId="165" fontId="30" fillId="0" borderId="46" xfId="2" applyNumberFormat="1" applyFont="1" applyBorder="1" applyAlignment="1">
      <alignment vertical="center" wrapText="1"/>
    </xf>
    <xf numFmtId="165" fontId="26" fillId="0" borderId="64" xfId="2" applyNumberFormat="1" applyFont="1" applyBorder="1" applyAlignment="1">
      <alignment vertical="center" wrapText="1"/>
    </xf>
    <xf numFmtId="0" fontId="4" fillId="0" borderId="52" xfId="2" applyFont="1" applyBorder="1" applyAlignment="1">
      <alignment horizontal="center" vertical="top"/>
    </xf>
    <xf numFmtId="165" fontId="29" fillId="0" borderId="24" xfId="2" applyNumberFormat="1" applyFont="1" applyBorder="1" applyAlignment="1">
      <alignment vertical="center"/>
    </xf>
    <xf numFmtId="165" fontId="29" fillId="0" borderId="53" xfId="2" applyNumberFormat="1" applyFont="1" applyBorder="1" applyAlignment="1">
      <alignment vertical="center"/>
    </xf>
    <xf numFmtId="165" fontId="29" fillId="0" borderId="69" xfId="2" applyNumberFormat="1" applyFont="1" applyBorder="1" applyAlignment="1">
      <alignment vertical="center"/>
    </xf>
    <xf numFmtId="3" fontId="10" fillId="0" borderId="49" xfId="2" applyNumberFormat="1" applyFont="1" applyBorder="1" applyAlignment="1">
      <alignment vertical="center"/>
    </xf>
    <xf numFmtId="3" fontId="10" fillId="0" borderId="51" xfId="2" applyNumberFormat="1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 wrapText="1"/>
    </xf>
    <xf numFmtId="165" fontId="8" fillId="0" borderId="15" xfId="2" applyNumberFormat="1" applyFont="1" applyBorder="1" applyAlignment="1">
      <alignment vertical="center" wrapText="1"/>
    </xf>
    <xf numFmtId="165" fontId="8" fillId="0" borderId="46" xfId="2" applyNumberFormat="1" applyFont="1" applyBorder="1" applyAlignment="1">
      <alignment vertical="center" wrapText="1"/>
    </xf>
    <xf numFmtId="165" fontId="16" fillId="0" borderId="41" xfId="2" applyNumberFormat="1" applyFont="1" applyBorder="1" applyAlignment="1">
      <alignment vertical="center" wrapText="1"/>
    </xf>
    <xf numFmtId="3" fontId="10" fillId="0" borderId="24" xfId="2" applyNumberFormat="1" applyFont="1" applyBorder="1" applyAlignment="1">
      <alignment vertical="center"/>
    </xf>
    <xf numFmtId="3" fontId="10" fillId="0" borderId="53" xfId="2" applyNumberFormat="1" applyFont="1" applyBorder="1" applyAlignment="1">
      <alignment vertical="center"/>
    </xf>
    <xf numFmtId="3" fontId="10" fillId="0" borderId="54" xfId="2" applyNumberFormat="1" applyFont="1" applyBorder="1" applyAlignment="1">
      <alignment vertical="center"/>
    </xf>
    <xf numFmtId="166" fontId="1" fillId="0" borderId="10" xfId="1" applyNumberFormat="1" applyBorder="1" applyAlignment="1">
      <alignment vertical="center" wrapText="1"/>
    </xf>
    <xf numFmtId="165" fontId="8" fillId="0" borderId="20" xfId="2" applyNumberFormat="1" applyFont="1" applyBorder="1" applyAlignment="1">
      <alignment vertical="center"/>
    </xf>
    <xf numFmtId="165" fontId="8" fillId="0" borderId="71" xfId="2" applyNumberFormat="1" applyFont="1" applyBorder="1" applyAlignment="1">
      <alignment vertical="center"/>
    </xf>
    <xf numFmtId="165" fontId="17" fillId="0" borderId="29" xfId="2" applyNumberFormat="1" applyFont="1" applyBorder="1" applyAlignment="1">
      <alignment vertical="center" wrapText="1"/>
    </xf>
    <xf numFmtId="165" fontId="17" fillId="0" borderId="30" xfId="2" applyNumberFormat="1" applyFont="1" applyBorder="1" applyAlignment="1">
      <alignment vertical="center" wrapText="1"/>
    </xf>
    <xf numFmtId="170" fontId="34" fillId="0" borderId="17" xfId="2" applyNumberFormat="1" applyFont="1" applyBorder="1" applyAlignment="1">
      <alignment vertical="center" wrapText="1"/>
    </xf>
    <xf numFmtId="165" fontId="17" fillId="0" borderId="26" xfId="2" applyNumberFormat="1" applyFont="1" applyBorder="1" applyAlignment="1">
      <alignment vertical="center" wrapText="1"/>
    </xf>
    <xf numFmtId="165" fontId="17" fillId="0" borderId="27" xfId="2" applyNumberFormat="1" applyFont="1" applyBorder="1" applyAlignment="1">
      <alignment vertical="center" wrapText="1"/>
    </xf>
    <xf numFmtId="165" fontId="26" fillId="0" borderId="25" xfId="2" applyNumberFormat="1" applyFont="1" applyBorder="1" applyAlignment="1">
      <alignment vertical="center"/>
    </xf>
    <xf numFmtId="165" fontId="26" fillId="0" borderId="38" xfId="2" applyNumberFormat="1" applyFont="1" applyBorder="1" applyAlignment="1">
      <alignment vertical="center"/>
    </xf>
    <xf numFmtId="165" fontId="26" fillId="0" borderId="20" xfId="2" applyNumberFormat="1" applyFont="1" applyBorder="1" applyAlignment="1">
      <alignment vertical="center"/>
    </xf>
    <xf numFmtId="165" fontId="26" fillId="0" borderId="0" xfId="2" applyNumberFormat="1" applyFont="1"/>
    <xf numFmtId="165" fontId="26" fillId="0" borderId="20" xfId="2" applyNumberFormat="1" applyFont="1" applyBorder="1" applyAlignment="1">
      <alignment vertical="center" wrapText="1"/>
    </xf>
    <xf numFmtId="165" fontId="26" fillId="0" borderId="20" xfId="2" applyNumberFormat="1" applyFont="1" applyFill="1" applyBorder="1" applyAlignment="1">
      <alignment vertical="center" wrapText="1"/>
    </xf>
    <xf numFmtId="3" fontId="26" fillId="0" borderId="20" xfId="2" applyNumberFormat="1" applyFont="1" applyBorder="1" applyAlignment="1">
      <alignment vertical="center" wrapText="1"/>
    </xf>
    <xf numFmtId="3" fontId="18" fillId="0" borderId="27" xfId="2" applyNumberFormat="1" applyFont="1" applyBorder="1" applyAlignment="1">
      <alignment vertical="center" wrapText="1"/>
    </xf>
    <xf numFmtId="165" fontId="26" fillId="0" borderId="29" xfId="2" applyNumberFormat="1" applyFont="1" applyBorder="1" applyAlignment="1">
      <alignment vertical="center"/>
    </xf>
    <xf numFmtId="165" fontId="26" fillId="0" borderId="30" xfId="2" applyNumberFormat="1" applyFont="1" applyBorder="1" applyAlignment="1">
      <alignment vertical="center"/>
    </xf>
    <xf numFmtId="165" fontId="5" fillId="0" borderId="0" xfId="2" applyNumberFormat="1" applyFont="1" applyFill="1"/>
    <xf numFmtId="0" fontId="8" fillId="0" borderId="10" xfId="2" applyFont="1" applyFill="1" applyBorder="1" applyAlignment="1">
      <alignment vertical="center" wrapText="1"/>
    </xf>
    <xf numFmtId="0" fontId="35" fillId="0" borderId="2" xfId="2" applyFont="1" applyBorder="1"/>
    <xf numFmtId="165" fontId="16" fillId="5" borderId="8" xfId="2" applyNumberFormat="1" applyFont="1" applyFill="1" applyBorder="1" applyAlignment="1">
      <alignment vertical="center" wrapText="1"/>
    </xf>
    <xf numFmtId="165" fontId="8" fillId="0" borderId="60" xfId="2" applyNumberFormat="1" applyFont="1" applyFill="1" applyBorder="1" applyAlignment="1">
      <alignment vertical="center" wrapText="1"/>
    </xf>
    <xf numFmtId="165" fontId="26" fillId="0" borderId="10" xfId="2" applyNumberFormat="1" applyFont="1" applyFill="1" applyBorder="1" applyAlignment="1">
      <alignment vertical="center" wrapText="1"/>
    </xf>
    <xf numFmtId="0" fontId="4" fillId="0" borderId="115" xfId="2" applyFont="1" applyBorder="1"/>
    <xf numFmtId="0" fontId="5" fillId="0" borderId="114" xfId="2" applyFont="1" applyBorder="1"/>
    <xf numFmtId="1" fontId="8" fillId="5" borderId="10" xfId="2" applyNumberFormat="1" applyFont="1" applyFill="1" applyBorder="1" applyAlignment="1">
      <alignment horizontal="center" vertical="center" wrapText="1"/>
    </xf>
    <xf numFmtId="49" fontId="8" fillId="5" borderId="10" xfId="2" applyNumberFormat="1" applyFont="1" applyFill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/>
    </xf>
    <xf numFmtId="3" fontId="19" fillId="0" borderId="17" xfId="2" applyNumberFormat="1" applyFont="1" applyBorder="1" applyAlignment="1">
      <alignment vertical="center" wrapText="1"/>
    </xf>
    <xf numFmtId="0" fontId="4" fillId="0" borderId="108" xfId="2" applyFont="1" applyBorder="1" applyAlignment="1">
      <alignment horizontal="center"/>
    </xf>
    <xf numFmtId="0" fontId="4" fillId="0" borderId="109" xfId="2" applyFont="1" applyBorder="1" applyAlignment="1">
      <alignment horizontal="center"/>
    </xf>
    <xf numFmtId="0" fontId="4" fillId="0" borderId="110" xfId="2" applyFont="1" applyBorder="1" applyAlignment="1">
      <alignment horizontal="center"/>
    </xf>
    <xf numFmtId="0" fontId="4" fillId="2" borderId="108" xfId="0" applyFont="1" applyFill="1" applyBorder="1" applyAlignment="1" applyProtection="1">
      <alignment horizontal="center"/>
      <protection hidden="1"/>
    </xf>
    <xf numFmtId="0" fontId="4" fillId="2" borderId="110" xfId="0" applyFont="1" applyFill="1" applyBorder="1" applyAlignment="1" applyProtection="1">
      <alignment horizontal="center"/>
      <protection hidden="1"/>
    </xf>
    <xf numFmtId="0" fontId="4" fillId="0" borderId="111" xfId="2" applyFont="1" applyBorder="1" applyAlignment="1">
      <alignment horizontal="center"/>
    </xf>
    <xf numFmtId="0" fontId="4" fillId="0" borderId="88" xfId="2" applyFont="1" applyBorder="1" applyAlignment="1">
      <alignment horizontal="center"/>
    </xf>
    <xf numFmtId="0" fontId="4" fillId="0" borderId="89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0" fontId="6" fillId="0" borderId="98" xfId="2" applyFont="1" applyBorder="1" applyAlignment="1">
      <alignment horizontal="center"/>
    </xf>
    <xf numFmtId="0" fontId="4" fillId="2" borderId="108" xfId="0" applyFont="1" applyFill="1" applyBorder="1" applyAlignment="1">
      <alignment horizontal="center"/>
    </xf>
    <xf numFmtId="0" fontId="4" fillId="2" borderId="10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1" xfId="0" applyFont="1" applyFill="1" applyBorder="1" applyAlignment="1">
      <alignment horizontal="center"/>
    </xf>
    <xf numFmtId="0" fontId="4" fillId="2" borderId="88" xfId="0" applyFont="1" applyFill="1" applyBorder="1" applyAlignment="1">
      <alignment horizontal="center"/>
    </xf>
    <xf numFmtId="0" fontId="4" fillId="2" borderId="89" xfId="0" applyFont="1" applyFill="1" applyBorder="1" applyAlignment="1">
      <alignment horizontal="center"/>
    </xf>
    <xf numFmtId="0" fontId="28" fillId="0" borderId="0" xfId="2" applyFont="1" applyBorder="1" applyAlignment="1">
      <alignment horizontal="center" wrapText="1"/>
    </xf>
    <xf numFmtId="0" fontId="6" fillId="0" borderId="112" xfId="2" applyFont="1" applyBorder="1" applyAlignment="1">
      <alignment horizontal="center"/>
    </xf>
    <xf numFmtId="0" fontId="6" fillId="0" borderId="113" xfId="2" applyFont="1" applyBorder="1" applyAlignment="1">
      <alignment horizontal="center"/>
    </xf>
  </cellXfs>
  <cellStyles count="3">
    <cellStyle name="Ezres" xfId="1" builtinId="3"/>
    <cellStyle name="Normál" xfId="0" builtinId="0"/>
    <cellStyle name="Normál_SajatHK2005_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9"/>
  <sheetViews>
    <sheetView zoomScale="75" zoomScaleNormal="75" workbookViewId="0">
      <selection activeCell="A2" sqref="A2:W2"/>
    </sheetView>
  </sheetViews>
  <sheetFormatPr defaultRowHeight="16.5" x14ac:dyDescent="0.25"/>
  <cols>
    <col min="1" max="1" width="5.5703125" style="1" customWidth="1"/>
    <col min="2" max="2" width="10.5703125" style="1" hidden="1" customWidth="1"/>
    <col min="3" max="3" width="48.7109375" style="2" customWidth="1"/>
    <col min="4" max="4" width="15" style="2" customWidth="1"/>
    <col min="5" max="5" width="13.28515625" style="2" customWidth="1"/>
    <col min="6" max="6" width="14.7109375" style="2" customWidth="1"/>
    <col min="7" max="7" width="13.28515625" style="2" customWidth="1"/>
    <col min="8" max="8" width="15.42578125" style="2" customWidth="1"/>
    <col min="9" max="11" width="13.7109375" style="2" customWidth="1"/>
    <col min="12" max="12" width="16.7109375" style="2" customWidth="1"/>
    <col min="13" max="13" width="14.42578125" style="2" customWidth="1"/>
    <col min="14" max="14" width="12.7109375" style="2" customWidth="1"/>
    <col min="15" max="15" width="15.7109375" style="2" customWidth="1"/>
    <col min="16" max="16" width="0.85546875" style="2" customWidth="1"/>
    <col min="17" max="17" width="14.7109375" style="2" customWidth="1"/>
    <col min="18" max="18" width="17.42578125" style="2" customWidth="1"/>
    <col min="19" max="19" width="15.42578125" style="2" customWidth="1"/>
    <col min="20" max="20" width="13.7109375" style="2" customWidth="1"/>
    <col min="21" max="21" width="16.7109375" style="2" customWidth="1"/>
    <col min="22" max="22" width="1.85546875" style="2" customWidth="1"/>
    <col min="23" max="23" width="17.7109375" style="2" customWidth="1"/>
    <col min="24" max="29" width="9.140625" style="2"/>
    <col min="30" max="31" width="10.7109375" style="2" customWidth="1"/>
    <col min="32" max="32" width="10.28515625" style="2" customWidth="1"/>
    <col min="33" max="33" width="10" style="2" customWidth="1"/>
    <col min="34" max="34" width="10.28515625" style="2" customWidth="1"/>
    <col min="35" max="35" width="10.7109375" style="2" customWidth="1"/>
    <col min="36" max="36" width="10.5703125" style="2" customWidth="1"/>
    <col min="37" max="40" width="9.140625" style="2"/>
    <col min="41" max="41" width="11" style="2" customWidth="1"/>
    <col min="42" max="16384" width="9.140625" style="2"/>
  </cols>
  <sheetData>
    <row r="1" spans="1:35" ht="20.25" customHeight="1" x14ac:dyDescent="0.25">
      <c r="W1" s="174" t="s">
        <v>439</v>
      </c>
    </row>
    <row r="2" spans="1:35" ht="30" customHeight="1" x14ac:dyDescent="0.3">
      <c r="A2" s="681" t="s">
        <v>0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</row>
    <row r="3" spans="1:35" ht="9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5" ht="50.1" customHeight="1" x14ac:dyDescent="0.2">
      <c r="A4" s="682" t="s">
        <v>205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</row>
    <row r="5" spans="1:35" ht="12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5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</v>
      </c>
    </row>
    <row r="7" spans="1:35" ht="18" customHeight="1" x14ac:dyDescent="0.25">
      <c r="A7" s="663"/>
      <c r="B7" s="7"/>
      <c r="C7" s="8"/>
      <c r="D7" s="673" t="s">
        <v>105</v>
      </c>
      <c r="E7" s="674"/>
      <c r="F7" s="675"/>
      <c r="G7" s="397"/>
      <c r="H7" s="398"/>
      <c r="I7" s="399" t="s">
        <v>4</v>
      </c>
      <c r="J7" s="676" t="s">
        <v>113</v>
      </c>
      <c r="K7" s="677"/>
      <c r="L7" s="397"/>
      <c r="M7" s="400" t="s">
        <v>114</v>
      </c>
      <c r="N7" s="401"/>
      <c r="O7" s="402" t="s">
        <v>121</v>
      </c>
      <c r="P7" s="403"/>
      <c r="Q7" s="678" t="s">
        <v>123</v>
      </c>
      <c r="R7" s="679"/>
      <c r="S7" s="679"/>
      <c r="T7" s="680"/>
      <c r="U7" s="403" t="s">
        <v>132</v>
      </c>
      <c r="V7" s="402"/>
      <c r="W7" s="9" t="s">
        <v>2</v>
      </c>
    </row>
    <row r="8" spans="1:35" x14ac:dyDescent="0.25">
      <c r="A8" s="10"/>
      <c r="B8" s="11"/>
      <c r="C8" s="12" t="s">
        <v>3</v>
      </c>
      <c r="D8" s="15" t="s">
        <v>106</v>
      </c>
      <c r="E8" s="12" t="s">
        <v>107</v>
      </c>
      <c r="F8" s="4" t="s">
        <v>108</v>
      </c>
      <c r="G8" s="16" t="s">
        <v>115</v>
      </c>
      <c r="H8" s="16" t="s">
        <v>5</v>
      </c>
      <c r="I8" s="16" t="s">
        <v>15</v>
      </c>
      <c r="J8" s="12" t="s">
        <v>6</v>
      </c>
      <c r="K8" s="12" t="s">
        <v>116</v>
      </c>
      <c r="L8" s="393" t="s">
        <v>90</v>
      </c>
      <c r="M8" s="12" t="s">
        <v>117</v>
      </c>
      <c r="N8" s="16" t="s">
        <v>4</v>
      </c>
      <c r="O8" s="394" t="s">
        <v>122</v>
      </c>
      <c r="P8" s="395"/>
      <c r="Q8" s="16" t="s">
        <v>124</v>
      </c>
      <c r="R8" s="16" t="s">
        <v>125</v>
      </c>
      <c r="S8" s="16" t="s">
        <v>181</v>
      </c>
      <c r="T8" s="16" t="s">
        <v>4</v>
      </c>
      <c r="U8" s="395" t="s">
        <v>133</v>
      </c>
      <c r="V8" s="394"/>
      <c r="W8" s="14" t="s">
        <v>7</v>
      </c>
    </row>
    <row r="9" spans="1:35" x14ac:dyDescent="0.25">
      <c r="A9" s="17" t="s">
        <v>8</v>
      </c>
      <c r="B9" s="12"/>
      <c r="C9" s="12" t="s">
        <v>9</v>
      </c>
      <c r="D9" s="16" t="s">
        <v>15</v>
      </c>
      <c r="E9" s="12" t="s">
        <v>109</v>
      </c>
      <c r="F9" s="4" t="s">
        <v>68</v>
      </c>
      <c r="G9" s="16" t="s">
        <v>10</v>
      </c>
      <c r="H9" s="12" t="s">
        <v>10</v>
      </c>
      <c r="I9" s="12" t="s">
        <v>11</v>
      </c>
      <c r="J9" s="12" t="s">
        <v>11</v>
      </c>
      <c r="K9" s="12" t="s">
        <v>68</v>
      </c>
      <c r="L9" s="292" t="s">
        <v>91</v>
      </c>
      <c r="M9" s="16" t="s">
        <v>118</v>
      </c>
      <c r="N9" s="16" t="s">
        <v>92</v>
      </c>
      <c r="O9" s="394" t="s">
        <v>10</v>
      </c>
      <c r="P9" s="395"/>
      <c r="Q9" s="16" t="s">
        <v>126</v>
      </c>
      <c r="R9" s="16" t="s">
        <v>127</v>
      </c>
      <c r="S9" s="16" t="s">
        <v>182</v>
      </c>
      <c r="T9" s="16" t="s">
        <v>175</v>
      </c>
      <c r="U9" s="395" t="s">
        <v>10</v>
      </c>
      <c r="V9" s="394"/>
      <c r="W9" s="14" t="s">
        <v>12</v>
      </c>
    </row>
    <row r="10" spans="1:35" x14ac:dyDescent="0.25">
      <c r="A10" s="10"/>
      <c r="B10" s="11"/>
      <c r="C10" s="12" t="s">
        <v>13</v>
      </c>
      <c r="D10" s="16" t="s">
        <v>110</v>
      </c>
      <c r="E10" s="12" t="s">
        <v>111</v>
      </c>
      <c r="F10" s="4" t="s">
        <v>112</v>
      </c>
      <c r="G10" s="16"/>
      <c r="H10" s="12"/>
      <c r="I10" s="12" t="s">
        <v>89</v>
      </c>
      <c r="J10" s="12" t="s">
        <v>119</v>
      </c>
      <c r="K10" s="12" t="s">
        <v>112</v>
      </c>
      <c r="L10" s="12" t="s">
        <v>10</v>
      </c>
      <c r="M10" s="16" t="s">
        <v>42</v>
      </c>
      <c r="N10" s="16" t="s">
        <v>120</v>
      </c>
      <c r="O10" s="394" t="s">
        <v>12</v>
      </c>
      <c r="P10" s="395"/>
      <c r="Q10" s="16" t="s">
        <v>128</v>
      </c>
      <c r="R10" s="16" t="s">
        <v>129</v>
      </c>
      <c r="S10" s="16" t="s">
        <v>183</v>
      </c>
      <c r="T10" s="16" t="s">
        <v>176</v>
      </c>
      <c r="U10" s="395" t="s">
        <v>12</v>
      </c>
      <c r="V10" s="394"/>
      <c r="W10" s="18" t="s">
        <v>135</v>
      </c>
    </row>
    <row r="11" spans="1:35" x14ac:dyDescent="0.25">
      <c r="A11" s="10"/>
      <c r="B11" s="11"/>
      <c r="C11" s="12"/>
      <c r="D11" s="16"/>
      <c r="E11" s="12" t="s">
        <v>16</v>
      </c>
      <c r="F11" s="4" t="s">
        <v>88</v>
      </c>
      <c r="G11" s="16"/>
      <c r="H11" s="12"/>
      <c r="I11" s="12" t="s">
        <v>17</v>
      </c>
      <c r="J11" s="12" t="s">
        <v>51</v>
      </c>
      <c r="K11" s="12" t="s">
        <v>88</v>
      </c>
      <c r="L11" s="12"/>
      <c r="M11" s="19" t="s">
        <v>14</v>
      </c>
      <c r="N11" s="19" t="s">
        <v>17</v>
      </c>
      <c r="O11" s="4" t="s">
        <v>131</v>
      </c>
      <c r="P11" s="396"/>
      <c r="Q11" s="16" t="s">
        <v>16</v>
      </c>
      <c r="R11" s="19" t="s">
        <v>130</v>
      </c>
      <c r="S11" s="19" t="s">
        <v>184</v>
      </c>
      <c r="T11" s="19" t="s">
        <v>10</v>
      </c>
      <c r="U11" s="19" t="s">
        <v>134</v>
      </c>
      <c r="V11" s="4"/>
      <c r="W11" s="14"/>
    </row>
    <row r="12" spans="1:35" ht="20.25" customHeight="1" x14ac:dyDescent="0.2">
      <c r="A12" s="180">
        <v>1</v>
      </c>
      <c r="B12" s="204"/>
      <c r="C12" s="204">
        <v>2</v>
      </c>
      <c r="D12" s="204">
        <v>3</v>
      </c>
      <c r="E12" s="204">
        <v>4</v>
      </c>
      <c r="F12" s="204">
        <v>5</v>
      </c>
      <c r="G12" s="204">
        <v>6</v>
      </c>
      <c r="H12" s="204">
        <v>7</v>
      </c>
      <c r="I12" s="204">
        <v>8</v>
      </c>
      <c r="J12" s="204">
        <v>9</v>
      </c>
      <c r="K12" s="204">
        <v>10</v>
      </c>
      <c r="L12" s="204">
        <v>11</v>
      </c>
      <c r="M12" s="204">
        <v>12</v>
      </c>
      <c r="N12" s="204">
        <v>13</v>
      </c>
      <c r="O12" s="204">
        <v>14</v>
      </c>
      <c r="P12" s="204"/>
      <c r="Q12" s="204">
        <v>15</v>
      </c>
      <c r="R12" s="204">
        <v>16</v>
      </c>
      <c r="S12" s="204">
        <v>17</v>
      </c>
      <c r="T12" s="204">
        <v>18</v>
      </c>
      <c r="U12" s="204">
        <v>19</v>
      </c>
      <c r="V12" s="205"/>
      <c r="W12" s="206">
        <v>20</v>
      </c>
    </row>
    <row r="13" spans="1:35" ht="22.5" customHeight="1" x14ac:dyDescent="0.25">
      <c r="A13" s="21"/>
      <c r="B13" s="22"/>
      <c r="C13" s="23" t="s">
        <v>56</v>
      </c>
      <c r="D13" s="24">
        <v>2520975.2790000001</v>
      </c>
      <c r="E13" s="24">
        <v>0</v>
      </c>
      <c r="F13" s="24">
        <v>52000</v>
      </c>
      <c r="G13" s="24">
        <v>9540963</v>
      </c>
      <c r="H13" s="24">
        <v>2481203.7209999999</v>
      </c>
      <c r="I13" s="141">
        <v>0</v>
      </c>
      <c r="J13" s="24">
        <v>1146000</v>
      </c>
      <c r="K13" s="24">
        <v>4683689</v>
      </c>
      <c r="L13" s="141">
        <v>1771000</v>
      </c>
      <c r="M13" s="24">
        <v>10000</v>
      </c>
      <c r="N13" s="24">
        <v>0</v>
      </c>
      <c r="O13" s="404">
        <f>SUM(D13:N13)</f>
        <v>22205831</v>
      </c>
      <c r="P13" s="24"/>
      <c r="Q13" s="24">
        <v>2382040</v>
      </c>
      <c r="R13" s="24">
        <v>1111769</v>
      </c>
      <c r="S13" s="24">
        <v>0</v>
      </c>
      <c r="T13" s="24">
        <v>0</v>
      </c>
      <c r="U13" s="404">
        <f>SUM(Q13:T13)</f>
        <v>3493809</v>
      </c>
      <c r="V13" s="140"/>
      <c r="W13" s="126">
        <f>O13+U13</f>
        <v>25699640</v>
      </c>
    </row>
    <row r="14" spans="1:35" ht="20.100000000000001" hidden="1" customHeight="1" x14ac:dyDescent="0.25">
      <c r="A14" s="143"/>
      <c r="B14" s="26" t="s">
        <v>54</v>
      </c>
      <c r="C14" s="27" t="s">
        <v>94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125"/>
      <c r="V14" s="80"/>
      <c r="W14" s="405">
        <f>O14+U14</f>
        <v>0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9"/>
    </row>
    <row r="15" spans="1:35" ht="20.100000000000001" hidden="1" customHeight="1" x14ac:dyDescent="0.25">
      <c r="A15" s="143"/>
      <c r="B15" s="26"/>
      <c r="C15" s="23" t="s">
        <v>18</v>
      </c>
      <c r="D15" s="138">
        <f>SUM(D13:D14)</f>
        <v>2520975.2790000001</v>
      </c>
      <c r="E15" s="138">
        <f t="shared" ref="E15:U15" si="0">SUM(E13:E14)</f>
        <v>0</v>
      </c>
      <c r="F15" s="138">
        <f t="shared" si="0"/>
        <v>52000</v>
      </c>
      <c r="G15" s="138">
        <f t="shared" si="0"/>
        <v>9540963</v>
      </c>
      <c r="H15" s="138">
        <f t="shared" si="0"/>
        <v>2481203.7209999999</v>
      </c>
      <c r="I15" s="138">
        <f t="shared" si="0"/>
        <v>0</v>
      </c>
      <c r="J15" s="138">
        <f t="shared" si="0"/>
        <v>1146000</v>
      </c>
      <c r="K15" s="138">
        <f t="shared" si="0"/>
        <v>4683689</v>
      </c>
      <c r="L15" s="138">
        <f t="shared" si="0"/>
        <v>1771000</v>
      </c>
      <c r="M15" s="138">
        <f t="shared" si="0"/>
        <v>10000</v>
      </c>
      <c r="N15" s="138">
        <f t="shared" si="0"/>
        <v>0</v>
      </c>
      <c r="O15" s="138">
        <f t="shared" si="0"/>
        <v>22205831</v>
      </c>
      <c r="P15" s="138"/>
      <c r="Q15" s="138">
        <f t="shared" si="0"/>
        <v>2382040</v>
      </c>
      <c r="R15" s="138">
        <f t="shared" si="0"/>
        <v>1111769</v>
      </c>
      <c r="S15" s="138">
        <f t="shared" si="0"/>
        <v>0</v>
      </c>
      <c r="T15" s="138">
        <f t="shared" si="0"/>
        <v>0</v>
      </c>
      <c r="U15" s="138">
        <f t="shared" si="0"/>
        <v>3493809</v>
      </c>
      <c r="V15" s="417"/>
      <c r="W15" s="406">
        <f>SUM(W13:W14)</f>
        <v>25699640</v>
      </c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</row>
    <row r="16" spans="1:35" ht="35.1" customHeight="1" x14ac:dyDescent="0.25">
      <c r="A16" s="79">
        <v>1</v>
      </c>
      <c r="B16" s="592" t="s">
        <v>231</v>
      </c>
      <c r="C16" s="27" t="s">
        <v>239</v>
      </c>
      <c r="D16" s="596"/>
      <c r="E16" s="596"/>
      <c r="F16" s="596"/>
      <c r="G16" s="596"/>
      <c r="H16" s="596">
        <f>71</f>
        <v>71</v>
      </c>
      <c r="I16" s="596"/>
      <c r="J16" s="597"/>
      <c r="K16" s="596"/>
      <c r="L16" s="596"/>
      <c r="M16" s="596"/>
      <c r="N16" s="596"/>
      <c r="O16" s="596">
        <f t="shared" ref="O16:O33" si="1">SUM(D16:N16)</f>
        <v>71</v>
      </c>
      <c r="P16" s="601"/>
      <c r="Q16" s="604"/>
      <c r="R16" s="604"/>
      <c r="S16" s="604"/>
      <c r="T16" s="604"/>
      <c r="U16" s="605">
        <f t="shared" ref="U16:U33" si="2">SUM(Q16:T16)</f>
        <v>0</v>
      </c>
      <c r="V16" s="606"/>
      <c r="W16" s="607">
        <f t="shared" ref="W16:W33" si="3">O16+U16</f>
        <v>71</v>
      </c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</row>
    <row r="17" spans="1:35" ht="35.1" customHeight="1" x14ac:dyDescent="0.25">
      <c r="A17" s="79">
        <v>2</v>
      </c>
      <c r="B17" s="123" t="s">
        <v>232</v>
      </c>
      <c r="C17" s="27" t="s">
        <v>240</v>
      </c>
      <c r="D17" s="596"/>
      <c r="E17" s="596"/>
      <c r="F17" s="596"/>
      <c r="G17" s="596"/>
      <c r="H17" s="596">
        <f>2400+648</f>
        <v>3048</v>
      </c>
      <c r="I17" s="596"/>
      <c r="J17" s="597"/>
      <c r="K17" s="596"/>
      <c r="L17" s="596"/>
      <c r="M17" s="596"/>
      <c r="N17" s="596"/>
      <c r="O17" s="596">
        <f t="shared" si="1"/>
        <v>3048</v>
      </c>
      <c r="P17" s="601"/>
      <c r="Q17" s="604"/>
      <c r="R17" s="604"/>
      <c r="S17" s="604"/>
      <c r="T17" s="604"/>
      <c r="U17" s="605">
        <f t="shared" si="2"/>
        <v>0</v>
      </c>
      <c r="V17" s="606"/>
      <c r="W17" s="607">
        <f t="shared" si="3"/>
        <v>3048</v>
      </c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9"/>
    </row>
    <row r="18" spans="1:35" ht="35.1" customHeight="1" x14ac:dyDescent="0.25">
      <c r="A18" s="79">
        <v>3</v>
      </c>
      <c r="B18" s="123" t="s">
        <v>252</v>
      </c>
      <c r="C18" s="27" t="s">
        <v>255</v>
      </c>
      <c r="D18" s="596">
        <f>2078.583+8019.33</f>
        <v>10097.913</v>
      </c>
      <c r="E18" s="596"/>
      <c r="F18" s="616"/>
      <c r="G18" s="596"/>
      <c r="H18" s="596">
        <f>-10097.913</f>
        <v>-10097.913</v>
      </c>
      <c r="I18" s="596"/>
      <c r="J18" s="597"/>
      <c r="K18" s="596"/>
      <c r="L18" s="596"/>
      <c r="M18" s="596"/>
      <c r="N18" s="596"/>
      <c r="O18" s="596">
        <f t="shared" si="1"/>
        <v>0</v>
      </c>
      <c r="P18" s="601"/>
      <c r="Q18" s="604"/>
      <c r="R18" s="604"/>
      <c r="S18" s="604"/>
      <c r="T18" s="604"/>
      <c r="U18" s="605">
        <f t="shared" si="2"/>
        <v>0</v>
      </c>
      <c r="V18" s="606"/>
      <c r="W18" s="607">
        <f t="shared" si="3"/>
        <v>0</v>
      </c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9"/>
    </row>
    <row r="19" spans="1:35" ht="35.1" customHeight="1" x14ac:dyDescent="0.25">
      <c r="A19" s="79">
        <v>4</v>
      </c>
      <c r="B19" s="123" t="s">
        <v>286</v>
      </c>
      <c r="C19" s="27" t="s">
        <v>287</v>
      </c>
      <c r="D19" s="596"/>
      <c r="E19" s="596"/>
      <c r="F19" s="616"/>
      <c r="G19" s="596"/>
      <c r="H19" s="596">
        <f>232</f>
        <v>232</v>
      </c>
      <c r="I19" s="596"/>
      <c r="J19" s="597"/>
      <c r="K19" s="596"/>
      <c r="L19" s="596"/>
      <c r="M19" s="596"/>
      <c r="N19" s="596"/>
      <c r="O19" s="596">
        <f t="shared" si="1"/>
        <v>232</v>
      </c>
      <c r="P19" s="601"/>
      <c r="Q19" s="604"/>
      <c r="R19" s="604"/>
      <c r="S19" s="604"/>
      <c r="T19" s="604"/>
      <c r="U19" s="605">
        <f t="shared" ref="U19" si="4">SUM(Q19:T19)</f>
        <v>0</v>
      </c>
      <c r="V19" s="606"/>
      <c r="W19" s="607">
        <f t="shared" ref="W19" si="5">O19+U19</f>
        <v>232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9"/>
    </row>
    <row r="20" spans="1:35" ht="35.1" customHeight="1" x14ac:dyDescent="0.25">
      <c r="A20" s="79">
        <v>5</v>
      </c>
      <c r="B20" s="123" t="s">
        <v>292</v>
      </c>
      <c r="C20" s="27" t="s">
        <v>293</v>
      </c>
      <c r="D20" s="596"/>
      <c r="E20" s="596"/>
      <c r="F20" s="616"/>
      <c r="G20" s="596"/>
      <c r="H20" s="596">
        <f>4308+1163+686+185</f>
        <v>6342</v>
      </c>
      <c r="I20" s="596"/>
      <c r="J20" s="597"/>
      <c r="K20" s="596"/>
      <c r="L20" s="596"/>
      <c r="M20" s="596"/>
      <c r="N20" s="596"/>
      <c r="O20" s="596">
        <f t="shared" si="1"/>
        <v>6342</v>
      </c>
      <c r="P20" s="601"/>
      <c r="Q20" s="604"/>
      <c r="R20" s="604"/>
      <c r="S20" s="604"/>
      <c r="T20" s="604"/>
      <c r="U20" s="605">
        <f t="shared" ref="U20" si="6">SUM(Q20:T20)</f>
        <v>0</v>
      </c>
      <c r="V20" s="606"/>
      <c r="W20" s="607">
        <f t="shared" ref="W20" si="7">O20+U20</f>
        <v>6342</v>
      </c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9"/>
    </row>
    <row r="21" spans="1:35" ht="35.1" customHeight="1" x14ac:dyDescent="0.25">
      <c r="A21" s="79">
        <v>6</v>
      </c>
      <c r="B21" s="123" t="s">
        <v>284</v>
      </c>
      <c r="C21" s="27" t="s">
        <v>285</v>
      </c>
      <c r="D21" s="596"/>
      <c r="E21" s="596"/>
      <c r="F21" s="616"/>
      <c r="G21" s="596"/>
      <c r="H21" s="596"/>
      <c r="I21" s="596"/>
      <c r="J21" s="597"/>
      <c r="K21" s="596"/>
      <c r="L21" s="596">
        <f>14100</f>
        <v>14100</v>
      </c>
      <c r="M21" s="596"/>
      <c r="N21" s="596"/>
      <c r="O21" s="596">
        <f t="shared" si="1"/>
        <v>14100</v>
      </c>
      <c r="P21" s="601"/>
      <c r="Q21" s="604"/>
      <c r="R21" s="604"/>
      <c r="S21" s="604"/>
      <c r="T21" s="604"/>
      <c r="U21" s="605">
        <f t="shared" si="2"/>
        <v>0</v>
      </c>
      <c r="V21" s="606"/>
      <c r="W21" s="607">
        <f t="shared" si="3"/>
        <v>14100</v>
      </c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</row>
    <row r="22" spans="1:35" ht="35.1" customHeight="1" x14ac:dyDescent="0.25">
      <c r="A22" s="79">
        <v>7</v>
      </c>
      <c r="B22" s="592" t="s">
        <v>259</v>
      </c>
      <c r="C22" s="27" t="s">
        <v>260</v>
      </c>
      <c r="D22" s="596"/>
      <c r="E22" s="596"/>
      <c r="F22" s="616"/>
      <c r="G22" s="596">
        <f>300</f>
        <v>300</v>
      </c>
      <c r="H22" s="596"/>
      <c r="I22" s="596"/>
      <c r="J22" s="597"/>
      <c r="K22" s="596"/>
      <c r="L22" s="596"/>
      <c r="M22" s="596"/>
      <c r="N22" s="596"/>
      <c r="O22" s="596">
        <f t="shared" si="1"/>
        <v>300</v>
      </c>
      <c r="P22" s="601"/>
      <c r="Q22" s="604"/>
      <c r="R22" s="604"/>
      <c r="S22" s="604"/>
      <c r="T22" s="604"/>
      <c r="U22" s="605">
        <f t="shared" si="2"/>
        <v>0</v>
      </c>
      <c r="V22" s="606"/>
      <c r="W22" s="607">
        <f t="shared" si="3"/>
        <v>300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</row>
    <row r="23" spans="1:35" ht="35.1" customHeight="1" x14ac:dyDescent="0.25">
      <c r="A23" s="79">
        <v>8</v>
      </c>
      <c r="B23" s="592" t="s">
        <v>288</v>
      </c>
      <c r="C23" s="27" t="s">
        <v>289</v>
      </c>
      <c r="D23" s="596"/>
      <c r="E23" s="596"/>
      <c r="F23" s="616"/>
      <c r="G23" s="596"/>
      <c r="H23" s="596">
        <f>2195+593</f>
        <v>2788</v>
      </c>
      <c r="I23" s="596"/>
      <c r="J23" s="597"/>
      <c r="K23" s="596"/>
      <c r="L23" s="596"/>
      <c r="M23" s="596"/>
      <c r="N23" s="596"/>
      <c r="O23" s="596">
        <f t="shared" si="1"/>
        <v>2788</v>
      </c>
      <c r="P23" s="601"/>
      <c r="Q23" s="604"/>
      <c r="R23" s="604"/>
      <c r="S23" s="604"/>
      <c r="T23" s="604"/>
      <c r="U23" s="605">
        <f t="shared" si="2"/>
        <v>0</v>
      </c>
      <c r="V23" s="606"/>
      <c r="W23" s="607">
        <f t="shared" si="3"/>
        <v>2788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</row>
    <row r="24" spans="1:35" ht="35.1" customHeight="1" x14ac:dyDescent="0.25">
      <c r="A24" s="79">
        <v>9</v>
      </c>
      <c r="B24" s="592" t="s">
        <v>294</v>
      </c>
      <c r="C24" s="27" t="s">
        <v>296</v>
      </c>
      <c r="D24" s="596">
        <f>129.418</f>
        <v>129.41800000000001</v>
      </c>
      <c r="E24" s="596"/>
      <c r="F24" s="616"/>
      <c r="G24" s="596"/>
      <c r="H24" s="596"/>
      <c r="I24" s="596"/>
      <c r="J24" s="597"/>
      <c r="K24" s="596"/>
      <c r="L24" s="596"/>
      <c r="M24" s="596"/>
      <c r="N24" s="596"/>
      <c r="O24" s="596">
        <f t="shared" si="1"/>
        <v>129.41800000000001</v>
      </c>
      <c r="P24" s="601"/>
      <c r="Q24" s="604"/>
      <c r="R24" s="604"/>
      <c r="S24" s="604"/>
      <c r="T24" s="604"/>
      <c r="U24" s="605">
        <f t="shared" si="2"/>
        <v>0</v>
      </c>
      <c r="V24" s="606"/>
      <c r="W24" s="607">
        <f t="shared" si="3"/>
        <v>129.41800000000001</v>
      </c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9"/>
    </row>
    <row r="25" spans="1:35" ht="35.1" customHeight="1" x14ac:dyDescent="0.25">
      <c r="A25" s="79">
        <v>10</v>
      </c>
      <c r="B25" s="592" t="s">
        <v>294</v>
      </c>
      <c r="C25" s="27" t="s">
        <v>295</v>
      </c>
      <c r="D25" s="596">
        <v>2358.4560000000001</v>
      </c>
      <c r="E25" s="596"/>
      <c r="F25" s="616"/>
      <c r="G25" s="596"/>
      <c r="H25" s="596"/>
      <c r="I25" s="596"/>
      <c r="J25" s="597"/>
      <c r="K25" s="596"/>
      <c r="L25" s="596"/>
      <c r="M25" s="596"/>
      <c r="N25" s="596"/>
      <c r="O25" s="596">
        <f t="shared" si="1"/>
        <v>2358.4560000000001</v>
      </c>
      <c r="P25" s="601"/>
      <c r="Q25" s="604"/>
      <c r="R25" s="604"/>
      <c r="S25" s="604"/>
      <c r="T25" s="604"/>
      <c r="U25" s="605">
        <f t="shared" si="2"/>
        <v>0</v>
      </c>
      <c r="V25" s="606"/>
      <c r="W25" s="607">
        <f t="shared" si="3"/>
        <v>2358.4560000000001</v>
      </c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9"/>
    </row>
    <row r="26" spans="1:35" ht="35.1" customHeight="1" x14ac:dyDescent="0.25">
      <c r="A26" s="79">
        <v>11</v>
      </c>
      <c r="B26" s="592" t="s">
        <v>294</v>
      </c>
      <c r="C26" s="27" t="s">
        <v>297</v>
      </c>
      <c r="D26" s="596">
        <v>1020.653</v>
      </c>
      <c r="E26" s="596"/>
      <c r="F26" s="616"/>
      <c r="G26" s="596"/>
      <c r="H26" s="596"/>
      <c r="I26" s="596"/>
      <c r="J26" s="597"/>
      <c r="K26" s="596"/>
      <c r="L26" s="596"/>
      <c r="M26" s="596"/>
      <c r="N26" s="596"/>
      <c r="O26" s="596">
        <f t="shared" si="1"/>
        <v>1020.653</v>
      </c>
      <c r="P26" s="601"/>
      <c r="Q26" s="604"/>
      <c r="R26" s="604"/>
      <c r="S26" s="604"/>
      <c r="T26" s="604"/>
      <c r="U26" s="605">
        <f t="shared" si="2"/>
        <v>0</v>
      </c>
      <c r="V26" s="606"/>
      <c r="W26" s="607">
        <f t="shared" si="3"/>
        <v>1020.653</v>
      </c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</row>
    <row r="27" spans="1:35" ht="35.1" customHeight="1" x14ac:dyDescent="0.25">
      <c r="A27" s="79">
        <v>12</v>
      </c>
      <c r="B27" s="592" t="s">
        <v>300</v>
      </c>
      <c r="C27" s="27" t="s">
        <v>301</v>
      </c>
      <c r="D27" s="596">
        <v>15924.323</v>
      </c>
      <c r="E27" s="596"/>
      <c r="F27" s="616"/>
      <c r="G27" s="596"/>
      <c r="H27" s="596"/>
      <c r="I27" s="596"/>
      <c r="J27" s="597"/>
      <c r="K27" s="596"/>
      <c r="L27" s="596"/>
      <c r="M27" s="596"/>
      <c r="N27" s="596"/>
      <c r="O27" s="596">
        <f t="shared" si="1"/>
        <v>15924.323</v>
      </c>
      <c r="P27" s="601"/>
      <c r="Q27" s="604"/>
      <c r="R27" s="604"/>
      <c r="S27" s="604"/>
      <c r="T27" s="604"/>
      <c r="U27" s="605">
        <f t="shared" si="2"/>
        <v>0</v>
      </c>
      <c r="V27" s="606"/>
      <c r="W27" s="607">
        <f t="shared" si="3"/>
        <v>15924.323</v>
      </c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9"/>
    </row>
    <row r="28" spans="1:35" ht="35.1" customHeight="1" x14ac:dyDescent="0.25">
      <c r="A28" s="79">
        <v>13</v>
      </c>
      <c r="B28" s="592" t="s">
        <v>309</v>
      </c>
      <c r="C28" s="27" t="s">
        <v>310</v>
      </c>
      <c r="D28" s="596"/>
      <c r="E28" s="596"/>
      <c r="F28" s="616"/>
      <c r="G28" s="596"/>
      <c r="H28" s="596">
        <f>690+187</f>
        <v>877</v>
      </c>
      <c r="I28" s="596"/>
      <c r="J28" s="597"/>
      <c r="K28" s="596"/>
      <c r="M28" s="596"/>
      <c r="N28" s="596"/>
      <c r="O28" s="596">
        <f t="shared" si="1"/>
        <v>877</v>
      </c>
      <c r="P28" s="601"/>
      <c r="Q28" s="596"/>
      <c r="R28" s="604"/>
      <c r="S28" s="604"/>
      <c r="T28" s="604"/>
      <c r="U28" s="605">
        <f t="shared" si="2"/>
        <v>0</v>
      </c>
      <c r="V28" s="606"/>
      <c r="W28" s="607">
        <f t="shared" si="3"/>
        <v>877</v>
      </c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9"/>
    </row>
    <row r="29" spans="1:35" ht="35.1" customHeight="1" x14ac:dyDescent="0.25">
      <c r="A29" s="79">
        <v>14</v>
      </c>
      <c r="B29" s="123" t="s">
        <v>314</v>
      </c>
      <c r="C29" s="27" t="s">
        <v>313</v>
      </c>
      <c r="D29" s="596"/>
      <c r="E29" s="596"/>
      <c r="F29" s="597"/>
      <c r="G29" s="596"/>
      <c r="H29" s="596">
        <v>1</v>
      </c>
      <c r="I29" s="596"/>
      <c r="J29" s="597"/>
      <c r="K29" s="596"/>
      <c r="L29" s="596"/>
      <c r="M29" s="596"/>
      <c r="N29" s="596"/>
      <c r="O29" s="596">
        <f t="shared" si="1"/>
        <v>1</v>
      </c>
      <c r="P29" s="601"/>
      <c r="Q29" s="604"/>
      <c r="R29" s="604"/>
      <c r="S29" s="604"/>
      <c r="T29" s="604"/>
      <c r="U29" s="605">
        <f t="shared" si="2"/>
        <v>0</v>
      </c>
      <c r="V29" s="606"/>
      <c r="W29" s="607">
        <f t="shared" si="3"/>
        <v>1</v>
      </c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</row>
    <row r="30" spans="1:35" ht="35.1" customHeight="1" x14ac:dyDescent="0.25">
      <c r="A30" s="79">
        <v>15</v>
      </c>
      <c r="B30" s="592" t="s">
        <v>315</v>
      </c>
      <c r="C30" s="27" t="s">
        <v>316</v>
      </c>
      <c r="D30" s="596"/>
      <c r="E30" s="596"/>
      <c r="F30" s="597"/>
      <c r="G30" s="596"/>
      <c r="H30" s="596">
        <f>20+10</f>
        <v>30</v>
      </c>
      <c r="I30" s="596"/>
      <c r="J30" s="597"/>
      <c r="K30" s="596"/>
      <c r="L30" s="596"/>
      <c r="M30" s="596"/>
      <c r="N30" s="596"/>
      <c r="O30" s="596">
        <f>SUM(D30:N30)</f>
        <v>30</v>
      </c>
      <c r="P30" s="601"/>
      <c r="Q30" s="604"/>
      <c r="R30" s="604"/>
      <c r="S30" s="604"/>
      <c r="T30" s="604"/>
      <c r="U30" s="605">
        <f>SUM(Q30:T30)</f>
        <v>0</v>
      </c>
      <c r="V30" s="606"/>
      <c r="W30" s="607">
        <f>O30+U30</f>
        <v>30</v>
      </c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</row>
    <row r="31" spans="1:35" ht="35.1" customHeight="1" x14ac:dyDescent="0.25">
      <c r="A31" s="79">
        <v>16</v>
      </c>
      <c r="B31" s="123" t="s">
        <v>331</v>
      </c>
      <c r="C31" s="27" t="s">
        <v>330</v>
      </c>
      <c r="D31" s="596"/>
      <c r="E31" s="596"/>
      <c r="F31" s="597"/>
      <c r="G31" s="596"/>
      <c r="H31" s="596">
        <f>1500+100+150+100</f>
        <v>1850</v>
      </c>
      <c r="I31" s="596"/>
      <c r="J31" s="597"/>
      <c r="K31" s="596"/>
      <c r="L31" s="596"/>
      <c r="M31" s="596"/>
      <c r="N31" s="596"/>
      <c r="O31" s="596">
        <f t="shared" si="1"/>
        <v>1850</v>
      </c>
      <c r="P31" s="601"/>
      <c r="Q31" s="604"/>
      <c r="R31" s="604"/>
      <c r="S31" s="604"/>
      <c r="T31" s="604"/>
      <c r="U31" s="605">
        <f t="shared" si="2"/>
        <v>0</v>
      </c>
      <c r="V31" s="606"/>
      <c r="W31" s="607">
        <f t="shared" si="3"/>
        <v>1850</v>
      </c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</row>
    <row r="32" spans="1:35" ht="35.1" customHeight="1" x14ac:dyDescent="0.25">
      <c r="A32" s="79">
        <v>17</v>
      </c>
      <c r="B32" s="123" t="s">
        <v>332</v>
      </c>
      <c r="C32" s="27" t="s">
        <v>333</v>
      </c>
      <c r="D32" s="596">
        <f>13593</f>
        <v>13593</v>
      </c>
      <c r="E32" s="596"/>
      <c r="F32" s="597">
        <f>26</f>
        <v>26</v>
      </c>
      <c r="G32" s="596"/>
      <c r="H32" s="596"/>
      <c r="I32" s="596"/>
      <c r="J32" s="597"/>
      <c r="K32" s="596"/>
      <c r="L32" s="596"/>
      <c r="M32" s="596"/>
      <c r="N32" s="596"/>
      <c r="O32" s="596">
        <f t="shared" si="1"/>
        <v>13619</v>
      </c>
      <c r="P32" s="601"/>
      <c r="Q32" s="604"/>
      <c r="R32" s="604"/>
      <c r="S32" s="604"/>
      <c r="T32" s="604"/>
      <c r="U32" s="605">
        <f t="shared" si="2"/>
        <v>0</v>
      </c>
      <c r="V32" s="606"/>
      <c r="W32" s="607">
        <f t="shared" si="3"/>
        <v>13619</v>
      </c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</row>
    <row r="33" spans="1:35" ht="30" customHeight="1" x14ac:dyDescent="0.25">
      <c r="A33" s="79">
        <v>18</v>
      </c>
      <c r="B33" s="592" t="s">
        <v>339</v>
      </c>
      <c r="C33" s="27" t="s">
        <v>338</v>
      </c>
      <c r="D33" s="596"/>
      <c r="E33" s="596"/>
      <c r="F33" s="596"/>
      <c r="G33" s="596"/>
      <c r="H33" s="596">
        <f>85</f>
        <v>85</v>
      </c>
      <c r="I33" s="596"/>
      <c r="J33" s="596"/>
      <c r="K33" s="596"/>
      <c r="L33" s="596"/>
      <c r="M33" s="596"/>
      <c r="N33" s="596"/>
      <c r="O33" s="596">
        <f t="shared" si="1"/>
        <v>85</v>
      </c>
      <c r="P33" s="601"/>
      <c r="Q33" s="604"/>
      <c r="R33" s="604"/>
      <c r="S33" s="604"/>
      <c r="T33" s="604"/>
      <c r="U33" s="605">
        <f t="shared" si="2"/>
        <v>0</v>
      </c>
      <c r="V33" s="606"/>
      <c r="W33" s="607">
        <f t="shared" si="3"/>
        <v>85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</row>
    <row r="34" spans="1:35" ht="30" customHeight="1" x14ac:dyDescent="0.25">
      <c r="A34" s="79">
        <v>19</v>
      </c>
      <c r="B34" s="123" t="s">
        <v>342</v>
      </c>
      <c r="C34" s="27" t="s">
        <v>345</v>
      </c>
      <c r="D34" s="596"/>
      <c r="E34" s="596"/>
      <c r="F34" s="596"/>
      <c r="G34" s="596">
        <f>240</f>
        <v>240</v>
      </c>
      <c r="H34" s="596"/>
      <c r="I34" s="596"/>
      <c r="J34" s="596"/>
      <c r="K34" s="596"/>
      <c r="L34" s="596"/>
      <c r="M34" s="596"/>
      <c r="N34" s="596"/>
      <c r="O34" s="596">
        <f t="shared" ref="O34:O54" si="8">SUM(D34:N34)</f>
        <v>240</v>
      </c>
      <c r="P34" s="601"/>
      <c r="Q34" s="596"/>
      <c r="R34" s="604"/>
      <c r="S34" s="604"/>
      <c r="T34" s="604"/>
      <c r="U34" s="605">
        <f t="shared" ref="U34:U54" si="9">SUM(Q34:T34)</f>
        <v>0</v>
      </c>
      <c r="V34" s="606"/>
      <c r="W34" s="607">
        <f t="shared" ref="W34:W54" si="10">O34+U34</f>
        <v>240</v>
      </c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</row>
    <row r="35" spans="1:35" ht="30" customHeight="1" x14ac:dyDescent="0.25">
      <c r="A35" s="79">
        <v>20</v>
      </c>
      <c r="B35" s="123" t="s">
        <v>343</v>
      </c>
      <c r="C35" s="27" t="s">
        <v>344</v>
      </c>
      <c r="D35" s="596"/>
      <c r="E35" s="596"/>
      <c r="F35" s="596"/>
      <c r="G35" s="596"/>
      <c r="H35" s="596">
        <f>25+7</f>
        <v>32</v>
      </c>
      <c r="I35" s="596"/>
      <c r="J35" s="596"/>
      <c r="K35" s="596"/>
      <c r="L35" s="596"/>
      <c r="M35" s="596"/>
      <c r="N35" s="596"/>
      <c r="O35" s="596">
        <f t="shared" si="8"/>
        <v>32</v>
      </c>
      <c r="P35" s="601"/>
      <c r="Q35" s="604"/>
      <c r="R35" s="596"/>
      <c r="S35" s="604"/>
      <c r="T35" s="604"/>
      <c r="U35" s="605">
        <f t="shared" si="9"/>
        <v>0</v>
      </c>
      <c r="V35" s="606"/>
      <c r="W35" s="607">
        <f t="shared" si="10"/>
        <v>32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</row>
    <row r="36" spans="1:35" ht="30" customHeight="1" x14ac:dyDescent="0.25">
      <c r="A36" s="79">
        <v>21</v>
      </c>
      <c r="B36" s="123" t="s">
        <v>347</v>
      </c>
      <c r="C36" s="27" t="s">
        <v>346</v>
      </c>
      <c r="D36" s="596"/>
      <c r="E36" s="596"/>
      <c r="F36" s="596"/>
      <c r="G36" s="596"/>
      <c r="H36" s="596">
        <f>80+100+31+69+40</f>
        <v>320</v>
      </c>
      <c r="I36" s="596"/>
      <c r="J36" s="596"/>
      <c r="K36" s="596"/>
      <c r="L36" s="596"/>
      <c r="M36" s="596"/>
      <c r="N36" s="596"/>
      <c r="O36" s="596">
        <f t="shared" si="8"/>
        <v>320</v>
      </c>
      <c r="P36" s="601"/>
      <c r="Q36" s="604"/>
      <c r="R36" s="604"/>
      <c r="S36" s="604"/>
      <c r="T36" s="604"/>
      <c r="U36" s="605">
        <f t="shared" si="9"/>
        <v>0</v>
      </c>
      <c r="V36" s="606"/>
      <c r="W36" s="607">
        <f t="shared" si="10"/>
        <v>320</v>
      </c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</row>
    <row r="37" spans="1:35" ht="30" customHeight="1" x14ac:dyDescent="0.25">
      <c r="A37" s="79">
        <v>22</v>
      </c>
      <c r="B37" s="592" t="s">
        <v>349</v>
      </c>
      <c r="C37" s="27" t="s">
        <v>348</v>
      </c>
      <c r="D37" s="596"/>
      <c r="E37" s="596"/>
      <c r="F37" s="596"/>
      <c r="G37" s="596"/>
      <c r="H37" s="596">
        <f>544+52</f>
        <v>596</v>
      </c>
      <c r="I37" s="596"/>
      <c r="J37" s="596"/>
      <c r="K37" s="596"/>
      <c r="L37" s="596"/>
      <c r="M37" s="596"/>
      <c r="N37" s="596"/>
      <c r="O37" s="596">
        <f t="shared" si="8"/>
        <v>596</v>
      </c>
      <c r="P37" s="601"/>
      <c r="Q37" s="604"/>
      <c r="R37" s="604"/>
      <c r="S37" s="604"/>
      <c r="T37" s="604"/>
      <c r="U37" s="605">
        <f t="shared" si="9"/>
        <v>0</v>
      </c>
      <c r="V37" s="606"/>
      <c r="W37" s="607">
        <f t="shared" si="10"/>
        <v>596</v>
      </c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</row>
    <row r="38" spans="1:35" ht="30" customHeight="1" x14ac:dyDescent="0.25">
      <c r="A38" s="79">
        <v>23</v>
      </c>
      <c r="B38" s="123" t="s">
        <v>350</v>
      </c>
      <c r="C38" s="27" t="s">
        <v>351</v>
      </c>
      <c r="D38" s="596"/>
      <c r="E38" s="596"/>
      <c r="F38" s="596"/>
      <c r="G38" s="596"/>
      <c r="H38" s="596">
        <f>40+11</f>
        <v>51</v>
      </c>
      <c r="I38" s="596"/>
      <c r="J38" s="596"/>
      <c r="K38" s="596"/>
      <c r="L38" s="596"/>
      <c r="M38" s="596"/>
      <c r="N38" s="596"/>
      <c r="O38" s="596">
        <f t="shared" si="8"/>
        <v>51</v>
      </c>
      <c r="P38" s="601"/>
      <c r="Q38" s="604"/>
      <c r="R38" s="604"/>
      <c r="S38" s="604"/>
      <c r="T38" s="604"/>
      <c r="U38" s="605">
        <f t="shared" si="9"/>
        <v>0</v>
      </c>
      <c r="V38" s="606"/>
      <c r="W38" s="607">
        <f t="shared" si="10"/>
        <v>51</v>
      </c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9"/>
    </row>
    <row r="39" spans="1:35" ht="30" customHeight="1" x14ac:dyDescent="0.25">
      <c r="A39" s="79">
        <v>24</v>
      </c>
      <c r="B39" s="123" t="s">
        <v>355</v>
      </c>
      <c r="C39" s="27" t="s">
        <v>354</v>
      </c>
      <c r="D39" s="596"/>
      <c r="E39" s="596"/>
      <c r="F39" s="596">
        <f>14</f>
        <v>14</v>
      </c>
      <c r="G39" s="596"/>
      <c r="H39" s="596"/>
      <c r="I39" s="596"/>
      <c r="J39" s="596"/>
      <c r="K39" s="596"/>
      <c r="L39" s="596"/>
      <c r="M39" s="596"/>
      <c r="N39" s="596"/>
      <c r="O39" s="596">
        <f>SUM(D39:N39)</f>
        <v>14</v>
      </c>
      <c r="P39" s="601"/>
      <c r="Q39" s="604"/>
      <c r="R39" s="604"/>
      <c r="S39" s="604"/>
      <c r="T39" s="604"/>
      <c r="U39" s="605">
        <f>SUM(Q39:T39)</f>
        <v>0</v>
      </c>
      <c r="V39" s="606"/>
      <c r="W39" s="607">
        <f>O39+U39</f>
        <v>14</v>
      </c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9"/>
    </row>
    <row r="40" spans="1:35" ht="30" customHeight="1" x14ac:dyDescent="0.25">
      <c r="A40" s="79">
        <v>25</v>
      </c>
      <c r="B40" s="123" t="s">
        <v>356</v>
      </c>
      <c r="C40" s="27" t="s">
        <v>357</v>
      </c>
      <c r="D40" s="596"/>
      <c r="E40" s="596"/>
      <c r="F40" s="596">
        <f>72</f>
        <v>72</v>
      </c>
      <c r="G40" s="596"/>
      <c r="H40" s="596">
        <f>10+3+90+118</f>
        <v>221</v>
      </c>
      <c r="I40" s="596"/>
      <c r="J40" s="596"/>
      <c r="K40" s="596"/>
      <c r="L40" s="596"/>
      <c r="M40" s="596"/>
      <c r="N40" s="596"/>
      <c r="O40" s="596">
        <f t="shared" si="8"/>
        <v>293</v>
      </c>
      <c r="P40" s="601"/>
      <c r="Q40" s="604"/>
      <c r="R40" s="604"/>
      <c r="S40" s="604"/>
      <c r="T40" s="604"/>
      <c r="U40" s="605">
        <f t="shared" si="9"/>
        <v>0</v>
      </c>
      <c r="V40" s="606"/>
      <c r="W40" s="607">
        <f t="shared" si="10"/>
        <v>293</v>
      </c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9"/>
    </row>
    <row r="41" spans="1:35" ht="30" customHeight="1" x14ac:dyDescent="0.25">
      <c r="A41" s="79">
        <v>26</v>
      </c>
      <c r="B41" s="123" t="s">
        <v>358</v>
      </c>
      <c r="C41" s="27" t="s">
        <v>346</v>
      </c>
      <c r="D41" s="596"/>
      <c r="E41" s="596"/>
      <c r="F41" s="596"/>
      <c r="G41" s="596"/>
      <c r="H41" s="596">
        <f>32+8+47+13+154</f>
        <v>254</v>
      </c>
      <c r="I41" s="596"/>
      <c r="J41" s="596"/>
      <c r="K41" s="596"/>
      <c r="L41" s="596"/>
      <c r="M41" s="596"/>
      <c r="N41" s="596"/>
      <c r="O41" s="596">
        <f t="shared" si="8"/>
        <v>254</v>
      </c>
      <c r="P41" s="601"/>
      <c r="Q41" s="604"/>
      <c r="R41" s="604"/>
      <c r="S41" s="604"/>
      <c r="T41" s="604"/>
      <c r="U41" s="605">
        <f t="shared" si="9"/>
        <v>0</v>
      </c>
      <c r="V41" s="606"/>
      <c r="W41" s="607">
        <f t="shared" si="10"/>
        <v>254</v>
      </c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9"/>
    </row>
    <row r="42" spans="1:35" ht="30" customHeight="1" x14ac:dyDescent="0.25">
      <c r="A42" s="79">
        <v>27</v>
      </c>
      <c r="B42" s="592" t="s">
        <v>363</v>
      </c>
      <c r="C42" s="27" t="s">
        <v>364</v>
      </c>
      <c r="D42" s="596"/>
      <c r="E42" s="596"/>
      <c r="F42" s="596">
        <f>1220</f>
        <v>1220</v>
      </c>
      <c r="G42" s="596"/>
      <c r="H42" s="596"/>
      <c r="I42" s="596"/>
      <c r="J42" s="596"/>
      <c r="K42" s="596"/>
      <c r="L42" s="596"/>
      <c r="M42" s="596"/>
      <c r="N42" s="596"/>
      <c r="O42" s="596">
        <f t="shared" si="8"/>
        <v>1220</v>
      </c>
      <c r="P42" s="601"/>
      <c r="Q42" s="604"/>
      <c r="R42" s="604"/>
      <c r="S42" s="604"/>
      <c r="T42" s="604"/>
      <c r="U42" s="605">
        <f t="shared" si="9"/>
        <v>0</v>
      </c>
      <c r="V42" s="606"/>
      <c r="W42" s="607">
        <f t="shared" si="10"/>
        <v>1220</v>
      </c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9"/>
    </row>
    <row r="43" spans="1:35" ht="30" customHeight="1" x14ac:dyDescent="0.25">
      <c r="A43" s="79">
        <v>28</v>
      </c>
      <c r="B43" s="592" t="s">
        <v>382</v>
      </c>
      <c r="C43" s="27" t="s">
        <v>383</v>
      </c>
      <c r="D43" s="596"/>
      <c r="E43" s="596"/>
      <c r="F43" s="596"/>
      <c r="G43" s="596"/>
      <c r="H43" s="596">
        <f>46567+12574+1459+395</f>
        <v>60995</v>
      </c>
      <c r="I43" s="596"/>
      <c r="J43" s="596"/>
      <c r="K43" s="596"/>
      <c r="L43" s="596"/>
      <c r="M43" s="596"/>
      <c r="N43" s="596"/>
      <c r="O43" s="596">
        <f t="shared" si="8"/>
        <v>60995</v>
      </c>
      <c r="P43" s="601"/>
      <c r="Q43" s="604"/>
      <c r="R43" s="604"/>
      <c r="S43" s="604"/>
      <c r="T43" s="604"/>
      <c r="U43" s="605">
        <f t="shared" si="9"/>
        <v>0</v>
      </c>
      <c r="V43" s="606"/>
      <c r="W43" s="607">
        <f t="shared" si="10"/>
        <v>60995</v>
      </c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9"/>
    </row>
    <row r="44" spans="1:35" ht="30" customHeight="1" x14ac:dyDescent="0.25">
      <c r="A44" s="79">
        <v>29</v>
      </c>
      <c r="B44" s="592" t="s">
        <v>384</v>
      </c>
      <c r="C44" s="27" t="s">
        <v>421</v>
      </c>
      <c r="D44" s="596">
        <f>45.53</f>
        <v>45.53</v>
      </c>
      <c r="E44" s="596"/>
      <c r="F44" s="596"/>
      <c r="G44" s="596"/>
      <c r="H44" s="596"/>
      <c r="I44" s="596"/>
      <c r="J44" s="596"/>
      <c r="K44" s="596"/>
      <c r="L44" s="596"/>
      <c r="M44" s="596"/>
      <c r="N44" s="596"/>
      <c r="O44" s="596">
        <f t="shared" si="8"/>
        <v>45.53</v>
      </c>
      <c r="P44" s="601"/>
      <c r="Q44" s="604"/>
      <c r="R44" s="604"/>
      <c r="S44" s="604"/>
      <c r="T44" s="604"/>
      <c r="U44" s="605">
        <f t="shared" si="9"/>
        <v>0</v>
      </c>
      <c r="V44" s="606"/>
      <c r="W44" s="607">
        <f t="shared" si="10"/>
        <v>45.53</v>
      </c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9"/>
    </row>
    <row r="45" spans="1:35" ht="30" customHeight="1" x14ac:dyDescent="0.25">
      <c r="A45" s="79">
        <v>30</v>
      </c>
      <c r="B45" s="592" t="s">
        <v>384</v>
      </c>
      <c r="C45" s="27" t="s">
        <v>423</v>
      </c>
      <c r="D45" s="596">
        <f>505.727</f>
        <v>505.72699999999998</v>
      </c>
      <c r="E45" s="596"/>
      <c r="F45" s="596"/>
      <c r="G45" s="596"/>
      <c r="H45" s="596"/>
      <c r="I45" s="596"/>
      <c r="J45" s="596"/>
      <c r="K45" s="596"/>
      <c r="L45" s="596"/>
      <c r="M45" s="596"/>
      <c r="N45" s="596"/>
      <c r="O45" s="596">
        <f t="shared" si="8"/>
        <v>505.72699999999998</v>
      </c>
      <c r="P45" s="601"/>
      <c r="Q45" s="604"/>
      <c r="R45" s="604"/>
      <c r="S45" s="604"/>
      <c r="T45" s="604"/>
      <c r="U45" s="605">
        <f t="shared" si="9"/>
        <v>0</v>
      </c>
      <c r="V45" s="606"/>
      <c r="W45" s="607">
        <f t="shared" si="10"/>
        <v>505.72699999999998</v>
      </c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9"/>
    </row>
    <row r="46" spans="1:35" ht="30" customHeight="1" x14ac:dyDescent="0.25">
      <c r="A46" s="79">
        <v>31</v>
      </c>
      <c r="B46" s="592" t="s">
        <v>384</v>
      </c>
      <c r="C46" s="27" t="s">
        <v>424</v>
      </c>
      <c r="D46" s="596">
        <f>1160.591</f>
        <v>1160.5909999999999</v>
      </c>
      <c r="E46" s="596"/>
      <c r="F46" s="596"/>
      <c r="G46" s="596"/>
      <c r="H46" s="596"/>
      <c r="I46" s="596"/>
      <c r="J46" s="596"/>
      <c r="K46" s="596"/>
      <c r="L46" s="596"/>
      <c r="M46" s="596"/>
      <c r="N46" s="596"/>
      <c r="O46" s="596">
        <f t="shared" si="8"/>
        <v>1160.5909999999999</v>
      </c>
      <c r="P46" s="601"/>
      <c r="Q46" s="604"/>
      <c r="R46" s="604"/>
      <c r="S46" s="604"/>
      <c r="T46" s="604"/>
      <c r="U46" s="605">
        <f t="shared" si="9"/>
        <v>0</v>
      </c>
      <c r="V46" s="606"/>
      <c r="W46" s="607">
        <f t="shared" si="10"/>
        <v>1160.5909999999999</v>
      </c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9"/>
    </row>
    <row r="47" spans="1:35" ht="30" customHeight="1" x14ac:dyDescent="0.25">
      <c r="A47" s="79">
        <v>32</v>
      </c>
      <c r="B47" s="592" t="s">
        <v>422</v>
      </c>
      <c r="C47" s="27" t="s">
        <v>425</v>
      </c>
      <c r="D47" s="596">
        <f>8223.387</f>
        <v>8223.3870000000006</v>
      </c>
      <c r="E47" s="596"/>
      <c r="F47" s="596"/>
      <c r="G47" s="596"/>
      <c r="H47" s="596"/>
      <c r="I47" s="596"/>
      <c r="J47" s="596"/>
      <c r="K47" s="596"/>
      <c r="L47" s="596"/>
      <c r="M47" s="596"/>
      <c r="N47" s="596"/>
      <c r="O47" s="596">
        <f t="shared" si="8"/>
        <v>8223.3870000000006</v>
      </c>
      <c r="P47" s="601"/>
      <c r="Q47" s="604"/>
      <c r="R47" s="604"/>
      <c r="S47" s="604"/>
      <c r="T47" s="604"/>
      <c r="U47" s="605">
        <f t="shared" si="9"/>
        <v>0</v>
      </c>
      <c r="V47" s="606"/>
      <c r="W47" s="607">
        <f t="shared" si="10"/>
        <v>8223.3870000000006</v>
      </c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9"/>
    </row>
    <row r="48" spans="1:35" ht="30" customHeight="1" x14ac:dyDescent="0.25">
      <c r="A48" s="79">
        <v>33</v>
      </c>
      <c r="B48" s="123" t="s">
        <v>387</v>
      </c>
      <c r="C48" s="27" t="s">
        <v>388</v>
      </c>
      <c r="D48" s="596"/>
      <c r="E48" s="596"/>
      <c r="F48" s="596">
        <f>500</f>
        <v>500</v>
      </c>
      <c r="G48" s="596"/>
      <c r="H48" s="596"/>
      <c r="I48" s="596"/>
      <c r="J48" s="596"/>
      <c r="K48" s="596"/>
      <c r="L48" s="596"/>
      <c r="M48" s="596"/>
      <c r="N48" s="596"/>
      <c r="O48" s="596">
        <f t="shared" si="8"/>
        <v>500</v>
      </c>
      <c r="P48" s="601"/>
      <c r="Q48" s="604"/>
      <c r="R48" s="604"/>
      <c r="S48" s="604"/>
      <c r="T48" s="604"/>
      <c r="U48" s="605">
        <f t="shared" si="9"/>
        <v>0</v>
      </c>
      <c r="V48" s="606"/>
      <c r="W48" s="607">
        <f t="shared" si="10"/>
        <v>500</v>
      </c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9"/>
    </row>
    <row r="49" spans="1:35" ht="30" customHeight="1" x14ac:dyDescent="0.25">
      <c r="A49" s="79">
        <v>34</v>
      </c>
      <c r="B49" s="123" t="s">
        <v>389</v>
      </c>
      <c r="C49" s="27" t="s">
        <v>390</v>
      </c>
      <c r="D49" s="596"/>
      <c r="E49" s="596"/>
      <c r="F49" s="596"/>
      <c r="G49" s="596"/>
      <c r="H49" s="596">
        <f>200</f>
        <v>200</v>
      </c>
      <c r="I49" s="596"/>
      <c r="J49" s="596"/>
      <c r="K49" s="596"/>
      <c r="L49" s="596"/>
      <c r="M49" s="596"/>
      <c r="N49" s="596"/>
      <c r="O49" s="596">
        <f t="shared" si="8"/>
        <v>200</v>
      </c>
      <c r="P49" s="601"/>
      <c r="Q49" s="604"/>
      <c r="R49" s="604"/>
      <c r="S49" s="604"/>
      <c r="T49" s="604"/>
      <c r="U49" s="605">
        <f t="shared" si="9"/>
        <v>0</v>
      </c>
      <c r="V49" s="606"/>
      <c r="W49" s="607">
        <f t="shared" si="10"/>
        <v>200</v>
      </c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9"/>
    </row>
    <row r="50" spans="1:35" ht="30" customHeight="1" x14ac:dyDescent="0.25">
      <c r="A50" s="79">
        <v>35</v>
      </c>
      <c r="B50" s="123" t="s">
        <v>400</v>
      </c>
      <c r="C50" s="27" t="s">
        <v>402</v>
      </c>
      <c r="D50" s="596"/>
      <c r="E50" s="596"/>
      <c r="F50" s="596"/>
      <c r="G50" s="596"/>
      <c r="H50" s="596">
        <f>863</f>
        <v>863</v>
      </c>
      <c r="I50" s="596"/>
      <c r="J50" s="596"/>
      <c r="K50" s="596"/>
      <c r="L50" s="596"/>
      <c r="M50" s="596"/>
      <c r="N50" s="596"/>
      <c r="O50" s="596">
        <f t="shared" si="8"/>
        <v>863</v>
      </c>
      <c r="P50" s="601"/>
      <c r="Q50" s="604"/>
      <c r="R50" s="604"/>
      <c r="S50" s="604"/>
      <c r="T50" s="604"/>
      <c r="U50" s="605">
        <f t="shared" si="9"/>
        <v>0</v>
      </c>
      <c r="V50" s="606"/>
      <c r="W50" s="607">
        <f t="shared" si="10"/>
        <v>863</v>
      </c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9"/>
    </row>
    <row r="51" spans="1:35" ht="30" customHeight="1" x14ac:dyDescent="0.25">
      <c r="A51" s="79">
        <v>36</v>
      </c>
      <c r="B51" s="592" t="s">
        <v>401</v>
      </c>
      <c r="C51" s="27" t="s">
        <v>403</v>
      </c>
      <c r="D51" s="596"/>
      <c r="E51" s="596"/>
      <c r="F51" s="596"/>
      <c r="G51" s="596"/>
      <c r="H51" s="596"/>
      <c r="I51" s="596">
        <f>1800</f>
        <v>1800</v>
      </c>
      <c r="J51" s="596"/>
      <c r="K51" s="596"/>
      <c r="L51" s="596"/>
      <c r="M51" s="596"/>
      <c r="N51" s="596"/>
      <c r="O51" s="596">
        <f t="shared" si="8"/>
        <v>1800</v>
      </c>
      <c r="P51" s="601"/>
      <c r="Q51" s="604"/>
      <c r="R51" s="604"/>
      <c r="S51" s="604"/>
      <c r="T51" s="604"/>
      <c r="U51" s="605">
        <f t="shared" si="9"/>
        <v>0</v>
      </c>
      <c r="V51" s="606"/>
      <c r="W51" s="607">
        <f t="shared" si="10"/>
        <v>1800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9"/>
    </row>
    <row r="52" spans="1:35" ht="30" customHeight="1" x14ac:dyDescent="0.25">
      <c r="A52" s="79">
        <v>37</v>
      </c>
      <c r="B52" s="592" t="s">
        <v>405</v>
      </c>
      <c r="C52" s="27" t="s">
        <v>404</v>
      </c>
      <c r="D52" s="596"/>
      <c r="E52" s="596"/>
      <c r="F52" s="596"/>
      <c r="G52" s="596"/>
      <c r="H52" s="596">
        <v>406</v>
      </c>
      <c r="I52" s="596"/>
      <c r="J52" s="596"/>
      <c r="K52" s="596"/>
      <c r="L52" s="596"/>
      <c r="M52" s="596"/>
      <c r="N52" s="596"/>
      <c r="O52" s="596">
        <f t="shared" si="8"/>
        <v>406</v>
      </c>
      <c r="P52" s="601"/>
      <c r="Q52" s="604"/>
      <c r="R52" s="604"/>
      <c r="S52" s="604"/>
      <c r="T52" s="604"/>
      <c r="U52" s="605">
        <f t="shared" si="9"/>
        <v>0</v>
      </c>
      <c r="V52" s="606"/>
      <c r="W52" s="607">
        <f t="shared" si="10"/>
        <v>406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9"/>
    </row>
    <row r="53" spans="1:35" ht="30" customHeight="1" x14ac:dyDescent="0.25">
      <c r="A53" s="79">
        <v>38</v>
      </c>
      <c r="B53" s="592" t="s">
        <v>413</v>
      </c>
      <c r="C53" s="27" t="s">
        <v>420</v>
      </c>
      <c r="D53" s="596"/>
      <c r="E53" s="596"/>
      <c r="F53" s="596"/>
      <c r="G53" s="596"/>
      <c r="H53" s="596"/>
      <c r="I53" s="596"/>
      <c r="J53" s="596"/>
      <c r="K53" s="596"/>
      <c r="L53" s="596">
        <f>110</f>
        <v>110</v>
      </c>
      <c r="M53" s="596"/>
      <c r="N53" s="596"/>
      <c r="O53" s="596">
        <f t="shared" si="8"/>
        <v>110</v>
      </c>
      <c r="P53" s="601"/>
      <c r="Q53" s="604"/>
      <c r="R53" s="604"/>
      <c r="S53" s="604"/>
      <c r="T53" s="604"/>
      <c r="U53" s="605">
        <f t="shared" si="9"/>
        <v>0</v>
      </c>
      <c r="V53" s="606"/>
      <c r="W53" s="607">
        <f t="shared" si="10"/>
        <v>110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9"/>
    </row>
    <row r="54" spans="1:35" ht="30" customHeight="1" x14ac:dyDescent="0.25">
      <c r="A54" s="79">
        <v>39</v>
      </c>
      <c r="B54" s="670" t="s">
        <v>430</v>
      </c>
      <c r="C54" s="27" t="s">
        <v>432</v>
      </c>
      <c r="D54" s="596"/>
      <c r="E54" s="596"/>
      <c r="F54" s="596"/>
      <c r="G54" s="596"/>
      <c r="H54" s="596">
        <f>-20000</f>
        <v>-20000</v>
      </c>
      <c r="I54" s="596"/>
      <c r="J54" s="596"/>
      <c r="K54" s="596"/>
      <c r="L54" s="596"/>
      <c r="M54" s="596"/>
      <c r="N54" s="596"/>
      <c r="O54" s="596">
        <f t="shared" si="8"/>
        <v>-20000</v>
      </c>
      <c r="P54" s="601"/>
      <c r="Q54" s="604"/>
      <c r="R54" s="604"/>
      <c r="S54" s="604"/>
      <c r="T54" s="604"/>
      <c r="U54" s="605">
        <f t="shared" si="9"/>
        <v>0</v>
      </c>
      <c r="V54" s="606"/>
      <c r="W54" s="607">
        <f t="shared" si="10"/>
        <v>-20000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9"/>
    </row>
    <row r="55" spans="1:35" ht="35.1" customHeight="1" thickBot="1" x14ac:dyDescent="0.3">
      <c r="A55" s="67"/>
      <c r="B55" s="108"/>
      <c r="C55" s="27"/>
      <c r="D55" s="601"/>
      <c r="E55" s="601"/>
      <c r="F55" s="601"/>
      <c r="G55" s="601"/>
      <c r="H55" s="601"/>
      <c r="I55" s="601"/>
      <c r="J55" s="601"/>
      <c r="K55" s="601"/>
      <c r="L55" s="601"/>
      <c r="M55" s="601"/>
      <c r="N55" s="601"/>
      <c r="O55" s="596"/>
      <c r="P55" s="601"/>
      <c r="Q55" s="601"/>
      <c r="R55" s="601"/>
      <c r="S55" s="601"/>
      <c r="T55" s="601"/>
      <c r="U55" s="608"/>
      <c r="V55" s="609"/>
      <c r="W55" s="610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9"/>
    </row>
    <row r="56" spans="1:35" ht="35.1" customHeight="1" thickTop="1" thickBot="1" x14ac:dyDescent="0.3">
      <c r="A56" s="34"/>
      <c r="B56" s="35"/>
      <c r="C56" s="43" t="s">
        <v>19</v>
      </c>
      <c r="D56" s="439">
        <f t="shared" ref="D56:O56" si="11">SUM(D16:D55)</f>
        <v>53058.998</v>
      </c>
      <c r="E56" s="439">
        <f t="shared" si="11"/>
        <v>0</v>
      </c>
      <c r="F56" s="439">
        <f t="shared" si="11"/>
        <v>1832</v>
      </c>
      <c r="G56" s="439">
        <f t="shared" si="11"/>
        <v>540</v>
      </c>
      <c r="H56" s="439">
        <f t="shared" si="11"/>
        <v>49164.087</v>
      </c>
      <c r="I56" s="439">
        <f t="shared" si="11"/>
        <v>1800</v>
      </c>
      <c r="J56" s="439">
        <f t="shared" si="11"/>
        <v>0</v>
      </c>
      <c r="K56" s="439">
        <f t="shared" si="11"/>
        <v>0</v>
      </c>
      <c r="L56" s="439">
        <f t="shared" si="11"/>
        <v>14210</v>
      </c>
      <c r="M56" s="439">
        <f t="shared" si="11"/>
        <v>0</v>
      </c>
      <c r="N56" s="439">
        <f t="shared" si="11"/>
        <v>0</v>
      </c>
      <c r="O56" s="439">
        <f t="shared" si="11"/>
        <v>120605.08499999999</v>
      </c>
      <c r="P56" s="439"/>
      <c r="Q56" s="439">
        <f>SUM(Q16:Q55)</f>
        <v>0</v>
      </c>
      <c r="R56" s="439">
        <f>SUM(R16:R55)</f>
        <v>0</v>
      </c>
      <c r="S56" s="439">
        <f>SUM(S16:S55)</f>
        <v>0</v>
      </c>
      <c r="T56" s="439">
        <f>SUM(T16:T55)</f>
        <v>0</v>
      </c>
      <c r="U56" s="439">
        <f>SUM(U16:U55)</f>
        <v>0</v>
      </c>
      <c r="V56" s="440"/>
      <c r="W56" s="441">
        <f>SUM(W16:W55)</f>
        <v>120605.08499999999</v>
      </c>
    </row>
    <row r="57" spans="1:35" ht="35.1" customHeight="1" thickTop="1" thickBot="1" x14ac:dyDescent="0.3">
      <c r="A57" s="34"/>
      <c r="B57" s="35"/>
      <c r="C57" s="43" t="s">
        <v>136</v>
      </c>
      <c r="D57" s="611">
        <f t="shared" ref="D57:O57" si="12">D15+D56</f>
        <v>2574034.2770000002</v>
      </c>
      <c r="E57" s="611">
        <f t="shared" si="12"/>
        <v>0</v>
      </c>
      <c r="F57" s="611">
        <f t="shared" si="12"/>
        <v>53832</v>
      </c>
      <c r="G57" s="611">
        <f t="shared" si="12"/>
        <v>9541503</v>
      </c>
      <c r="H57" s="611">
        <f t="shared" si="12"/>
        <v>2530367.8079999997</v>
      </c>
      <c r="I57" s="611">
        <f t="shared" si="12"/>
        <v>1800</v>
      </c>
      <c r="J57" s="611">
        <f t="shared" si="12"/>
        <v>1146000</v>
      </c>
      <c r="K57" s="611">
        <f t="shared" si="12"/>
        <v>4683689</v>
      </c>
      <c r="L57" s="611">
        <f t="shared" si="12"/>
        <v>1785210</v>
      </c>
      <c r="M57" s="611">
        <f t="shared" si="12"/>
        <v>10000</v>
      </c>
      <c r="N57" s="611">
        <f t="shared" si="12"/>
        <v>0</v>
      </c>
      <c r="O57" s="612">
        <f t="shared" si="12"/>
        <v>22326436.085000001</v>
      </c>
      <c r="P57" s="612"/>
      <c r="Q57" s="612">
        <f>Q15+Q56</f>
        <v>2382040</v>
      </c>
      <c r="R57" s="612">
        <f>R15+R56</f>
        <v>1111769</v>
      </c>
      <c r="S57" s="612">
        <f>S15+S56</f>
        <v>0</v>
      </c>
      <c r="T57" s="612">
        <f>T15+T56</f>
        <v>0</v>
      </c>
      <c r="U57" s="612">
        <f>U15+U56</f>
        <v>3493809</v>
      </c>
      <c r="V57" s="613"/>
      <c r="W57" s="614">
        <f t="shared" ref="W57:W95" si="13">O57+U57</f>
        <v>25820245.085000001</v>
      </c>
    </row>
    <row r="58" spans="1:35" ht="35.1" customHeight="1" thickTop="1" thickBot="1" x14ac:dyDescent="0.3">
      <c r="A58" s="34"/>
      <c r="B58" s="35"/>
      <c r="C58" s="38" t="s">
        <v>179</v>
      </c>
      <c r="D58" s="611"/>
      <c r="E58" s="611"/>
      <c r="F58" s="611"/>
      <c r="G58" s="611"/>
      <c r="H58" s="611"/>
      <c r="I58" s="611"/>
      <c r="J58" s="611"/>
      <c r="K58" s="611"/>
      <c r="L58" s="611"/>
      <c r="M58" s="611"/>
      <c r="N58" s="612"/>
      <c r="O58" s="612"/>
      <c r="P58" s="612"/>
      <c r="Q58" s="612"/>
      <c r="R58" s="612">
        <f>5075+738+193152+4509+7345+612+1270+7493+4681+5674+6477+198+152858+200+25400+9600+19023+18280+712+8+170649+653243+3810+130+100+885+120+20650+5+458+3696+2048+216885+28146+4763+10668+70+1097+8780+3617+1270+3556+1136+980+8960.366+18412+200+254+3048+2101-4212+2717926.328</f>
        <v>4346756.6940000001</v>
      </c>
      <c r="S58" s="612"/>
      <c r="T58" s="612"/>
      <c r="U58" s="611">
        <f>SUM(Q58:T58)</f>
        <v>4346756.6940000001</v>
      </c>
      <c r="V58" s="615"/>
      <c r="W58" s="614">
        <f t="shared" si="13"/>
        <v>4346756.6940000001</v>
      </c>
    </row>
    <row r="59" spans="1:35" ht="35.1" customHeight="1" thickTop="1" thickBot="1" x14ac:dyDescent="0.3">
      <c r="A59" s="34"/>
      <c r="B59" s="587" t="s">
        <v>156</v>
      </c>
      <c r="C59" s="43" t="s">
        <v>180</v>
      </c>
      <c r="D59" s="611">
        <f t="shared" ref="D59:U59" si="14">D57+D58</f>
        <v>2574034.2770000002</v>
      </c>
      <c r="E59" s="611">
        <f t="shared" si="14"/>
        <v>0</v>
      </c>
      <c r="F59" s="611">
        <f t="shared" si="14"/>
        <v>53832</v>
      </c>
      <c r="G59" s="611">
        <f t="shared" si="14"/>
        <v>9541503</v>
      </c>
      <c r="H59" s="611">
        <f t="shared" si="14"/>
        <v>2530367.8079999997</v>
      </c>
      <c r="I59" s="611">
        <f t="shared" si="14"/>
        <v>1800</v>
      </c>
      <c r="J59" s="611">
        <f t="shared" si="14"/>
        <v>1146000</v>
      </c>
      <c r="K59" s="611">
        <f t="shared" si="14"/>
        <v>4683689</v>
      </c>
      <c r="L59" s="611">
        <f t="shared" si="14"/>
        <v>1785210</v>
      </c>
      <c r="M59" s="611">
        <f t="shared" si="14"/>
        <v>10000</v>
      </c>
      <c r="N59" s="611">
        <f t="shared" si="14"/>
        <v>0</v>
      </c>
      <c r="O59" s="612">
        <f t="shared" si="14"/>
        <v>22326436.085000001</v>
      </c>
      <c r="P59" s="612"/>
      <c r="Q59" s="612">
        <f t="shared" si="14"/>
        <v>2382040</v>
      </c>
      <c r="R59" s="612">
        <f t="shared" si="14"/>
        <v>5458525.6940000001</v>
      </c>
      <c r="S59" s="612">
        <f t="shared" si="14"/>
        <v>0</v>
      </c>
      <c r="T59" s="612">
        <f t="shared" si="14"/>
        <v>0</v>
      </c>
      <c r="U59" s="611">
        <f t="shared" si="14"/>
        <v>7840565.6940000001</v>
      </c>
      <c r="V59" s="615"/>
      <c r="W59" s="614">
        <f t="shared" si="13"/>
        <v>30167001.778999999</v>
      </c>
    </row>
    <row r="60" spans="1:35" ht="24.95" hidden="1" customHeight="1" thickTop="1" x14ac:dyDescent="0.25">
      <c r="A60" s="21"/>
      <c r="B60" s="22"/>
      <c r="C60" s="208" t="s">
        <v>18</v>
      </c>
      <c r="D60" s="24">
        <f t="shared" ref="D60:U60" si="15">D59</f>
        <v>2574034.2770000002</v>
      </c>
      <c r="E60" s="24">
        <f t="shared" si="15"/>
        <v>0</v>
      </c>
      <c r="F60" s="24">
        <f t="shared" si="15"/>
        <v>53832</v>
      </c>
      <c r="G60" s="24">
        <f t="shared" si="15"/>
        <v>9541503</v>
      </c>
      <c r="H60" s="24">
        <f t="shared" si="15"/>
        <v>2530367.8079999997</v>
      </c>
      <c r="I60" s="24">
        <f t="shared" si="15"/>
        <v>1800</v>
      </c>
      <c r="J60" s="24">
        <f t="shared" si="15"/>
        <v>1146000</v>
      </c>
      <c r="K60" s="24">
        <f t="shared" si="15"/>
        <v>4683689</v>
      </c>
      <c r="L60" s="24">
        <f t="shared" si="15"/>
        <v>1785210</v>
      </c>
      <c r="M60" s="24">
        <f t="shared" si="15"/>
        <v>10000</v>
      </c>
      <c r="N60" s="24">
        <f t="shared" si="15"/>
        <v>0</v>
      </c>
      <c r="O60" s="24">
        <f t="shared" si="15"/>
        <v>22326436.085000001</v>
      </c>
      <c r="P60" s="24"/>
      <c r="Q60" s="24">
        <f t="shared" si="15"/>
        <v>2382040</v>
      </c>
      <c r="R60" s="24">
        <f>R59</f>
        <v>5458525.6940000001</v>
      </c>
      <c r="S60" s="24">
        <f>S59</f>
        <v>0</v>
      </c>
      <c r="T60" s="24">
        <f t="shared" si="15"/>
        <v>0</v>
      </c>
      <c r="U60" s="24">
        <f t="shared" si="15"/>
        <v>7840565.6940000001</v>
      </c>
      <c r="V60" s="127"/>
      <c r="W60" s="407">
        <f t="shared" si="13"/>
        <v>30167001.778999999</v>
      </c>
    </row>
    <row r="61" spans="1:35" ht="24.95" hidden="1" customHeight="1" x14ac:dyDescent="0.2">
      <c r="A61" s="214">
        <v>1</v>
      </c>
      <c r="B61" s="474"/>
      <c r="C61" s="2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>
        <f t="shared" ref="O61:O94" si="16">SUM(D61:N61)</f>
        <v>0</v>
      </c>
      <c r="P61" s="157"/>
      <c r="Q61" s="157"/>
      <c r="R61" s="157"/>
      <c r="S61" s="157"/>
      <c r="T61" s="157"/>
      <c r="U61" s="157">
        <f t="shared" ref="U61:U94" si="17">SUM(Q61:T61)</f>
        <v>0</v>
      </c>
      <c r="V61" s="419"/>
      <c r="W61" s="408">
        <f t="shared" si="13"/>
        <v>0</v>
      </c>
    </row>
    <row r="62" spans="1:35" ht="24.95" hidden="1" customHeight="1" x14ac:dyDescent="0.2">
      <c r="A62" s="214">
        <v>2</v>
      </c>
      <c r="B62" s="474"/>
      <c r="C62" s="40"/>
      <c r="D62" s="157"/>
      <c r="E62" s="157"/>
      <c r="F62" s="157"/>
      <c r="H62" s="157"/>
      <c r="I62" s="157"/>
      <c r="J62" s="157"/>
      <c r="K62" s="157"/>
      <c r="L62" s="157"/>
      <c r="M62" s="157"/>
      <c r="N62" s="157"/>
      <c r="O62" s="157">
        <f t="shared" si="16"/>
        <v>0</v>
      </c>
      <c r="P62" s="157"/>
      <c r="Q62" s="157"/>
      <c r="R62" s="157"/>
      <c r="S62" s="157"/>
      <c r="T62" s="157"/>
      <c r="U62" s="157">
        <f t="shared" si="17"/>
        <v>0</v>
      </c>
      <c r="V62" s="419"/>
      <c r="W62" s="408">
        <f t="shared" si="13"/>
        <v>0</v>
      </c>
    </row>
    <row r="63" spans="1:35" ht="24.95" hidden="1" customHeight="1" x14ac:dyDescent="0.2">
      <c r="A63" s="214">
        <v>3</v>
      </c>
      <c r="B63" s="474"/>
      <c r="C63" s="40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>
        <f t="shared" si="16"/>
        <v>0</v>
      </c>
      <c r="P63" s="157"/>
      <c r="Q63" s="157"/>
      <c r="R63" s="157"/>
      <c r="S63" s="157"/>
      <c r="T63" s="157"/>
      <c r="U63" s="157">
        <f t="shared" si="17"/>
        <v>0</v>
      </c>
      <c r="V63" s="419"/>
      <c r="W63" s="408">
        <f t="shared" si="13"/>
        <v>0</v>
      </c>
    </row>
    <row r="64" spans="1:35" ht="24.95" hidden="1" customHeight="1" x14ac:dyDescent="0.2">
      <c r="A64" s="214">
        <v>4</v>
      </c>
      <c r="B64" s="474"/>
      <c r="C64" s="40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>
        <f t="shared" si="16"/>
        <v>0</v>
      </c>
      <c r="P64" s="157"/>
      <c r="Q64" s="157"/>
      <c r="R64" s="157"/>
      <c r="S64" s="157"/>
      <c r="T64" s="157"/>
      <c r="U64" s="157">
        <f t="shared" si="17"/>
        <v>0</v>
      </c>
      <c r="V64" s="419"/>
      <c r="W64" s="408">
        <f t="shared" si="13"/>
        <v>0</v>
      </c>
    </row>
    <row r="65" spans="1:23" ht="24.95" hidden="1" customHeight="1" x14ac:dyDescent="0.2">
      <c r="A65" s="214">
        <v>5</v>
      </c>
      <c r="B65" s="474"/>
      <c r="C65" s="40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>
        <f t="shared" si="16"/>
        <v>0</v>
      </c>
      <c r="P65" s="157"/>
      <c r="Q65" s="157"/>
      <c r="R65" s="157"/>
      <c r="S65" s="157"/>
      <c r="T65" s="157"/>
      <c r="U65" s="157">
        <f t="shared" si="17"/>
        <v>0</v>
      </c>
      <c r="V65" s="419"/>
      <c r="W65" s="408">
        <f t="shared" si="13"/>
        <v>0</v>
      </c>
    </row>
    <row r="66" spans="1:23" ht="24.95" hidden="1" customHeight="1" x14ac:dyDescent="0.2">
      <c r="A66" s="214">
        <v>6</v>
      </c>
      <c r="B66" s="474"/>
      <c r="C66" s="40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>
        <f t="shared" si="16"/>
        <v>0</v>
      </c>
      <c r="P66" s="157"/>
      <c r="Q66" s="157"/>
      <c r="R66" s="157"/>
      <c r="S66" s="157"/>
      <c r="T66" s="157"/>
      <c r="U66" s="157">
        <f t="shared" si="17"/>
        <v>0</v>
      </c>
      <c r="V66" s="419"/>
      <c r="W66" s="408">
        <f t="shared" si="13"/>
        <v>0</v>
      </c>
    </row>
    <row r="67" spans="1:23" ht="24.95" hidden="1" customHeight="1" x14ac:dyDescent="0.2">
      <c r="A67" s="214">
        <v>7</v>
      </c>
      <c r="B67" s="475"/>
      <c r="C67" s="40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>
        <f t="shared" si="16"/>
        <v>0</v>
      </c>
      <c r="P67" s="157"/>
      <c r="Q67" s="157"/>
      <c r="R67" s="157"/>
      <c r="S67" s="157"/>
      <c r="T67" s="157"/>
      <c r="U67" s="157">
        <f t="shared" si="17"/>
        <v>0</v>
      </c>
      <c r="V67" s="419"/>
      <c r="W67" s="408">
        <f t="shared" si="13"/>
        <v>0</v>
      </c>
    </row>
    <row r="68" spans="1:23" ht="24.95" hidden="1" customHeight="1" x14ac:dyDescent="0.2">
      <c r="A68" s="214">
        <v>8</v>
      </c>
      <c r="B68" s="481"/>
      <c r="C68" s="40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>
        <f t="shared" si="16"/>
        <v>0</v>
      </c>
      <c r="P68" s="157"/>
      <c r="Q68" s="157"/>
      <c r="R68" s="157"/>
      <c r="S68" s="157"/>
      <c r="T68" s="157"/>
      <c r="U68" s="157">
        <f t="shared" si="17"/>
        <v>0</v>
      </c>
      <c r="V68" s="419"/>
      <c r="W68" s="408">
        <f t="shared" si="13"/>
        <v>0</v>
      </c>
    </row>
    <row r="69" spans="1:23" ht="24.95" hidden="1" customHeight="1" x14ac:dyDescent="0.2">
      <c r="A69" s="39"/>
      <c r="B69" s="475"/>
      <c r="C69" s="2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>
        <f t="shared" si="16"/>
        <v>0</v>
      </c>
      <c r="P69" s="157"/>
      <c r="Q69" s="157"/>
      <c r="R69" s="157"/>
      <c r="S69" s="157"/>
      <c r="T69" s="157"/>
      <c r="U69" s="157">
        <f t="shared" si="17"/>
        <v>0</v>
      </c>
      <c r="V69" s="419"/>
      <c r="W69" s="408">
        <f t="shared" si="13"/>
        <v>0</v>
      </c>
    </row>
    <row r="70" spans="1:23" ht="24.95" hidden="1" customHeight="1" x14ac:dyDescent="0.2">
      <c r="A70" s="39"/>
      <c r="B70" s="475"/>
      <c r="C70" s="2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>
        <f t="shared" si="16"/>
        <v>0</v>
      </c>
      <c r="P70" s="157"/>
      <c r="Q70" s="157"/>
      <c r="R70" s="157"/>
      <c r="S70" s="157"/>
      <c r="T70" s="157"/>
      <c r="U70" s="157">
        <f t="shared" si="17"/>
        <v>0</v>
      </c>
      <c r="V70" s="419"/>
      <c r="W70" s="408">
        <f t="shared" si="13"/>
        <v>0</v>
      </c>
    </row>
    <row r="71" spans="1:23" ht="24.95" hidden="1" customHeight="1" x14ac:dyDescent="0.2">
      <c r="A71" s="39"/>
      <c r="B71" s="475"/>
      <c r="C71" s="2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>
        <f t="shared" si="16"/>
        <v>0</v>
      </c>
      <c r="P71" s="157"/>
      <c r="Q71" s="157"/>
      <c r="R71" s="157"/>
      <c r="S71" s="157"/>
      <c r="T71" s="157"/>
      <c r="U71" s="157">
        <f t="shared" si="17"/>
        <v>0</v>
      </c>
      <c r="V71" s="419"/>
      <c r="W71" s="408">
        <f t="shared" si="13"/>
        <v>0</v>
      </c>
    </row>
    <row r="72" spans="1:23" ht="24.95" hidden="1" customHeight="1" x14ac:dyDescent="0.2">
      <c r="A72" s="39"/>
      <c r="B72" s="476"/>
      <c r="C72" s="2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>
        <f t="shared" si="16"/>
        <v>0</v>
      </c>
      <c r="P72" s="157"/>
      <c r="Q72" s="157"/>
      <c r="R72" s="157"/>
      <c r="S72" s="157"/>
      <c r="T72" s="157"/>
      <c r="U72" s="157">
        <f t="shared" si="17"/>
        <v>0</v>
      </c>
      <c r="V72" s="419"/>
      <c r="W72" s="408">
        <f t="shared" si="13"/>
        <v>0</v>
      </c>
    </row>
    <row r="73" spans="1:23" ht="24.95" hidden="1" customHeight="1" x14ac:dyDescent="0.2">
      <c r="A73" s="39"/>
      <c r="B73" s="475"/>
      <c r="C73" s="2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>
        <f t="shared" si="16"/>
        <v>0</v>
      </c>
      <c r="P73" s="157"/>
      <c r="Q73" s="157"/>
      <c r="R73" s="157"/>
      <c r="S73" s="157"/>
      <c r="T73" s="157"/>
      <c r="U73" s="157">
        <f t="shared" si="17"/>
        <v>0</v>
      </c>
      <c r="V73" s="419"/>
      <c r="W73" s="408">
        <f t="shared" si="13"/>
        <v>0</v>
      </c>
    </row>
    <row r="74" spans="1:23" ht="24.95" hidden="1" customHeight="1" x14ac:dyDescent="0.2">
      <c r="A74" s="39"/>
      <c r="B74" s="30"/>
      <c r="C74" s="2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>
        <f t="shared" si="16"/>
        <v>0</v>
      </c>
      <c r="P74" s="157"/>
      <c r="Q74" s="157"/>
      <c r="R74" s="157"/>
      <c r="S74" s="157"/>
      <c r="T74" s="157"/>
      <c r="U74" s="157">
        <f t="shared" si="17"/>
        <v>0</v>
      </c>
      <c r="V74" s="419"/>
      <c r="W74" s="408">
        <f t="shared" si="13"/>
        <v>0</v>
      </c>
    </row>
    <row r="75" spans="1:23" ht="24.95" hidden="1" customHeight="1" x14ac:dyDescent="0.2">
      <c r="A75" s="39"/>
      <c r="B75" s="31"/>
      <c r="C75" s="2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>
        <f t="shared" si="16"/>
        <v>0</v>
      </c>
      <c r="P75" s="157"/>
      <c r="Q75" s="157"/>
      <c r="R75" s="157"/>
      <c r="S75" s="157"/>
      <c r="T75" s="157"/>
      <c r="U75" s="157">
        <f t="shared" si="17"/>
        <v>0</v>
      </c>
      <c r="V75" s="419"/>
      <c r="W75" s="408">
        <f t="shared" si="13"/>
        <v>0</v>
      </c>
    </row>
    <row r="76" spans="1:23" ht="24.95" hidden="1" customHeight="1" x14ac:dyDescent="0.2">
      <c r="A76" s="39"/>
      <c r="B76" s="31"/>
      <c r="C76" s="40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>
        <f t="shared" si="16"/>
        <v>0</v>
      </c>
      <c r="P76" s="157"/>
      <c r="Q76" s="157"/>
      <c r="R76" s="157"/>
      <c r="S76" s="157"/>
      <c r="T76" s="157"/>
      <c r="U76" s="157">
        <f t="shared" si="17"/>
        <v>0</v>
      </c>
      <c r="V76" s="419"/>
      <c r="W76" s="408">
        <f t="shared" si="13"/>
        <v>0</v>
      </c>
    </row>
    <row r="77" spans="1:23" ht="24.95" hidden="1" customHeight="1" x14ac:dyDescent="0.2">
      <c r="A77" s="39"/>
      <c r="B77" s="30"/>
      <c r="C77" s="40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>
        <f t="shared" si="16"/>
        <v>0</v>
      </c>
      <c r="P77" s="157"/>
      <c r="Q77" s="157"/>
      <c r="R77" s="157"/>
      <c r="S77" s="157"/>
      <c r="T77" s="157"/>
      <c r="U77" s="157">
        <f t="shared" si="17"/>
        <v>0</v>
      </c>
      <c r="V77" s="419"/>
      <c r="W77" s="408">
        <f t="shared" si="13"/>
        <v>0</v>
      </c>
    </row>
    <row r="78" spans="1:23" ht="24.95" hidden="1" customHeight="1" x14ac:dyDescent="0.2">
      <c r="A78" s="39"/>
      <c r="B78" s="30"/>
      <c r="C78" s="40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>
        <f t="shared" si="16"/>
        <v>0</v>
      </c>
      <c r="P78" s="157"/>
      <c r="Q78" s="157"/>
      <c r="R78" s="157"/>
      <c r="S78" s="157"/>
      <c r="T78" s="157"/>
      <c r="U78" s="157">
        <f t="shared" si="17"/>
        <v>0</v>
      </c>
      <c r="V78" s="419"/>
      <c r="W78" s="408">
        <f t="shared" si="13"/>
        <v>0</v>
      </c>
    </row>
    <row r="79" spans="1:23" ht="24.95" hidden="1" customHeight="1" x14ac:dyDescent="0.2">
      <c r="A79" s="39"/>
      <c r="B79" s="30"/>
      <c r="C79" s="110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>
        <f t="shared" si="16"/>
        <v>0</v>
      </c>
      <c r="P79" s="157"/>
      <c r="Q79" s="157"/>
      <c r="R79" s="157"/>
      <c r="S79" s="157"/>
      <c r="T79" s="157"/>
      <c r="U79" s="157">
        <f t="shared" si="17"/>
        <v>0</v>
      </c>
      <c r="V79" s="419"/>
      <c r="W79" s="408">
        <f t="shared" si="13"/>
        <v>0</v>
      </c>
    </row>
    <row r="80" spans="1:23" ht="24.95" hidden="1" customHeight="1" x14ac:dyDescent="0.2">
      <c r="A80" s="39"/>
      <c r="B80" s="30"/>
      <c r="C80" s="110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>
        <f t="shared" si="16"/>
        <v>0</v>
      </c>
      <c r="P80" s="157"/>
      <c r="Q80" s="157"/>
      <c r="R80" s="157"/>
      <c r="S80" s="157"/>
      <c r="T80" s="157"/>
      <c r="U80" s="157">
        <f t="shared" si="17"/>
        <v>0</v>
      </c>
      <c r="V80" s="419"/>
      <c r="W80" s="408">
        <f t="shared" si="13"/>
        <v>0</v>
      </c>
    </row>
    <row r="81" spans="1:23" ht="24.95" hidden="1" customHeight="1" x14ac:dyDescent="0.2">
      <c r="A81" s="39"/>
      <c r="B81" s="30"/>
      <c r="C81" s="40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>
        <f t="shared" si="16"/>
        <v>0</v>
      </c>
      <c r="P81" s="157"/>
      <c r="Q81" s="157"/>
      <c r="R81" s="157"/>
      <c r="S81" s="157"/>
      <c r="T81" s="157"/>
      <c r="U81" s="157">
        <f t="shared" si="17"/>
        <v>0</v>
      </c>
      <c r="V81" s="419"/>
      <c r="W81" s="408">
        <f t="shared" si="13"/>
        <v>0</v>
      </c>
    </row>
    <row r="82" spans="1:23" ht="24.95" hidden="1" customHeight="1" x14ac:dyDescent="0.2">
      <c r="A82" s="39"/>
      <c r="B82" s="30"/>
      <c r="C82" s="40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>
        <f t="shared" si="16"/>
        <v>0</v>
      </c>
      <c r="P82" s="157"/>
      <c r="Q82" s="157"/>
      <c r="R82" s="157"/>
      <c r="S82" s="157"/>
      <c r="T82" s="157"/>
      <c r="U82" s="157">
        <f t="shared" si="17"/>
        <v>0</v>
      </c>
      <c r="V82" s="419"/>
      <c r="W82" s="408">
        <f t="shared" si="13"/>
        <v>0</v>
      </c>
    </row>
    <row r="83" spans="1:23" ht="24.95" hidden="1" customHeight="1" x14ac:dyDescent="0.2">
      <c r="A83" s="39"/>
      <c r="B83" s="30"/>
      <c r="C83" s="40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>
        <f t="shared" si="16"/>
        <v>0</v>
      </c>
      <c r="P83" s="157"/>
      <c r="Q83" s="157"/>
      <c r="R83" s="157"/>
      <c r="S83" s="157"/>
      <c r="T83" s="157"/>
      <c r="U83" s="157">
        <f t="shared" si="17"/>
        <v>0</v>
      </c>
      <c r="V83" s="419"/>
      <c r="W83" s="408">
        <f t="shared" si="13"/>
        <v>0</v>
      </c>
    </row>
    <row r="84" spans="1:23" ht="24.95" hidden="1" customHeight="1" x14ac:dyDescent="0.2">
      <c r="A84" s="39"/>
      <c r="B84" s="30"/>
      <c r="C84" s="40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>
        <f t="shared" si="16"/>
        <v>0</v>
      </c>
      <c r="P84" s="157"/>
      <c r="Q84" s="157"/>
      <c r="R84" s="157"/>
      <c r="S84" s="157"/>
      <c r="T84" s="157"/>
      <c r="U84" s="157">
        <f t="shared" si="17"/>
        <v>0</v>
      </c>
      <c r="V84" s="419"/>
      <c r="W84" s="408">
        <f t="shared" si="13"/>
        <v>0</v>
      </c>
    </row>
    <row r="85" spans="1:23" ht="24.95" hidden="1" customHeight="1" x14ac:dyDescent="0.2">
      <c r="A85" s="39"/>
      <c r="B85" s="30"/>
      <c r="C85" s="40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>
        <f t="shared" si="16"/>
        <v>0</v>
      </c>
      <c r="P85" s="157"/>
      <c r="Q85" s="157"/>
      <c r="R85" s="157"/>
      <c r="S85" s="157"/>
      <c r="T85" s="157"/>
      <c r="U85" s="157">
        <f t="shared" si="17"/>
        <v>0</v>
      </c>
      <c r="V85" s="419"/>
      <c r="W85" s="408">
        <f t="shared" si="13"/>
        <v>0</v>
      </c>
    </row>
    <row r="86" spans="1:23" ht="24.95" hidden="1" customHeight="1" x14ac:dyDescent="0.2">
      <c r="A86" s="39"/>
      <c r="B86" s="109"/>
      <c r="C86" s="40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>
        <f t="shared" si="16"/>
        <v>0</v>
      </c>
      <c r="P86" s="157"/>
      <c r="Q86" s="157"/>
      <c r="R86" s="157"/>
      <c r="S86" s="157"/>
      <c r="T86" s="157"/>
      <c r="U86" s="157">
        <f t="shared" si="17"/>
        <v>0</v>
      </c>
      <c r="V86" s="419"/>
      <c r="W86" s="408">
        <f t="shared" si="13"/>
        <v>0</v>
      </c>
    </row>
    <row r="87" spans="1:23" ht="24.95" hidden="1" customHeight="1" x14ac:dyDescent="0.2">
      <c r="A87" s="39"/>
      <c r="B87" s="109"/>
      <c r="C87" s="40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>
        <f t="shared" si="16"/>
        <v>0</v>
      </c>
      <c r="P87" s="157"/>
      <c r="Q87" s="157"/>
      <c r="R87" s="157"/>
      <c r="S87" s="157"/>
      <c r="T87" s="157"/>
      <c r="U87" s="157">
        <f t="shared" si="17"/>
        <v>0</v>
      </c>
      <c r="V87" s="419"/>
      <c r="W87" s="408">
        <f t="shared" si="13"/>
        <v>0</v>
      </c>
    </row>
    <row r="88" spans="1:23" ht="24.95" hidden="1" customHeight="1" x14ac:dyDescent="0.2">
      <c r="A88" s="39"/>
      <c r="B88" s="109"/>
      <c r="C88" s="40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>
        <f t="shared" si="16"/>
        <v>0</v>
      </c>
      <c r="P88" s="157"/>
      <c r="Q88" s="157"/>
      <c r="R88" s="157"/>
      <c r="S88" s="157"/>
      <c r="T88" s="157"/>
      <c r="U88" s="157">
        <f t="shared" si="17"/>
        <v>0</v>
      </c>
      <c r="V88" s="419"/>
      <c r="W88" s="408">
        <f t="shared" si="13"/>
        <v>0</v>
      </c>
    </row>
    <row r="89" spans="1:23" ht="24.95" hidden="1" customHeight="1" x14ac:dyDescent="0.2">
      <c r="A89" s="39"/>
      <c r="B89" s="109"/>
      <c r="C89" s="40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>
        <f t="shared" si="16"/>
        <v>0</v>
      </c>
      <c r="P89" s="157"/>
      <c r="Q89" s="157"/>
      <c r="R89" s="157"/>
      <c r="S89" s="157"/>
      <c r="T89" s="157"/>
      <c r="U89" s="157">
        <f t="shared" si="17"/>
        <v>0</v>
      </c>
      <c r="V89" s="419"/>
      <c r="W89" s="408">
        <f t="shared" si="13"/>
        <v>0</v>
      </c>
    </row>
    <row r="90" spans="1:23" ht="24.95" hidden="1" customHeight="1" x14ac:dyDescent="0.2">
      <c r="A90" s="39"/>
      <c r="B90" s="109"/>
      <c r="C90" s="40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>
        <f t="shared" si="16"/>
        <v>0</v>
      </c>
      <c r="P90" s="157"/>
      <c r="Q90" s="157"/>
      <c r="R90" s="157"/>
      <c r="S90" s="157"/>
      <c r="T90" s="157"/>
      <c r="U90" s="157">
        <f t="shared" si="17"/>
        <v>0</v>
      </c>
      <c r="V90" s="419"/>
      <c r="W90" s="408">
        <f t="shared" si="13"/>
        <v>0</v>
      </c>
    </row>
    <row r="91" spans="1:23" ht="24.95" hidden="1" customHeight="1" thickTop="1" x14ac:dyDescent="0.2">
      <c r="A91" s="39"/>
      <c r="B91" s="109"/>
      <c r="C91" s="40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>
        <f t="shared" si="16"/>
        <v>0</v>
      </c>
      <c r="P91" s="157"/>
      <c r="Q91" s="157"/>
      <c r="R91" s="157"/>
      <c r="S91" s="157"/>
      <c r="T91" s="157"/>
      <c r="U91" s="157">
        <f t="shared" si="17"/>
        <v>0</v>
      </c>
      <c r="V91" s="419"/>
      <c r="W91" s="408">
        <f t="shared" si="13"/>
        <v>0</v>
      </c>
    </row>
    <row r="92" spans="1:23" ht="24.95" hidden="1" customHeight="1" x14ac:dyDescent="0.2">
      <c r="A92" s="39"/>
      <c r="B92" s="109"/>
      <c r="C92" s="40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>
        <f t="shared" si="16"/>
        <v>0</v>
      </c>
      <c r="P92" s="157"/>
      <c r="Q92" s="157"/>
      <c r="R92" s="157"/>
      <c r="S92" s="157"/>
      <c r="T92" s="157"/>
      <c r="U92" s="157">
        <f t="shared" si="17"/>
        <v>0</v>
      </c>
      <c r="V92" s="419"/>
      <c r="W92" s="408">
        <f t="shared" si="13"/>
        <v>0</v>
      </c>
    </row>
    <row r="93" spans="1:23" ht="24.95" hidden="1" customHeight="1" x14ac:dyDescent="0.2">
      <c r="A93" s="39"/>
      <c r="B93" s="109"/>
      <c r="C93" s="40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>
        <f t="shared" si="16"/>
        <v>0</v>
      </c>
      <c r="P93" s="157"/>
      <c r="Q93" s="157"/>
      <c r="R93" s="157"/>
      <c r="S93" s="157"/>
      <c r="T93" s="157"/>
      <c r="U93" s="157">
        <f t="shared" si="17"/>
        <v>0</v>
      </c>
      <c r="V93" s="419"/>
      <c r="W93" s="408">
        <f t="shared" si="13"/>
        <v>0</v>
      </c>
    </row>
    <row r="94" spans="1:23" ht="24.95" hidden="1" customHeight="1" x14ac:dyDescent="0.2">
      <c r="A94" s="39"/>
      <c r="B94" s="109"/>
      <c r="C94" s="40" t="s">
        <v>57</v>
      </c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>
        <f t="shared" si="16"/>
        <v>0</v>
      </c>
      <c r="P94" s="157"/>
      <c r="Q94" s="157"/>
      <c r="R94" s="157"/>
      <c r="S94" s="157"/>
      <c r="T94" s="157"/>
      <c r="U94" s="157">
        <f t="shared" si="17"/>
        <v>0</v>
      </c>
      <c r="V94" s="419"/>
      <c r="W94" s="408">
        <f t="shared" si="13"/>
        <v>0</v>
      </c>
    </row>
    <row r="95" spans="1:23" ht="24.95" hidden="1" customHeight="1" thickBot="1" x14ac:dyDescent="0.25">
      <c r="A95" s="39"/>
      <c r="B95" s="101"/>
      <c r="C95" s="102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420"/>
      <c r="W95" s="409">
        <f t="shared" si="13"/>
        <v>0</v>
      </c>
    </row>
    <row r="96" spans="1:23" ht="24.95" hidden="1" customHeight="1" thickTop="1" thickBot="1" x14ac:dyDescent="0.25">
      <c r="A96" s="46"/>
      <c r="B96" s="106" t="s">
        <v>161</v>
      </c>
      <c r="C96" s="43" t="s">
        <v>19</v>
      </c>
      <c r="D96" s="161">
        <f t="shared" ref="D96:O96" si="18">SUM(D61:D95)</f>
        <v>0</v>
      </c>
      <c r="E96" s="194">
        <f t="shared" si="18"/>
        <v>0</v>
      </c>
      <c r="F96" s="161">
        <f t="shared" si="18"/>
        <v>0</v>
      </c>
      <c r="G96" s="161">
        <f t="shared" si="18"/>
        <v>0</v>
      </c>
      <c r="H96" s="161">
        <f t="shared" si="18"/>
        <v>0</v>
      </c>
      <c r="I96" s="161">
        <f t="shared" si="18"/>
        <v>0</v>
      </c>
      <c r="J96" s="161">
        <f t="shared" si="18"/>
        <v>0</v>
      </c>
      <c r="K96" s="161">
        <f t="shared" si="18"/>
        <v>0</v>
      </c>
      <c r="L96" s="161">
        <f t="shared" si="18"/>
        <v>0</v>
      </c>
      <c r="M96" s="161">
        <f t="shared" si="18"/>
        <v>0</v>
      </c>
      <c r="N96" s="161">
        <f t="shared" si="18"/>
        <v>0</v>
      </c>
      <c r="O96" s="161">
        <f t="shared" si="18"/>
        <v>0</v>
      </c>
      <c r="P96" s="161"/>
      <c r="Q96" s="161">
        <f>SUM(Q61:Q95)</f>
        <v>0</v>
      </c>
      <c r="R96" s="161">
        <f>SUM(R61:R95)</f>
        <v>0</v>
      </c>
      <c r="S96" s="161">
        <f>SUM(S61:S95)</f>
        <v>0</v>
      </c>
      <c r="T96" s="161">
        <f>SUM(T61:T95)</f>
        <v>0</v>
      </c>
      <c r="U96" s="161">
        <f>SUM(U61:U95)</f>
        <v>0</v>
      </c>
      <c r="V96" s="172"/>
      <c r="W96" s="410">
        <f>SUM(W61:W95)</f>
        <v>0</v>
      </c>
    </row>
    <row r="97" spans="1:23" ht="24.95" hidden="1" customHeight="1" thickTop="1" x14ac:dyDescent="0.2">
      <c r="A97" s="39"/>
      <c r="B97" s="30"/>
      <c r="C97" s="40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>
        <f t="shared" ref="O97:O107" si="19">SUM(D97:N97)</f>
        <v>0</v>
      </c>
      <c r="P97" s="157"/>
      <c r="Q97" s="157"/>
      <c r="R97" s="157"/>
      <c r="S97" s="157"/>
      <c r="T97" s="157"/>
      <c r="U97" s="157">
        <f t="shared" ref="U97:U107" si="20">SUM(Q97:T97)</f>
        <v>0</v>
      </c>
      <c r="V97" s="419"/>
      <c r="W97" s="408">
        <f t="shared" ref="W97:W106" si="21">O97+U97</f>
        <v>0</v>
      </c>
    </row>
    <row r="98" spans="1:23" ht="24.95" hidden="1" customHeight="1" x14ac:dyDescent="0.2">
      <c r="A98" s="39"/>
      <c r="B98" s="30"/>
      <c r="C98" s="40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>
        <f t="shared" si="19"/>
        <v>0</v>
      </c>
      <c r="P98" s="157"/>
      <c r="Q98" s="157"/>
      <c r="R98" s="157"/>
      <c r="S98" s="157"/>
      <c r="T98" s="157"/>
      <c r="U98" s="157">
        <f t="shared" si="20"/>
        <v>0</v>
      </c>
      <c r="V98" s="419"/>
      <c r="W98" s="408">
        <f t="shared" si="21"/>
        <v>0</v>
      </c>
    </row>
    <row r="99" spans="1:23" ht="24.95" hidden="1" customHeight="1" x14ac:dyDescent="0.2">
      <c r="A99" s="39"/>
      <c r="B99" s="31"/>
      <c r="C99" s="40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>
        <f t="shared" si="19"/>
        <v>0</v>
      </c>
      <c r="P99" s="157"/>
      <c r="Q99" s="157"/>
      <c r="R99" s="157"/>
      <c r="S99" s="157"/>
      <c r="T99" s="157"/>
      <c r="U99" s="157">
        <f t="shared" si="20"/>
        <v>0</v>
      </c>
      <c r="V99" s="419"/>
      <c r="W99" s="408">
        <f t="shared" si="21"/>
        <v>0</v>
      </c>
    </row>
    <row r="100" spans="1:23" ht="24.95" hidden="1" customHeight="1" x14ac:dyDescent="0.2">
      <c r="A100" s="39"/>
      <c r="B100" s="31"/>
      <c r="C100" s="40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>
        <f t="shared" si="19"/>
        <v>0</v>
      </c>
      <c r="P100" s="157"/>
      <c r="Q100" s="157"/>
      <c r="R100" s="157"/>
      <c r="S100" s="157"/>
      <c r="T100" s="157"/>
      <c r="U100" s="157">
        <f t="shared" si="20"/>
        <v>0</v>
      </c>
      <c r="V100" s="419"/>
      <c r="W100" s="408">
        <f t="shared" si="21"/>
        <v>0</v>
      </c>
    </row>
    <row r="101" spans="1:23" ht="24.95" hidden="1" customHeight="1" x14ac:dyDescent="0.2">
      <c r="A101" s="39"/>
      <c r="B101" s="31"/>
      <c r="C101" s="40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>
        <f t="shared" si="19"/>
        <v>0</v>
      </c>
      <c r="P101" s="157"/>
      <c r="Q101" s="157"/>
      <c r="R101" s="157"/>
      <c r="S101" s="157"/>
      <c r="T101" s="157"/>
      <c r="U101" s="157">
        <f t="shared" si="20"/>
        <v>0</v>
      </c>
      <c r="V101" s="419"/>
      <c r="W101" s="408">
        <f t="shared" si="21"/>
        <v>0</v>
      </c>
    </row>
    <row r="102" spans="1:23" ht="24.95" hidden="1" customHeight="1" x14ac:dyDescent="0.2">
      <c r="A102" s="39"/>
      <c r="B102" s="31"/>
      <c r="C102" s="40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>
        <f t="shared" si="19"/>
        <v>0</v>
      </c>
      <c r="P102" s="157"/>
      <c r="Q102" s="157"/>
      <c r="R102" s="157"/>
      <c r="S102" s="157"/>
      <c r="T102" s="157"/>
      <c r="U102" s="157">
        <f t="shared" si="20"/>
        <v>0</v>
      </c>
      <c r="V102" s="419"/>
      <c r="W102" s="408">
        <f t="shared" si="21"/>
        <v>0</v>
      </c>
    </row>
    <row r="103" spans="1:23" ht="24.95" hidden="1" customHeight="1" x14ac:dyDescent="0.2">
      <c r="A103" s="39"/>
      <c r="B103" s="31"/>
      <c r="C103" s="40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>
        <f t="shared" si="19"/>
        <v>0</v>
      </c>
      <c r="P103" s="157"/>
      <c r="Q103" s="157"/>
      <c r="R103" s="157"/>
      <c r="S103" s="157"/>
      <c r="T103" s="157"/>
      <c r="U103" s="157">
        <f t="shared" si="20"/>
        <v>0</v>
      </c>
      <c r="V103" s="419"/>
      <c r="W103" s="408">
        <f t="shared" si="21"/>
        <v>0</v>
      </c>
    </row>
    <row r="104" spans="1:23" ht="24.95" hidden="1" customHeight="1" x14ac:dyDescent="0.2">
      <c r="A104" s="39"/>
      <c r="B104" s="30"/>
      <c r="C104" s="40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>
        <f t="shared" si="19"/>
        <v>0</v>
      </c>
      <c r="P104" s="157"/>
      <c r="Q104" s="157"/>
      <c r="R104" s="157"/>
      <c r="S104" s="157"/>
      <c r="T104" s="157"/>
      <c r="U104" s="157">
        <f t="shared" si="20"/>
        <v>0</v>
      </c>
      <c r="V104" s="419"/>
      <c r="W104" s="408">
        <f t="shared" si="21"/>
        <v>0</v>
      </c>
    </row>
    <row r="105" spans="1:23" ht="24.95" hidden="1" customHeight="1" x14ac:dyDescent="0.2">
      <c r="A105" s="39"/>
      <c r="B105" s="30"/>
      <c r="C105" s="40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>
        <f t="shared" si="19"/>
        <v>0</v>
      </c>
      <c r="P105" s="157"/>
      <c r="Q105" s="157"/>
      <c r="R105" s="157"/>
      <c r="S105" s="157"/>
      <c r="T105" s="157"/>
      <c r="U105" s="157">
        <f t="shared" si="20"/>
        <v>0</v>
      </c>
      <c r="V105" s="419"/>
      <c r="W105" s="408">
        <f t="shared" si="21"/>
        <v>0</v>
      </c>
    </row>
    <row r="106" spans="1:23" ht="24.95" hidden="1" customHeight="1" x14ac:dyDescent="0.2">
      <c r="A106" s="39"/>
      <c r="B106" s="30"/>
      <c r="C106" s="40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>
        <f t="shared" si="19"/>
        <v>0</v>
      </c>
      <c r="P106" s="157"/>
      <c r="Q106" s="157"/>
      <c r="R106" s="157"/>
      <c r="S106" s="157"/>
      <c r="T106" s="157"/>
      <c r="U106" s="157">
        <f t="shared" si="20"/>
        <v>0</v>
      </c>
      <c r="V106" s="419"/>
      <c r="W106" s="408">
        <f t="shared" si="21"/>
        <v>0</v>
      </c>
    </row>
    <row r="107" spans="1:23" ht="24.95" hidden="1" customHeight="1" thickBot="1" x14ac:dyDescent="0.25">
      <c r="A107" s="39"/>
      <c r="B107" s="31"/>
      <c r="C107" s="33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>
        <f t="shared" si="19"/>
        <v>0</v>
      </c>
      <c r="P107" s="157"/>
      <c r="Q107" s="157"/>
      <c r="R107" s="157"/>
      <c r="S107" s="157"/>
      <c r="T107" s="157"/>
      <c r="U107" s="157">
        <f t="shared" si="20"/>
        <v>0</v>
      </c>
      <c r="V107" s="419"/>
      <c r="W107" s="408"/>
    </row>
    <row r="108" spans="1:23" ht="24.95" hidden="1" customHeight="1" thickTop="1" thickBot="1" x14ac:dyDescent="0.25">
      <c r="A108" s="41"/>
      <c r="B108" s="107" t="s">
        <v>53</v>
      </c>
      <c r="C108" s="43" t="s">
        <v>19</v>
      </c>
      <c r="D108" s="161">
        <f t="shared" ref="D108:Q108" si="22">SUM(D97:D100)</f>
        <v>0</v>
      </c>
      <c r="E108" s="161">
        <f t="shared" si="22"/>
        <v>0</v>
      </c>
      <c r="F108" s="161">
        <f t="shared" si="22"/>
        <v>0</v>
      </c>
      <c r="G108" s="161">
        <f t="shared" si="22"/>
        <v>0</v>
      </c>
      <c r="H108" s="161">
        <f t="shared" si="22"/>
        <v>0</v>
      </c>
      <c r="I108" s="161">
        <f t="shared" si="22"/>
        <v>0</v>
      </c>
      <c r="J108" s="161">
        <f t="shared" si="22"/>
        <v>0</v>
      </c>
      <c r="K108" s="161">
        <f t="shared" si="22"/>
        <v>0</v>
      </c>
      <c r="L108" s="161">
        <f t="shared" si="22"/>
        <v>0</v>
      </c>
      <c r="M108" s="161">
        <f t="shared" si="22"/>
        <v>0</v>
      </c>
      <c r="N108" s="161">
        <f>SUM(N97:N100)</f>
        <v>0</v>
      </c>
      <c r="O108" s="161">
        <f t="shared" si="22"/>
        <v>0</v>
      </c>
      <c r="P108" s="161"/>
      <c r="Q108" s="161">
        <f t="shared" si="22"/>
        <v>0</v>
      </c>
      <c r="R108" s="161">
        <f>SUM(R97:R100)</f>
        <v>0</v>
      </c>
      <c r="S108" s="161"/>
      <c r="T108" s="161">
        <f>SUM(T97:T100)</f>
        <v>0</v>
      </c>
      <c r="U108" s="161">
        <f>SUM(U97:U100)</f>
        <v>0</v>
      </c>
      <c r="V108" s="172"/>
      <c r="W108" s="410">
        <f>SUM(W97:W100)</f>
        <v>0</v>
      </c>
    </row>
    <row r="109" spans="1:23" ht="24.95" hidden="1" customHeight="1" thickTop="1" thickBot="1" x14ac:dyDescent="0.25">
      <c r="A109" s="41"/>
      <c r="B109" s="106" t="s">
        <v>162</v>
      </c>
      <c r="C109" s="43" t="s">
        <v>136</v>
      </c>
      <c r="D109" s="193">
        <f t="shared" ref="D109:O109" si="23">D60+D96+D108</f>
        <v>2574034.2770000002</v>
      </c>
      <c r="E109" s="193">
        <f t="shared" si="23"/>
        <v>0</v>
      </c>
      <c r="F109" s="193">
        <f t="shared" si="23"/>
        <v>53832</v>
      </c>
      <c r="G109" s="193">
        <f t="shared" si="23"/>
        <v>9541503</v>
      </c>
      <c r="H109" s="193">
        <f t="shared" si="23"/>
        <v>2530367.8079999997</v>
      </c>
      <c r="I109" s="193">
        <f t="shared" si="23"/>
        <v>1800</v>
      </c>
      <c r="J109" s="193">
        <f t="shared" si="23"/>
        <v>1146000</v>
      </c>
      <c r="K109" s="193">
        <f t="shared" si="23"/>
        <v>4683689</v>
      </c>
      <c r="L109" s="193">
        <f t="shared" si="23"/>
        <v>1785210</v>
      </c>
      <c r="M109" s="193">
        <f t="shared" si="23"/>
        <v>10000</v>
      </c>
      <c r="N109" s="193">
        <f t="shared" si="23"/>
        <v>0</v>
      </c>
      <c r="O109" s="193">
        <f t="shared" si="23"/>
        <v>22326436.085000001</v>
      </c>
      <c r="P109" s="193"/>
      <c r="Q109" s="193">
        <f>Q60+Q96+Q108</f>
        <v>2382040</v>
      </c>
      <c r="R109" s="193">
        <f>R60+R96+R108</f>
        <v>5458525.6940000001</v>
      </c>
      <c r="S109" s="193">
        <f>S60+S96+S108</f>
        <v>0</v>
      </c>
      <c r="T109" s="193">
        <f>T60+T96+T108</f>
        <v>0</v>
      </c>
      <c r="U109" s="193">
        <f>U60+U96+U108</f>
        <v>7840565.6940000001</v>
      </c>
      <c r="V109" s="265"/>
      <c r="W109" s="410">
        <f>W60+W96+W108</f>
        <v>30167001.778999999</v>
      </c>
    </row>
    <row r="110" spans="1:23" ht="24.95" hidden="1" customHeight="1" thickTop="1" x14ac:dyDescent="0.2">
      <c r="A110" s="170"/>
      <c r="B110" s="171" t="s">
        <v>164</v>
      </c>
      <c r="C110" s="209" t="s">
        <v>18</v>
      </c>
      <c r="D110" s="210">
        <f>D109</f>
        <v>2574034.2770000002</v>
      </c>
      <c r="E110" s="210">
        <f t="shared" ref="E110:L110" si="24">E109</f>
        <v>0</v>
      </c>
      <c r="F110" s="210">
        <f t="shared" si="24"/>
        <v>53832</v>
      </c>
      <c r="G110" s="210">
        <f t="shared" si="24"/>
        <v>9541503</v>
      </c>
      <c r="H110" s="210">
        <f t="shared" si="24"/>
        <v>2530367.8079999997</v>
      </c>
      <c r="I110" s="210">
        <f t="shared" si="24"/>
        <v>1800</v>
      </c>
      <c r="J110" s="210">
        <f t="shared" si="24"/>
        <v>1146000</v>
      </c>
      <c r="K110" s="210">
        <f t="shared" si="24"/>
        <v>4683689</v>
      </c>
      <c r="L110" s="210">
        <f t="shared" si="24"/>
        <v>1785210</v>
      </c>
      <c r="M110" s="210">
        <f t="shared" ref="M110:U110" si="25">M109</f>
        <v>10000</v>
      </c>
      <c r="N110" s="210">
        <f t="shared" si="25"/>
        <v>0</v>
      </c>
      <c r="O110" s="210">
        <f t="shared" si="25"/>
        <v>22326436.085000001</v>
      </c>
      <c r="P110" s="210"/>
      <c r="Q110" s="210">
        <f t="shared" si="25"/>
        <v>2382040</v>
      </c>
      <c r="R110" s="210">
        <f t="shared" si="25"/>
        <v>5458525.6940000001</v>
      </c>
      <c r="S110" s="210"/>
      <c r="T110" s="210">
        <f t="shared" si="25"/>
        <v>0</v>
      </c>
      <c r="U110" s="210">
        <f t="shared" si="25"/>
        <v>7840565.6940000001</v>
      </c>
      <c r="V110" s="421"/>
      <c r="W110" s="411">
        <f t="shared" ref="W110:W131" si="26">O110+U110</f>
        <v>30167001.778999999</v>
      </c>
    </row>
    <row r="111" spans="1:23" ht="24.95" hidden="1" customHeight="1" x14ac:dyDescent="0.2">
      <c r="A111" s="39">
        <v>1</v>
      </c>
      <c r="B111" s="108"/>
      <c r="C111" s="2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O111" s="157">
        <f t="shared" ref="O111:O131" si="27">SUM(D111:N111)</f>
        <v>0</v>
      </c>
      <c r="P111" s="157"/>
      <c r="Q111" s="157"/>
      <c r="R111" s="157"/>
      <c r="S111" s="157"/>
      <c r="T111" s="157"/>
      <c r="U111" s="157">
        <f t="shared" ref="U111:U131" si="28">SUM(Q111:T111)</f>
        <v>0</v>
      </c>
      <c r="V111" s="419"/>
      <c r="W111" s="408">
        <f t="shared" si="26"/>
        <v>0</v>
      </c>
    </row>
    <row r="112" spans="1:23" ht="24.95" hidden="1" customHeight="1" x14ac:dyDescent="0.2">
      <c r="A112" s="39">
        <v>2</v>
      </c>
      <c r="B112" s="315"/>
      <c r="C112" s="2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O112" s="157">
        <f t="shared" si="27"/>
        <v>0</v>
      </c>
      <c r="P112" s="157"/>
      <c r="Q112" s="157"/>
      <c r="R112" s="157"/>
      <c r="S112" s="157"/>
      <c r="T112" s="157"/>
      <c r="U112" s="157">
        <f t="shared" si="28"/>
        <v>0</v>
      </c>
      <c r="V112" s="419"/>
      <c r="W112" s="408">
        <f t="shared" si="26"/>
        <v>0</v>
      </c>
    </row>
    <row r="113" spans="1:23" ht="24.95" hidden="1" customHeight="1" x14ac:dyDescent="0.2">
      <c r="A113" s="39">
        <v>3</v>
      </c>
      <c r="B113" s="217"/>
      <c r="C113" s="2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O113" s="157">
        <f t="shared" si="27"/>
        <v>0</v>
      </c>
      <c r="P113" s="157"/>
      <c r="Q113" s="157"/>
      <c r="R113" s="157"/>
      <c r="S113" s="157"/>
      <c r="T113" s="157"/>
      <c r="U113" s="157">
        <f>SUM(Q113:T113)</f>
        <v>0</v>
      </c>
      <c r="V113" s="419"/>
      <c r="W113" s="408">
        <f t="shared" si="26"/>
        <v>0</v>
      </c>
    </row>
    <row r="114" spans="1:23" ht="24.95" hidden="1" customHeight="1" x14ac:dyDescent="0.2">
      <c r="A114" s="39">
        <v>4</v>
      </c>
      <c r="B114" s="29"/>
      <c r="C114" s="2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>
        <f t="shared" si="27"/>
        <v>0</v>
      </c>
      <c r="P114" s="157"/>
      <c r="Q114" s="157"/>
      <c r="R114" s="157"/>
      <c r="S114" s="157"/>
      <c r="T114" s="157"/>
      <c r="U114" s="157">
        <f t="shared" si="28"/>
        <v>0</v>
      </c>
      <c r="V114" s="419"/>
      <c r="W114" s="408">
        <f t="shared" si="26"/>
        <v>0</v>
      </c>
    </row>
    <row r="115" spans="1:23" ht="24.95" hidden="1" customHeight="1" x14ac:dyDescent="0.2">
      <c r="A115" s="39">
        <v>5</v>
      </c>
      <c r="B115" s="217"/>
      <c r="C115" s="27"/>
      <c r="D115" s="157"/>
      <c r="E115" s="157"/>
      <c r="F115" s="157"/>
      <c r="G115" s="157"/>
      <c r="H115" s="157"/>
      <c r="I115" s="157"/>
      <c r="J115" s="157"/>
      <c r="L115" s="157"/>
      <c r="M115" s="157"/>
      <c r="N115" s="157"/>
      <c r="O115" s="157">
        <f t="shared" si="27"/>
        <v>0</v>
      </c>
      <c r="P115" s="157"/>
      <c r="Q115" s="157"/>
      <c r="R115" s="157"/>
      <c r="S115" s="157"/>
      <c r="T115" s="157"/>
      <c r="U115" s="157">
        <f t="shared" si="28"/>
        <v>0</v>
      </c>
      <c r="V115" s="419"/>
      <c r="W115" s="408">
        <f t="shared" si="26"/>
        <v>0</v>
      </c>
    </row>
    <row r="116" spans="1:23" ht="24.95" hidden="1" customHeight="1" x14ac:dyDescent="0.2">
      <c r="A116" s="39">
        <v>6</v>
      </c>
      <c r="B116" s="29"/>
      <c r="C116" s="2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>
        <f t="shared" si="27"/>
        <v>0</v>
      </c>
      <c r="P116" s="157"/>
      <c r="Q116" s="157"/>
      <c r="R116" s="157"/>
      <c r="S116" s="157"/>
      <c r="T116" s="157"/>
      <c r="U116" s="157">
        <f t="shared" si="28"/>
        <v>0</v>
      </c>
      <c r="V116" s="419"/>
      <c r="W116" s="408">
        <f t="shared" si="26"/>
        <v>0</v>
      </c>
    </row>
    <row r="117" spans="1:23" ht="24.95" hidden="1" customHeight="1" x14ac:dyDescent="0.2">
      <c r="A117" s="39">
        <v>7</v>
      </c>
      <c r="B117" s="219"/>
      <c r="C117" s="32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>
        <f t="shared" si="27"/>
        <v>0</v>
      </c>
      <c r="P117" s="157"/>
      <c r="Q117" s="157"/>
      <c r="R117" s="157"/>
      <c r="S117" s="157"/>
      <c r="T117" s="157"/>
      <c r="U117" s="157">
        <f t="shared" si="28"/>
        <v>0</v>
      </c>
      <c r="V117" s="419"/>
      <c r="W117" s="408">
        <f t="shared" si="26"/>
        <v>0</v>
      </c>
    </row>
    <row r="118" spans="1:23" ht="24.95" hidden="1" customHeight="1" x14ac:dyDescent="0.2">
      <c r="A118" s="39">
        <v>8</v>
      </c>
      <c r="B118" s="219"/>
      <c r="C118" s="33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>
        <f t="shared" si="27"/>
        <v>0</v>
      </c>
      <c r="P118" s="157"/>
      <c r="Q118" s="157"/>
      <c r="R118" s="157"/>
      <c r="S118" s="157"/>
      <c r="T118" s="157"/>
      <c r="U118" s="157">
        <f t="shared" si="28"/>
        <v>0</v>
      </c>
      <c r="V118" s="419"/>
      <c r="W118" s="408">
        <f t="shared" si="26"/>
        <v>0</v>
      </c>
    </row>
    <row r="119" spans="1:23" ht="24.95" hidden="1" customHeight="1" x14ac:dyDescent="0.2">
      <c r="A119" s="39">
        <v>9</v>
      </c>
      <c r="B119" s="30"/>
      <c r="C119" s="40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>
        <f t="shared" si="27"/>
        <v>0</v>
      </c>
      <c r="P119" s="157"/>
      <c r="Q119" s="157"/>
      <c r="R119" s="157"/>
      <c r="S119" s="157"/>
      <c r="T119" s="157"/>
      <c r="U119" s="157">
        <f t="shared" si="28"/>
        <v>0</v>
      </c>
      <c r="V119" s="419"/>
      <c r="W119" s="408">
        <f t="shared" si="26"/>
        <v>0</v>
      </c>
    </row>
    <row r="120" spans="1:23" ht="24.95" hidden="1" customHeight="1" x14ac:dyDescent="0.2">
      <c r="A120" s="39">
        <v>10</v>
      </c>
      <c r="B120" s="216"/>
      <c r="C120" s="40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>
        <f>SUM(D120:N120)</f>
        <v>0</v>
      </c>
      <c r="P120" s="157"/>
      <c r="Q120" s="157"/>
      <c r="R120" s="157"/>
      <c r="S120" s="157"/>
      <c r="T120" s="157"/>
      <c r="U120" s="157">
        <f>SUM(Q120:T120)</f>
        <v>0</v>
      </c>
      <c r="V120" s="419"/>
      <c r="W120" s="408">
        <f>O120+U120</f>
        <v>0</v>
      </c>
    </row>
    <row r="121" spans="1:23" ht="24.95" hidden="1" customHeight="1" x14ac:dyDescent="0.2">
      <c r="A121" s="39">
        <v>11</v>
      </c>
      <c r="B121" s="216"/>
      <c r="C121" s="40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>
        <f t="shared" si="27"/>
        <v>0</v>
      </c>
      <c r="P121" s="157"/>
      <c r="Q121" s="157"/>
      <c r="R121" s="157"/>
      <c r="S121" s="157"/>
      <c r="T121" s="157"/>
      <c r="U121" s="157">
        <f t="shared" si="28"/>
        <v>0</v>
      </c>
      <c r="V121" s="419"/>
      <c r="W121" s="408">
        <f t="shared" si="26"/>
        <v>0</v>
      </c>
    </row>
    <row r="122" spans="1:23" ht="24.95" hidden="1" customHeight="1" x14ac:dyDescent="0.2">
      <c r="A122" s="39">
        <v>12</v>
      </c>
      <c r="B122" s="216"/>
      <c r="C122" s="40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>
        <f t="shared" si="27"/>
        <v>0</v>
      </c>
      <c r="P122" s="157"/>
      <c r="Q122" s="157"/>
      <c r="R122" s="157"/>
      <c r="S122" s="157"/>
      <c r="T122" s="157"/>
      <c r="U122" s="157">
        <f t="shared" si="28"/>
        <v>0</v>
      </c>
      <c r="V122" s="419"/>
      <c r="W122" s="408">
        <f t="shared" si="26"/>
        <v>0</v>
      </c>
    </row>
    <row r="123" spans="1:23" ht="24.95" hidden="1" customHeight="1" x14ac:dyDescent="0.2">
      <c r="A123" s="39">
        <v>13</v>
      </c>
      <c r="B123" s="216"/>
      <c r="C123" s="40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>
        <f t="shared" si="27"/>
        <v>0</v>
      </c>
      <c r="P123" s="157"/>
      <c r="Q123" s="157"/>
      <c r="R123" s="157"/>
      <c r="S123" s="157"/>
      <c r="T123" s="157"/>
      <c r="U123" s="157">
        <f t="shared" si="28"/>
        <v>0</v>
      </c>
      <c r="V123" s="419"/>
      <c r="W123" s="408">
        <f t="shared" si="26"/>
        <v>0</v>
      </c>
    </row>
    <row r="124" spans="1:23" ht="24.95" hidden="1" customHeight="1" x14ac:dyDescent="0.2">
      <c r="A124" s="39">
        <v>14</v>
      </c>
      <c r="B124" s="30"/>
      <c r="C124" s="40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>
        <f t="shared" si="27"/>
        <v>0</v>
      </c>
      <c r="P124" s="157"/>
      <c r="Q124" s="157"/>
      <c r="R124" s="157"/>
      <c r="S124" s="157"/>
      <c r="T124" s="157"/>
      <c r="U124" s="157">
        <f t="shared" si="28"/>
        <v>0</v>
      </c>
      <c r="V124" s="419"/>
      <c r="W124" s="408">
        <f t="shared" si="26"/>
        <v>0</v>
      </c>
    </row>
    <row r="125" spans="1:23" ht="24.95" hidden="1" customHeight="1" x14ac:dyDescent="0.2">
      <c r="A125" s="39">
        <v>15</v>
      </c>
      <c r="B125" s="217"/>
      <c r="C125" s="40"/>
      <c r="D125" s="157"/>
      <c r="E125" s="157"/>
      <c r="G125" s="157"/>
      <c r="H125" s="157"/>
      <c r="I125" s="157"/>
      <c r="J125" s="157"/>
      <c r="K125" s="157"/>
      <c r="L125" s="157"/>
      <c r="M125" s="157"/>
      <c r="N125" s="157"/>
      <c r="O125" s="157">
        <f>SUM(D125:N125)</f>
        <v>0</v>
      </c>
      <c r="P125" s="157"/>
      <c r="Q125" s="157"/>
      <c r="R125" s="157"/>
      <c r="S125" s="157"/>
      <c r="T125" s="157"/>
      <c r="U125" s="157">
        <f t="shared" si="28"/>
        <v>0</v>
      </c>
      <c r="V125" s="419"/>
      <c r="W125" s="408">
        <f t="shared" si="26"/>
        <v>0</v>
      </c>
    </row>
    <row r="126" spans="1:23" ht="24.95" hidden="1" customHeight="1" x14ac:dyDescent="0.2">
      <c r="A126" s="39">
        <v>16</v>
      </c>
      <c r="B126" s="44"/>
      <c r="C126" s="32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>
        <f t="shared" si="27"/>
        <v>0</v>
      </c>
      <c r="P126" s="157"/>
      <c r="Q126" s="157"/>
      <c r="R126" s="157"/>
      <c r="S126" s="157"/>
      <c r="T126" s="157"/>
      <c r="U126" s="157">
        <f t="shared" si="28"/>
        <v>0</v>
      </c>
      <c r="V126" s="419"/>
      <c r="W126" s="408">
        <f t="shared" si="26"/>
        <v>0</v>
      </c>
    </row>
    <row r="127" spans="1:23" ht="24.95" hidden="1" customHeight="1" x14ac:dyDescent="0.2">
      <c r="A127" s="39">
        <v>17</v>
      </c>
      <c r="B127" s="109"/>
      <c r="C127" s="40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>
        <f t="shared" si="27"/>
        <v>0</v>
      </c>
      <c r="P127" s="157"/>
      <c r="Q127" s="157"/>
      <c r="R127" s="157"/>
      <c r="S127" s="157"/>
      <c r="T127" s="157"/>
      <c r="U127" s="157">
        <f t="shared" si="28"/>
        <v>0</v>
      </c>
      <c r="V127" s="419"/>
      <c r="W127" s="408">
        <f t="shared" si="26"/>
        <v>0</v>
      </c>
    </row>
    <row r="128" spans="1:23" ht="24.95" hidden="1" customHeight="1" x14ac:dyDescent="0.2">
      <c r="A128" s="39">
        <v>18</v>
      </c>
      <c r="B128" s="169"/>
      <c r="C128" s="40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>
        <f t="shared" si="27"/>
        <v>0</v>
      </c>
      <c r="P128" s="157"/>
      <c r="Q128" s="157"/>
      <c r="R128" s="157"/>
      <c r="S128" s="157"/>
      <c r="T128" s="157"/>
      <c r="U128" s="157">
        <f t="shared" si="28"/>
        <v>0</v>
      </c>
      <c r="V128" s="419"/>
      <c r="W128" s="408">
        <f t="shared" si="26"/>
        <v>0</v>
      </c>
    </row>
    <row r="129" spans="1:24" ht="24.95" hidden="1" customHeight="1" x14ac:dyDescent="0.2">
      <c r="A129" s="39">
        <v>19</v>
      </c>
      <c r="B129" s="169"/>
      <c r="C129" s="40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>
        <f t="shared" si="27"/>
        <v>0</v>
      </c>
      <c r="P129" s="157"/>
      <c r="Q129" s="157"/>
      <c r="R129" s="157"/>
      <c r="S129" s="157"/>
      <c r="T129" s="157"/>
      <c r="U129" s="157">
        <f t="shared" si="28"/>
        <v>0</v>
      </c>
      <c r="V129" s="419"/>
      <c r="W129" s="408">
        <f t="shared" si="26"/>
        <v>0</v>
      </c>
    </row>
    <row r="130" spans="1:24" ht="24.95" hidden="1" customHeight="1" x14ac:dyDescent="0.2">
      <c r="A130" s="39">
        <v>20</v>
      </c>
      <c r="B130" s="169"/>
      <c r="C130" s="40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>
        <f t="shared" si="27"/>
        <v>0</v>
      </c>
      <c r="P130" s="157"/>
      <c r="Q130" s="157"/>
      <c r="R130" s="157"/>
      <c r="S130" s="157"/>
      <c r="T130" s="157"/>
      <c r="U130" s="157">
        <f t="shared" si="28"/>
        <v>0</v>
      </c>
      <c r="V130" s="419"/>
      <c r="W130" s="408">
        <f t="shared" si="26"/>
        <v>0</v>
      </c>
    </row>
    <row r="131" spans="1:24" ht="24.95" hidden="1" customHeight="1" x14ac:dyDescent="0.2">
      <c r="A131" s="39">
        <v>21</v>
      </c>
      <c r="B131" s="109"/>
      <c r="C131" s="40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>
        <f t="shared" si="27"/>
        <v>0</v>
      </c>
      <c r="P131" s="157"/>
      <c r="Q131" s="157"/>
      <c r="R131" s="157"/>
      <c r="S131" s="157"/>
      <c r="T131" s="157"/>
      <c r="U131" s="157">
        <f t="shared" si="28"/>
        <v>0</v>
      </c>
      <c r="V131" s="419"/>
      <c r="W131" s="408">
        <f t="shared" si="26"/>
        <v>0</v>
      </c>
    </row>
    <row r="132" spans="1:24" ht="24.95" hidden="1" customHeight="1" x14ac:dyDescent="0.2">
      <c r="A132" s="39"/>
      <c r="B132" s="109"/>
      <c r="C132" s="40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419"/>
      <c r="W132" s="408"/>
    </row>
    <row r="133" spans="1:24" ht="13.5" hidden="1" customHeight="1" thickBot="1" x14ac:dyDescent="0.25">
      <c r="A133" s="39"/>
      <c r="B133" s="31"/>
      <c r="C133" s="33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419"/>
      <c r="W133" s="408"/>
    </row>
    <row r="134" spans="1:24" ht="24.95" hidden="1" customHeight="1" thickTop="1" thickBot="1" x14ac:dyDescent="0.25">
      <c r="A134" s="45"/>
      <c r="B134" s="41" t="s">
        <v>164</v>
      </c>
      <c r="C134" s="43" t="s">
        <v>19</v>
      </c>
      <c r="D134" s="193">
        <f t="shared" ref="D134:O134" si="29">SUM(D111:D133)</f>
        <v>0</v>
      </c>
      <c r="E134" s="193">
        <f t="shared" si="29"/>
        <v>0</v>
      </c>
      <c r="F134" s="193">
        <f t="shared" si="29"/>
        <v>0</v>
      </c>
      <c r="G134" s="193">
        <f t="shared" si="29"/>
        <v>0</v>
      </c>
      <c r="H134" s="193">
        <f t="shared" si="29"/>
        <v>0</v>
      </c>
      <c r="I134" s="193">
        <f t="shared" si="29"/>
        <v>0</v>
      </c>
      <c r="J134" s="193">
        <f t="shared" si="29"/>
        <v>0</v>
      </c>
      <c r="K134" s="193">
        <f t="shared" si="29"/>
        <v>0</v>
      </c>
      <c r="L134" s="193">
        <f t="shared" si="29"/>
        <v>0</v>
      </c>
      <c r="M134" s="193">
        <f t="shared" si="29"/>
        <v>0</v>
      </c>
      <c r="N134" s="193">
        <f t="shared" si="29"/>
        <v>0</v>
      </c>
      <c r="O134" s="193">
        <f t="shared" si="29"/>
        <v>0</v>
      </c>
      <c r="P134" s="318"/>
      <c r="Q134" s="193">
        <f>SUM(Q111:Q133)</f>
        <v>0</v>
      </c>
      <c r="R134" s="193">
        <f>SUM(R111:R133)</f>
        <v>0</v>
      </c>
      <c r="S134" s="193">
        <f>SUM(S111:S133)</f>
        <v>0</v>
      </c>
      <c r="T134" s="193">
        <f>SUM(T111:T133)</f>
        <v>0</v>
      </c>
      <c r="U134" s="193">
        <f>SUM(U111:U133)</f>
        <v>0</v>
      </c>
      <c r="V134" s="422"/>
      <c r="W134" s="410">
        <f>O134+U134</f>
        <v>0</v>
      </c>
    </row>
    <row r="135" spans="1:24" ht="24.95" hidden="1" customHeight="1" thickTop="1" x14ac:dyDescent="0.2">
      <c r="A135" s="196"/>
      <c r="B135" s="211"/>
      <c r="C135" s="545"/>
      <c r="D135" s="546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  <c r="S135" s="248"/>
      <c r="T135" s="248"/>
      <c r="U135" s="248"/>
      <c r="V135" s="423"/>
      <c r="W135" s="412"/>
      <c r="X135" s="28"/>
    </row>
    <row r="136" spans="1:24" ht="24.95" hidden="1" customHeight="1" x14ac:dyDescent="0.2">
      <c r="A136" s="39"/>
      <c r="B136" s="47"/>
      <c r="C136" s="27" t="s">
        <v>167</v>
      </c>
      <c r="D136" s="142"/>
      <c r="E136" s="142"/>
      <c r="F136" s="142"/>
      <c r="G136" s="142"/>
      <c r="H136" s="157"/>
      <c r="I136" s="142"/>
      <c r="J136" s="142"/>
      <c r="K136" s="142"/>
      <c r="L136" s="142"/>
      <c r="M136" s="142"/>
      <c r="N136" s="142"/>
      <c r="O136" s="142">
        <f t="shared" ref="O136:O150" si="30">SUM(D136:N136)</f>
        <v>0</v>
      </c>
      <c r="P136" s="142"/>
      <c r="Q136" s="142"/>
      <c r="R136" s="142"/>
      <c r="S136" s="142"/>
      <c r="T136" s="142"/>
      <c r="U136" s="142">
        <f t="shared" ref="U136:U150" si="31">SUM(Q136:T136)</f>
        <v>0</v>
      </c>
      <c r="V136" s="424"/>
      <c r="W136" s="408">
        <f t="shared" ref="W136:W151" si="32">O136+U136</f>
        <v>0</v>
      </c>
    </row>
    <row r="137" spans="1:24" ht="24.95" hidden="1" customHeight="1" x14ac:dyDescent="0.2">
      <c r="A137" s="39"/>
      <c r="B137" s="47"/>
      <c r="C137" s="27"/>
      <c r="D137" s="142"/>
      <c r="E137" s="142"/>
      <c r="F137" s="142"/>
      <c r="G137" s="142"/>
      <c r="H137" s="157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424"/>
      <c r="W137" s="408"/>
    </row>
    <row r="138" spans="1:24" ht="24.95" hidden="1" customHeight="1" x14ac:dyDescent="0.2">
      <c r="A138" s="39"/>
      <c r="B138" s="47" t="s">
        <v>22</v>
      </c>
      <c r="C138" s="48" t="s">
        <v>23</v>
      </c>
      <c r="D138" s="343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>
        <f t="shared" si="30"/>
        <v>0</v>
      </c>
      <c r="P138" s="142"/>
      <c r="Q138" s="142"/>
      <c r="R138" s="142"/>
      <c r="S138" s="142"/>
      <c r="T138" s="142"/>
      <c r="U138" s="142">
        <f t="shared" si="31"/>
        <v>0</v>
      </c>
      <c r="V138" s="424"/>
      <c r="W138" s="408">
        <f t="shared" si="32"/>
        <v>0</v>
      </c>
    </row>
    <row r="139" spans="1:24" ht="24.95" hidden="1" customHeight="1" x14ac:dyDescent="0.2">
      <c r="A139" s="39"/>
      <c r="B139" s="47" t="s">
        <v>24</v>
      </c>
      <c r="C139" s="48" t="s">
        <v>23</v>
      </c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>
        <f t="shared" si="30"/>
        <v>0</v>
      </c>
      <c r="P139" s="142"/>
      <c r="Q139" s="142"/>
      <c r="R139" s="142"/>
      <c r="S139" s="142"/>
      <c r="T139" s="142"/>
      <c r="U139" s="142">
        <f t="shared" si="31"/>
        <v>0</v>
      </c>
      <c r="V139" s="424"/>
      <c r="W139" s="408">
        <f t="shared" si="32"/>
        <v>0</v>
      </c>
    </row>
    <row r="140" spans="1:24" ht="24.95" hidden="1" customHeight="1" x14ac:dyDescent="0.2">
      <c r="A140" s="39"/>
      <c r="B140" s="47" t="s">
        <v>26</v>
      </c>
      <c r="C140" s="48" t="s">
        <v>23</v>
      </c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>
        <f t="shared" si="30"/>
        <v>0</v>
      </c>
      <c r="P140" s="142"/>
      <c r="Q140" s="142"/>
      <c r="R140" s="142"/>
      <c r="S140" s="142"/>
      <c r="T140" s="142"/>
      <c r="U140" s="142">
        <f t="shared" si="31"/>
        <v>0</v>
      </c>
      <c r="V140" s="424"/>
      <c r="W140" s="408">
        <f t="shared" si="32"/>
        <v>0</v>
      </c>
    </row>
    <row r="141" spans="1:24" ht="24.95" hidden="1" customHeight="1" x14ac:dyDescent="0.2">
      <c r="A141" s="39"/>
      <c r="B141" s="47" t="s">
        <v>60</v>
      </c>
      <c r="C141" s="48" t="s">
        <v>23</v>
      </c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>
        <f t="shared" si="30"/>
        <v>0</v>
      </c>
      <c r="P141" s="142"/>
      <c r="Q141" s="142"/>
      <c r="R141" s="142"/>
      <c r="S141" s="142"/>
      <c r="T141" s="142"/>
      <c r="U141" s="142">
        <f t="shared" si="31"/>
        <v>0</v>
      </c>
      <c r="V141" s="424"/>
      <c r="W141" s="408">
        <f t="shared" si="32"/>
        <v>0</v>
      </c>
    </row>
    <row r="142" spans="1:24" ht="24.95" hidden="1" customHeight="1" x14ac:dyDescent="0.2">
      <c r="A142" s="39"/>
      <c r="B142" s="47" t="s">
        <v>27</v>
      </c>
      <c r="C142" s="48" t="s">
        <v>23</v>
      </c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>
        <f t="shared" si="30"/>
        <v>0</v>
      </c>
      <c r="P142" s="142"/>
      <c r="Q142" s="142"/>
      <c r="R142" s="142"/>
      <c r="S142" s="142"/>
      <c r="T142" s="142"/>
      <c r="U142" s="142">
        <f t="shared" si="31"/>
        <v>0</v>
      </c>
      <c r="V142" s="424"/>
      <c r="W142" s="408">
        <f t="shared" si="32"/>
        <v>0</v>
      </c>
    </row>
    <row r="143" spans="1:24" ht="24.95" hidden="1" customHeight="1" x14ac:dyDescent="0.2">
      <c r="A143" s="39"/>
      <c r="B143" s="47" t="s">
        <v>100</v>
      </c>
      <c r="C143" s="48" t="s">
        <v>23</v>
      </c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>
        <f t="shared" si="30"/>
        <v>0</v>
      </c>
      <c r="Q143" s="142"/>
      <c r="R143" s="142"/>
      <c r="S143" s="142"/>
      <c r="T143" s="142"/>
      <c r="U143" s="142">
        <f t="shared" si="31"/>
        <v>0</v>
      </c>
      <c r="V143" s="424"/>
      <c r="W143" s="408">
        <f t="shared" si="32"/>
        <v>0</v>
      </c>
    </row>
    <row r="144" spans="1:24" ht="24.95" hidden="1" customHeight="1" x14ac:dyDescent="0.2">
      <c r="A144" s="39"/>
      <c r="B144" s="47" t="s">
        <v>63</v>
      </c>
      <c r="C144" s="48" t="s">
        <v>23</v>
      </c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>
        <f t="shared" si="30"/>
        <v>0</v>
      </c>
      <c r="Q144" s="142"/>
      <c r="R144" s="142"/>
      <c r="S144" s="142"/>
      <c r="T144" s="142"/>
      <c r="U144" s="142">
        <f t="shared" si="31"/>
        <v>0</v>
      </c>
      <c r="V144" s="424"/>
      <c r="W144" s="408">
        <f t="shared" si="32"/>
        <v>0</v>
      </c>
    </row>
    <row r="145" spans="1:24" ht="24.95" hidden="1" customHeight="1" x14ac:dyDescent="0.2">
      <c r="A145" s="39"/>
      <c r="B145" s="47" t="s">
        <v>64</v>
      </c>
      <c r="C145" s="48" t="s">
        <v>23</v>
      </c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>
        <f t="shared" si="30"/>
        <v>0</v>
      </c>
      <c r="P145" s="142"/>
      <c r="Q145" s="142"/>
      <c r="R145" s="142"/>
      <c r="S145" s="142"/>
      <c r="T145" s="142"/>
      <c r="U145" s="142">
        <f t="shared" si="31"/>
        <v>0</v>
      </c>
      <c r="V145" s="424"/>
      <c r="W145" s="408">
        <f t="shared" si="32"/>
        <v>0</v>
      </c>
    </row>
    <row r="146" spans="1:24" ht="24.95" hidden="1" customHeight="1" x14ac:dyDescent="0.2">
      <c r="A146" s="39"/>
      <c r="B146" s="47" t="s">
        <v>30</v>
      </c>
      <c r="C146" s="48" t="s">
        <v>23</v>
      </c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>
        <f t="shared" si="30"/>
        <v>0</v>
      </c>
      <c r="P146" s="429"/>
      <c r="Q146" s="142"/>
      <c r="R146" s="142"/>
      <c r="S146" s="142"/>
      <c r="T146" s="142"/>
      <c r="U146" s="142">
        <f t="shared" si="31"/>
        <v>0</v>
      </c>
      <c r="V146" s="424"/>
      <c r="W146" s="408">
        <f t="shared" si="32"/>
        <v>0</v>
      </c>
    </row>
    <row r="147" spans="1:24" ht="24.95" hidden="1" customHeight="1" x14ac:dyDescent="0.2">
      <c r="A147" s="39"/>
      <c r="B147" s="47" t="s">
        <v>65</v>
      </c>
      <c r="C147" s="48" t="s">
        <v>23</v>
      </c>
      <c r="D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>
        <f t="shared" si="30"/>
        <v>0</v>
      </c>
      <c r="P147" s="142"/>
      <c r="Q147" s="142"/>
      <c r="R147" s="142"/>
      <c r="S147" s="142"/>
      <c r="T147" s="142"/>
      <c r="U147" s="142">
        <f t="shared" si="31"/>
        <v>0</v>
      </c>
      <c r="V147" s="424"/>
      <c r="W147" s="408">
        <f t="shared" si="32"/>
        <v>0</v>
      </c>
    </row>
    <row r="148" spans="1:24" ht="24.95" hidden="1" customHeight="1" x14ac:dyDescent="0.2">
      <c r="A148" s="39"/>
      <c r="B148" s="47" t="s">
        <v>101</v>
      </c>
      <c r="C148" s="48" t="s">
        <v>23</v>
      </c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>
        <f t="shared" si="30"/>
        <v>0</v>
      </c>
      <c r="P148" s="142"/>
      <c r="Q148" s="142"/>
      <c r="R148" s="142"/>
      <c r="S148" s="142"/>
      <c r="T148" s="142"/>
      <c r="U148" s="142">
        <f t="shared" si="31"/>
        <v>0</v>
      </c>
      <c r="V148" s="424"/>
      <c r="W148" s="408">
        <f t="shared" si="32"/>
        <v>0</v>
      </c>
    </row>
    <row r="149" spans="1:24" ht="24.95" hidden="1" customHeight="1" x14ac:dyDescent="0.2">
      <c r="A149" s="39"/>
      <c r="B149" s="47" t="s">
        <v>102</v>
      </c>
      <c r="C149" s="48" t="s">
        <v>23</v>
      </c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>
        <f t="shared" si="30"/>
        <v>0</v>
      </c>
      <c r="P149" s="142"/>
      <c r="Q149" s="142"/>
      <c r="R149" s="142"/>
      <c r="S149" s="142"/>
      <c r="T149" s="142"/>
      <c r="U149" s="142">
        <f t="shared" si="31"/>
        <v>0</v>
      </c>
      <c r="V149" s="424"/>
      <c r="W149" s="408">
        <f t="shared" si="32"/>
        <v>0</v>
      </c>
    </row>
    <row r="150" spans="1:24" ht="24.95" hidden="1" customHeight="1" x14ac:dyDescent="0.2">
      <c r="A150" s="39"/>
      <c r="B150" s="47"/>
      <c r="C150" s="40" t="s">
        <v>57</v>
      </c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>
        <f t="shared" si="30"/>
        <v>0</v>
      </c>
      <c r="P150" s="142"/>
      <c r="Q150" s="142"/>
      <c r="R150" s="142"/>
      <c r="S150" s="142"/>
      <c r="T150" s="142"/>
      <c r="U150" s="142">
        <f t="shared" si="31"/>
        <v>0</v>
      </c>
      <c r="V150" s="424"/>
      <c r="W150" s="408">
        <f t="shared" si="32"/>
        <v>0</v>
      </c>
    </row>
    <row r="151" spans="1:24" ht="24.95" hidden="1" customHeight="1" thickBot="1" x14ac:dyDescent="0.25">
      <c r="A151" s="39"/>
      <c r="B151" s="47"/>
      <c r="C151" s="48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424"/>
      <c r="W151" s="408">
        <f t="shared" si="32"/>
        <v>0</v>
      </c>
    </row>
    <row r="152" spans="1:24" ht="24.95" hidden="1" customHeight="1" thickTop="1" thickBot="1" x14ac:dyDescent="0.25">
      <c r="A152" s="46"/>
      <c r="B152" s="42"/>
      <c r="C152" s="43" t="s">
        <v>31</v>
      </c>
      <c r="D152" s="150">
        <f t="shared" ref="D152:O152" si="33">SUM(D136:D151)</f>
        <v>0</v>
      </c>
      <c r="E152" s="150">
        <f t="shared" si="33"/>
        <v>0</v>
      </c>
      <c r="F152" s="150">
        <f t="shared" si="33"/>
        <v>0</v>
      </c>
      <c r="G152" s="150">
        <f t="shared" si="33"/>
        <v>0</v>
      </c>
      <c r="H152" s="150">
        <f t="shared" si="33"/>
        <v>0</v>
      </c>
      <c r="I152" s="150">
        <f t="shared" si="33"/>
        <v>0</v>
      </c>
      <c r="J152" s="150">
        <f t="shared" si="33"/>
        <v>0</v>
      </c>
      <c r="K152" s="150">
        <f t="shared" si="33"/>
        <v>0</v>
      </c>
      <c r="L152" s="150">
        <f t="shared" si="33"/>
        <v>0</v>
      </c>
      <c r="M152" s="150">
        <f t="shared" si="33"/>
        <v>0</v>
      </c>
      <c r="N152" s="150">
        <f t="shared" si="33"/>
        <v>0</v>
      </c>
      <c r="O152" s="150">
        <f t="shared" si="33"/>
        <v>0</v>
      </c>
      <c r="P152" s="150"/>
      <c r="Q152" s="150">
        <f>SUM(Q136:Q151)</f>
        <v>0</v>
      </c>
      <c r="R152" s="150">
        <f>SUM(R136:R151)</f>
        <v>0</v>
      </c>
      <c r="S152" s="150">
        <f>SUM(S136:S151)</f>
        <v>0</v>
      </c>
      <c r="T152" s="150">
        <f>SUM(T136:T151)</f>
        <v>0</v>
      </c>
      <c r="U152" s="150">
        <f>SUM(U136:U151)</f>
        <v>0</v>
      </c>
      <c r="V152" s="264"/>
      <c r="W152" s="413">
        <f>O152+U152</f>
        <v>0</v>
      </c>
    </row>
    <row r="153" spans="1:24" ht="9.9499999999999993" hidden="1" customHeight="1" thickTop="1" x14ac:dyDescent="0.2">
      <c r="A153" s="175"/>
      <c r="B153" s="176"/>
      <c r="C153" s="177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425"/>
      <c r="V153" s="179"/>
      <c r="W153" s="414"/>
    </row>
    <row r="154" spans="1:24" ht="24.95" hidden="1" customHeight="1" x14ac:dyDescent="0.2">
      <c r="A154" s="180"/>
      <c r="B154" s="181"/>
      <c r="C154" s="189" t="s">
        <v>57</v>
      </c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>
        <f>SUM(D154:N154)</f>
        <v>0</v>
      </c>
      <c r="P154" s="182"/>
      <c r="Q154" s="182"/>
      <c r="R154" s="182"/>
      <c r="S154" s="182"/>
      <c r="T154" s="182"/>
      <c r="U154" s="426">
        <f>SUM(Q154:T154)</f>
        <v>0</v>
      </c>
      <c r="V154" s="427"/>
      <c r="W154" s="408">
        <f>O154+U154</f>
        <v>0</v>
      </c>
    </row>
    <row r="155" spans="1:24" ht="9.9499999999999993" hidden="1" customHeight="1" thickBot="1" x14ac:dyDescent="0.25">
      <c r="A155" s="184"/>
      <c r="B155" s="185"/>
      <c r="C155" s="186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428"/>
      <c r="V155" s="188"/>
      <c r="W155" s="415"/>
    </row>
    <row r="156" spans="1:24" ht="24.95" hidden="1" customHeight="1" thickTop="1" thickBot="1" x14ac:dyDescent="0.25">
      <c r="A156" s="89"/>
      <c r="B156" s="89" t="s">
        <v>83</v>
      </c>
      <c r="C156" s="43" t="s">
        <v>136</v>
      </c>
      <c r="D156" s="193">
        <f t="shared" ref="D156:O156" si="34">D110+D134+D152</f>
        <v>2574034.2770000002</v>
      </c>
      <c r="E156" s="193">
        <f t="shared" si="34"/>
        <v>0</v>
      </c>
      <c r="F156" s="193">
        <f t="shared" si="34"/>
        <v>53832</v>
      </c>
      <c r="G156" s="193">
        <f t="shared" si="34"/>
        <v>9541503</v>
      </c>
      <c r="H156" s="193">
        <f t="shared" si="34"/>
        <v>2530367.8079999997</v>
      </c>
      <c r="I156" s="193">
        <f t="shared" si="34"/>
        <v>1800</v>
      </c>
      <c r="J156" s="193">
        <f t="shared" si="34"/>
        <v>1146000</v>
      </c>
      <c r="K156" s="193">
        <f t="shared" si="34"/>
        <v>4683689</v>
      </c>
      <c r="L156" s="193">
        <f t="shared" si="34"/>
        <v>1785210</v>
      </c>
      <c r="M156" s="193">
        <f t="shared" si="34"/>
        <v>10000</v>
      </c>
      <c r="N156" s="193">
        <f t="shared" si="34"/>
        <v>0</v>
      </c>
      <c r="O156" s="193">
        <f t="shared" si="34"/>
        <v>22326436.085000001</v>
      </c>
      <c r="P156" s="193"/>
      <c r="Q156" s="193">
        <f>Q110+Q134+Q152</f>
        <v>2382040</v>
      </c>
      <c r="R156" s="193">
        <f>R110+R134+R152</f>
        <v>5458525.6940000001</v>
      </c>
      <c r="S156" s="193">
        <f>S110+S134+S152</f>
        <v>0</v>
      </c>
      <c r="T156" s="193">
        <f>T110+T134+T152</f>
        <v>0</v>
      </c>
      <c r="U156" s="193">
        <f>U110+U134+U152</f>
        <v>7840565.6940000001</v>
      </c>
      <c r="V156" s="265"/>
      <c r="W156" s="410">
        <f>W110+W134+W152</f>
        <v>30167001.778999999</v>
      </c>
      <c r="X156" s="28"/>
    </row>
    <row r="157" spans="1:24" ht="24.95" hidden="1" customHeight="1" thickTop="1" x14ac:dyDescent="0.2">
      <c r="A157" s="547"/>
      <c r="B157" s="547" t="s">
        <v>170</v>
      </c>
      <c r="C157" s="561" t="s">
        <v>18</v>
      </c>
      <c r="D157" s="548">
        <f t="shared" ref="D157:U157" si="35">D156</f>
        <v>2574034.2770000002</v>
      </c>
      <c r="E157" s="548">
        <f t="shared" si="35"/>
        <v>0</v>
      </c>
      <c r="F157" s="548">
        <f t="shared" si="35"/>
        <v>53832</v>
      </c>
      <c r="G157" s="548">
        <f t="shared" si="35"/>
        <v>9541503</v>
      </c>
      <c r="H157" s="548">
        <f t="shared" si="35"/>
        <v>2530367.8079999997</v>
      </c>
      <c r="I157" s="548">
        <f t="shared" si="35"/>
        <v>1800</v>
      </c>
      <c r="J157" s="548">
        <f t="shared" si="35"/>
        <v>1146000</v>
      </c>
      <c r="K157" s="548">
        <f t="shared" si="35"/>
        <v>4683689</v>
      </c>
      <c r="L157" s="548">
        <f t="shared" si="35"/>
        <v>1785210</v>
      </c>
      <c r="M157" s="548">
        <f t="shared" si="35"/>
        <v>10000</v>
      </c>
      <c r="N157" s="548">
        <f t="shared" si="35"/>
        <v>0</v>
      </c>
      <c r="O157" s="548">
        <f t="shared" si="35"/>
        <v>22326436.085000001</v>
      </c>
      <c r="P157" s="548"/>
      <c r="Q157" s="548">
        <f t="shared" si="35"/>
        <v>2382040</v>
      </c>
      <c r="R157" s="548">
        <f t="shared" si="35"/>
        <v>5458525.6940000001</v>
      </c>
      <c r="S157" s="548">
        <f t="shared" si="35"/>
        <v>0</v>
      </c>
      <c r="T157" s="548">
        <f t="shared" si="35"/>
        <v>0</v>
      </c>
      <c r="U157" s="548">
        <f t="shared" si="35"/>
        <v>7840565.6940000001</v>
      </c>
      <c r="V157" s="549"/>
      <c r="W157" s="550">
        <f>O157+U157+W154</f>
        <v>30167001.778999999</v>
      </c>
    </row>
    <row r="158" spans="1:24" ht="20.100000000000001" hidden="1" customHeight="1" thickTop="1" x14ac:dyDescent="0.2">
      <c r="A158" s="39">
        <v>1</v>
      </c>
      <c r="B158" s="559"/>
      <c r="C158" s="32"/>
      <c r="D158" s="157"/>
      <c r="E158" s="157"/>
      <c r="G158" s="157"/>
      <c r="H158" s="165"/>
      <c r="I158" s="157"/>
      <c r="J158" s="157"/>
      <c r="K158" s="157"/>
      <c r="L158" s="157"/>
      <c r="M158" s="157"/>
      <c r="N158" s="157"/>
      <c r="O158" s="157">
        <f>SUM(D158:N158)</f>
        <v>0</v>
      </c>
      <c r="P158" s="157"/>
      <c r="Q158" s="157"/>
      <c r="R158" s="157"/>
      <c r="S158" s="157"/>
      <c r="T158" s="157"/>
      <c r="U158" s="157">
        <f t="shared" ref="U158:U185" si="36">SUM(Q158:T158)</f>
        <v>0</v>
      </c>
      <c r="V158" s="419"/>
      <c r="W158" s="408">
        <f t="shared" ref="W158:W185" si="37">O158+U158</f>
        <v>0</v>
      </c>
    </row>
    <row r="159" spans="1:24" ht="20.100000000000001" hidden="1" customHeight="1" x14ac:dyDescent="0.2">
      <c r="A159" s="39">
        <v>2</v>
      </c>
      <c r="B159" s="49"/>
      <c r="C159" s="32"/>
      <c r="D159" s="157"/>
      <c r="E159" s="157"/>
      <c r="G159" s="157"/>
      <c r="H159" s="165"/>
      <c r="I159" s="157"/>
      <c r="J159" s="157"/>
      <c r="K159" s="157"/>
      <c r="L159" s="157"/>
      <c r="M159" s="157"/>
      <c r="N159" s="157"/>
      <c r="O159" s="157">
        <f>SUM(D159:N159)</f>
        <v>0</v>
      </c>
      <c r="P159" s="157"/>
      <c r="Q159" s="157"/>
      <c r="R159" s="157"/>
      <c r="S159" s="157"/>
      <c r="T159" s="157"/>
      <c r="U159" s="157">
        <f t="shared" si="36"/>
        <v>0</v>
      </c>
      <c r="V159" s="419"/>
      <c r="W159" s="408">
        <f t="shared" si="37"/>
        <v>0</v>
      </c>
    </row>
    <row r="160" spans="1:24" ht="20.100000000000001" hidden="1" customHeight="1" x14ac:dyDescent="0.2">
      <c r="A160" s="168">
        <v>3</v>
      </c>
      <c r="B160" s="279"/>
      <c r="C160" s="32"/>
      <c r="D160" s="157"/>
      <c r="E160" s="157"/>
      <c r="G160" s="157"/>
      <c r="H160" s="165"/>
      <c r="I160" s="157"/>
      <c r="J160" s="157"/>
      <c r="K160" s="157"/>
      <c r="L160" s="157"/>
      <c r="M160" s="157"/>
      <c r="N160" s="157"/>
      <c r="O160" s="157">
        <f>SUM(D160:N160)</f>
        <v>0</v>
      </c>
      <c r="P160" s="157"/>
      <c r="Q160" s="157"/>
      <c r="R160" s="157"/>
      <c r="S160" s="157"/>
      <c r="T160" s="157"/>
      <c r="U160" s="157">
        <f>SUM(Q160:T160)</f>
        <v>0</v>
      </c>
      <c r="V160" s="419"/>
      <c r="W160" s="408">
        <f>O160+U160</f>
        <v>0</v>
      </c>
    </row>
    <row r="161" spans="1:23" ht="20.100000000000001" hidden="1" customHeight="1" x14ac:dyDescent="0.2">
      <c r="A161" s="39"/>
      <c r="B161" s="49"/>
      <c r="C161" s="32"/>
      <c r="D161" s="165"/>
      <c r="E161" s="157"/>
      <c r="F161" s="157"/>
      <c r="G161" s="157"/>
      <c r="H161" s="165"/>
      <c r="I161" s="157"/>
      <c r="J161" s="157"/>
      <c r="K161" s="157"/>
      <c r="L161" s="157"/>
      <c r="M161" s="157"/>
      <c r="N161" s="157"/>
      <c r="O161" s="157">
        <f t="shared" ref="O161:O185" si="38">SUM(D161:N161)</f>
        <v>0</v>
      </c>
      <c r="P161" s="157"/>
      <c r="Q161" s="157"/>
      <c r="R161" s="157"/>
      <c r="S161" s="157"/>
      <c r="T161" s="157"/>
      <c r="U161" s="157">
        <f t="shared" si="36"/>
        <v>0</v>
      </c>
      <c r="V161" s="419"/>
      <c r="W161" s="408">
        <f t="shared" si="37"/>
        <v>0</v>
      </c>
    </row>
    <row r="162" spans="1:23" ht="20.100000000000001" hidden="1" customHeight="1" x14ac:dyDescent="0.2">
      <c r="A162" s="39"/>
      <c r="B162" s="49"/>
      <c r="C162" s="32"/>
      <c r="D162" s="165"/>
      <c r="E162" s="157"/>
      <c r="F162" s="157"/>
      <c r="G162" s="157"/>
      <c r="H162" s="165"/>
      <c r="I162" s="157"/>
      <c r="J162" s="157"/>
      <c r="K162" s="157"/>
      <c r="L162" s="157"/>
      <c r="M162" s="157"/>
      <c r="N162" s="323"/>
      <c r="O162" s="157">
        <f t="shared" si="38"/>
        <v>0</v>
      </c>
      <c r="P162" s="157"/>
      <c r="Q162" s="157"/>
      <c r="R162" s="157"/>
      <c r="S162" s="157"/>
      <c r="T162" s="157"/>
      <c r="U162" s="157">
        <f t="shared" si="36"/>
        <v>0</v>
      </c>
      <c r="V162" s="419"/>
      <c r="W162" s="408">
        <f t="shared" si="37"/>
        <v>0</v>
      </c>
    </row>
    <row r="163" spans="1:23" ht="20.100000000000001" hidden="1" customHeight="1" x14ac:dyDescent="0.2">
      <c r="A163" s="39"/>
      <c r="B163" s="49"/>
      <c r="C163" s="32"/>
      <c r="D163" s="165"/>
      <c r="E163" s="157"/>
      <c r="F163" s="157"/>
      <c r="G163" s="157"/>
      <c r="H163" s="165"/>
      <c r="I163" s="157"/>
      <c r="J163" s="157"/>
      <c r="K163" s="157"/>
      <c r="L163" s="157"/>
      <c r="M163" s="157"/>
      <c r="O163" s="157">
        <f t="shared" si="38"/>
        <v>0</v>
      </c>
      <c r="P163" s="157"/>
      <c r="Q163" s="157"/>
      <c r="R163" s="157"/>
      <c r="S163" s="157"/>
      <c r="T163" s="157"/>
      <c r="U163" s="157">
        <f t="shared" si="36"/>
        <v>0</v>
      </c>
      <c r="V163" s="419"/>
      <c r="W163" s="408">
        <f t="shared" si="37"/>
        <v>0</v>
      </c>
    </row>
    <row r="164" spans="1:23" ht="20.100000000000001" hidden="1" customHeight="1" x14ac:dyDescent="0.2">
      <c r="A164" s="39"/>
      <c r="B164" s="279"/>
      <c r="C164" s="32"/>
      <c r="D164" s="165"/>
      <c r="E164" s="157"/>
      <c r="F164" s="157"/>
      <c r="G164" s="157"/>
      <c r="H164" s="165"/>
      <c r="I164" s="157"/>
      <c r="J164" s="157"/>
      <c r="K164" s="157"/>
      <c r="L164" s="157"/>
      <c r="M164" s="157"/>
      <c r="N164" s="157"/>
      <c r="O164" s="157">
        <f t="shared" si="38"/>
        <v>0</v>
      </c>
      <c r="P164" s="157"/>
      <c r="Q164" s="157"/>
      <c r="R164" s="157"/>
      <c r="S164" s="157"/>
      <c r="T164" s="157"/>
      <c r="U164" s="157">
        <f t="shared" si="36"/>
        <v>0</v>
      </c>
      <c r="V164" s="419"/>
      <c r="W164" s="408">
        <f t="shared" si="37"/>
        <v>0</v>
      </c>
    </row>
    <row r="165" spans="1:23" ht="20.100000000000001" hidden="1" customHeight="1" x14ac:dyDescent="0.2">
      <c r="A165" s="39"/>
      <c r="B165" s="49"/>
      <c r="C165" s="32"/>
      <c r="D165" s="165"/>
      <c r="E165" s="157"/>
      <c r="F165" s="157"/>
      <c r="G165" s="157"/>
      <c r="H165" s="165"/>
      <c r="I165" s="157"/>
      <c r="J165" s="157"/>
      <c r="K165" s="157"/>
      <c r="L165" s="157"/>
      <c r="M165" s="157"/>
      <c r="N165" s="157"/>
      <c r="O165" s="157">
        <f t="shared" si="38"/>
        <v>0</v>
      </c>
      <c r="P165" s="157"/>
      <c r="Q165" s="157"/>
      <c r="R165" s="157"/>
      <c r="S165" s="157"/>
      <c r="T165" s="157"/>
      <c r="U165" s="157">
        <f t="shared" si="36"/>
        <v>0</v>
      </c>
      <c r="V165" s="419"/>
      <c r="W165" s="408">
        <f t="shared" si="37"/>
        <v>0</v>
      </c>
    </row>
    <row r="166" spans="1:23" ht="20.100000000000001" hidden="1" customHeight="1" x14ac:dyDescent="0.2">
      <c r="A166" s="39"/>
      <c r="B166" s="49"/>
      <c r="C166" s="32"/>
      <c r="D166" s="165"/>
      <c r="E166" s="157"/>
      <c r="F166" s="157"/>
      <c r="G166" s="157"/>
      <c r="H166" s="165"/>
      <c r="I166" s="157"/>
      <c r="J166" s="157"/>
      <c r="K166" s="157"/>
      <c r="L166" s="157"/>
      <c r="M166" s="157"/>
      <c r="N166" s="157"/>
      <c r="O166" s="157">
        <f t="shared" si="38"/>
        <v>0</v>
      </c>
      <c r="P166" s="157"/>
      <c r="Q166" s="157"/>
      <c r="R166" s="157"/>
      <c r="S166" s="157"/>
      <c r="T166" s="157"/>
      <c r="U166" s="157">
        <f t="shared" si="36"/>
        <v>0</v>
      </c>
      <c r="V166" s="419"/>
      <c r="W166" s="408">
        <f t="shared" si="37"/>
        <v>0</v>
      </c>
    </row>
    <row r="167" spans="1:23" ht="20.100000000000001" hidden="1" customHeight="1" x14ac:dyDescent="0.2">
      <c r="A167" s="39"/>
      <c r="B167" s="49"/>
      <c r="C167" s="32"/>
      <c r="D167" s="165"/>
      <c r="E167" s="157"/>
      <c r="F167" s="157"/>
      <c r="G167" s="157"/>
      <c r="H167" s="165"/>
      <c r="I167" s="157"/>
      <c r="J167" s="157"/>
      <c r="K167" s="157"/>
      <c r="M167" s="157"/>
      <c r="N167" s="157"/>
      <c r="O167" s="157">
        <f t="shared" si="38"/>
        <v>0</v>
      </c>
      <c r="P167" s="157"/>
      <c r="Q167" s="157"/>
      <c r="R167" s="157"/>
      <c r="S167" s="157"/>
      <c r="T167" s="157"/>
      <c r="U167" s="157">
        <f t="shared" si="36"/>
        <v>0</v>
      </c>
      <c r="V167" s="419"/>
      <c r="W167" s="408">
        <f t="shared" si="37"/>
        <v>0</v>
      </c>
    </row>
    <row r="168" spans="1:23" ht="20.100000000000001" hidden="1" customHeight="1" x14ac:dyDescent="0.2">
      <c r="A168" s="39"/>
      <c r="B168" s="387"/>
      <c r="C168" s="32"/>
      <c r="D168" s="165"/>
      <c r="E168" s="157"/>
      <c r="F168" s="157"/>
      <c r="G168" s="157"/>
      <c r="H168" s="165"/>
      <c r="I168" s="157"/>
      <c r="J168" s="157"/>
      <c r="K168" s="157"/>
      <c r="M168" s="157"/>
      <c r="N168" s="157"/>
      <c r="O168" s="157">
        <f t="shared" si="38"/>
        <v>0</v>
      </c>
      <c r="P168" s="157"/>
      <c r="Q168" s="157"/>
      <c r="R168" s="157"/>
      <c r="S168" s="157"/>
      <c r="T168" s="157"/>
      <c r="U168" s="157">
        <f t="shared" si="36"/>
        <v>0</v>
      </c>
      <c r="V168" s="419"/>
      <c r="W168" s="408">
        <f t="shared" si="37"/>
        <v>0</v>
      </c>
    </row>
    <row r="169" spans="1:23" ht="20.100000000000001" hidden="1" customHeight="1" x14ac:dyDescent="0.2">
      <c r="A169" s="39"/>
      <c r="B169" s="387"/>
      <c r="C169" s="32"/>
      <c r="D169" s="165"/>
      <c r="E169" s="157"/>
      <c r="F169" s="157"/>
      <c r="G169" s="157"/>
      <c r="H169" s="165"/>
      <c r="I169" s="157"/>
      <c r="J169" s="157"/>
      <c r="K169" s="157"/>
      <c r="M169" s="157"/>
      <c r="N169" s="157"/>
      <c r="O169" s="157">
        <f t="shared" si="38"/>
        <v>0</v>
      </c>
      <c r="P169" s="157"/>
      <c r="Q169" s="157"/>
      <c r="R169" s="157"/>
      <c r="S169" s="157"/>
      <c r="T169" s="157"/>
      <c r="U169" s="157">
        <f t="shared" si="36"/>
        <v>0</v>
      </c>
      <c r="V169" s="419"/>
      <c r="W169" s="408">
        <f t="shared" si="37"/>
        <v>0</v>
      </c>
    </row>
    <row r="170" spans="1:23" ht="20.100000000000001" hidden="1" customHeight="1" x14ac:dyDescent="0.2">
      <c r="A170" s="39"/>
      <c r="B170" s="49"/>
      <c r="C170" s="32"/>
      <c r="D170" s="165"/>
      <c r="E170" s="157"/>
      <c r="F170" s="157"/>
      <c r="G170" s="157"/>
      <c r="H170" s="165"/>
      <c r="I170" s="157"/>
      <c r="J170" s="157"/>
      <c r="K170" s="157"/>
      <c r="L170" s="157"/>
      <c r="M170" s="157"/>
      <c r="N170" s="157"/>
      <c r="O170" s="157">
        <f t="shared" si="38"/>
        <v>0</v>
      </c>
      <c r="P170" s="157"/>
      <c r="Q170" s="157"/>
      <c r="R170" s="157"/>
      <c r="S170" s="157"/>
      <c r="T170" s="157"/>
      <c r="U170" s="157">
        <f t="shared" si="36"/>
        <v>0</v>
      </c>
      <c r="V170" s="430"/>
      <c r="W170" s="408">
        <f t="shared" si="37"/>
        <v>0</v>
      </c>
    </row>
    <row r="171" spans="1:23" ht="20.100000000000001" hidden="1" customHeight="1" x14ac:dyDescent="0.2">
      <c r="A171" s="39"/>
      <c r="B171" s="49"/>
      <c r="C171" s="32"/>
      <c r="D171" s="165"/>
      <c r="E171" s="157"/>
      <c r="F171" s="157"/>
      <c r="G171" s="157"/>
      <c r="H171" s="165"/>
      <c r="I171" s="157"/>
      <c r="J171" s="157"/>
      <c r="K171" s="157"/>
      <c r="L171" s="157"/>
      <c r="M171" s="157"/>
      <c r="N171" s="157"/>
      <c r="O171" s="157">
        <f t="shared" si="38"/>
        <v>0</v>
      </c>
      <c r="P171" s="157"/>
      <c r="Q171" s="157"/>
      <c r="R171" s="157"/>
      <c r="S171" s="157"/>
      <c r="T171" s="157"/>
      <c r="U171" s="157">
        <f t="shared" si="36"/>
        <v>0</v>
      </c>
      <c r="V171" s="419"/>
      <c r="W171" s="408">
        <f t="shared" si="37"/>
        <v>0</v>
      </c>
    </row>
    <row r="172" spans="1:23" ht="20.100000000000001" hidden="1" customHeight="1" x14ac:dyDescent="0.2">
      <c r="A172" s="39"/>
      <c r="B172" s="387"/>
      <c r="C172" s="32"/>
      <c r="D172" s="165"/>
      <c r="E172" s="157"/>
      <c r="F172" s="157"/>
      <c r="G172" s="157"/>
      <c r="H172" s="165"/>
      <c r="I172" s="157"/>
      <c r="J172" s="157"/>
      <c r="K172" s="157"/>
      <c r="L172" s="157"/>
      <c r="M172" s="157"/>
      <c r="N172" s="157"/>
      <c r="O172" s="157">
        <f t="shared" si="38"/>
        <v>0</v>
      </c>
      <c r="P172" s="157"/>
      <c r="Q172" s="157"/>
      <c r="R172" s="157"/>
      <c r="S172" s="157"/>
      <c r="T172" s="157"/>
      <c r="U172" s="157">
        <f t="shared" si="36"/>
        <v>0</v>
      </c>
      <c r="V172" s="419"/>
      <c r="W172" s="408">
        <f t="shared" si="37"/>
        <v>0</v>
      </c>
    </row>
    <row r="173" spans="1:23" ht="20.100000000000001" hidden="1" customHeight="1" x14ac:dyDescent="0.2">
      <c r="A173" s="39"/>
      <c r="B173" s="49"/>
      <c r="C173" s="32"/>
      <c r="D173" s="165"/>
      <c r="E173" s="157"/>
      <c r="F173" s="157"/>
      <c r="G173" s="157"/>
      <c r="H173" s="165"/>
      <c r="I173" s="157"/>
      <c r="J173" s="157"/>
      <c r="K173" s="157"/>
      <c r="L173" s="157"/>
      <c r="M173" s="157"/>
      <c r="N173" s="157"/>
      <c r="O173" s="157">
        <f t="shared" si="38"/>
        <v>0</v>
      </c>
      <c r="P173" s="157"/>
      <c r="Q173" s="157"/>
      <c r="R173" s="157"/>
      <c r="S173" s="157"/>
      <c r="T173" s="157"/>
      <c r="U173" s="157">
        <f t="shared" si="36"/>
        <v>0</v>
      </c>
      <c r="V173" s="419"/>
      <c r="W173" s="408">
        <f t="shared" si="37"/>
        <v>0</v>
      </c>
    </row>
    <row r="174" spans="1:23" ht="20.100000000000001" hidden="1" customHeight="1" x14ac:dyDescent="0.2">
      <c r="A174" s="39"/>
      <c r="B174" s="49"/>
      <c r="C174" s="32"/>
      <c r="D174" s="165"/>
      <c r="E174" s="157"/>
      <c r="F174" s="157"/>
      <c r="G174" s="157"/>
      <c r="H174" s="165"/>
      <c r="I174" s="157"/>
      <c r="J174" s="157"/>
      <c r="K174" s="157"/>
      <c r="L174" s="157"/>
      <c r="M174" s="157"/>
      <c r="N174" s="157"/>
      <c r="O174" s="157">
        <f t="shared" si="38"/>
        <v>0</v>
      </c>
      <c r="P174" s="157"/>
      <c r="Q174" s="157"/>
      <c r="R174" s="157"/>
      <c r="S174" s="157"/>
      <c r="T174" s="157"/>
      <c r="U174" s="157">
        <f t="shared" si="36"/>
        <v>0</v>
      </c>
      <c r="V174" s="419"/>
      <c r="W174" s="408">
        <f t="shared" si="37"/>
        <v>0</v>
      </c>
    </row>
    <row r="175" spans="1:23" ht="20.100000000000001" hidden="1" customHeight="1" x14ac:dyDescent="0.2">
      <c r="A175" s="39"/>
      <c r="B175" s="49"/>
      <c r="C175" s="32"/>
      <c r="D175" s="165"/>
      <c r="E175" s="157"/>
      <c r="F175" s="157"/>
      <c r="G175" s="157"/>
      <c r="H175" s="165"/>
      <c r="I175" s="157"/>
      <c r="J175" s="157"/>
      <c r="K175" s="157"/>
      <c r="L175" s="157"/>
      <c r="M175" s="157"/>
      <c r="N175" s="157"/>
      <c r="O175" s="157">
        <f t="shared" si="38"/>
        <v>0</v>
      </c>
      <c r="P175" s="157"/>
      <c r="Q175" s="157"/>
      <c r="R175" s="157"/>
      <c r="S175" s="157"/>
      <c r="T175" s="157"/>
      <c r="U175" s="157">
        <f t="shared" si="36"/>
        <v>0</v>
      </c>
      <c r="V175" s="419"/>
      <c r="W175" s="408">
        <f t="shared" si="37"/>
        <v>0</v>
      </c>
    </row>
    <row r="176" spans="1:23" ht="20.100000000000001" hidden="1" customHeight="1" x14ac:dyDescent="0.2">
      <c r="A176" s="39"/>
      <c r="B176" s="49"/>
      <c r="C176" s="32"/>
      <c r="D176" s="165"/>
      <c r="E176" s="157"/>
      <c r="F176" s="157"/>
      <c r="G176" s="157"/>
      <c r="H176" s="165"/>
      <c r="I176" s="157"/>
      <c r="J176" s="157"/>
      <c r="K176" s="157"/>
      <c r="L176" s="157"/>
      <c r="M176" s="157"/>
      <c r="N176" s="157"/>
      <c r="O176" s="157">
        <f t="shared" si="38"/>
        <v>0</v>
      </c>
      <c r="P176" s="157"/>
      <c r="Q176" s="157"/>
      <c r="R176" s="157"/>
      <c r="S176" s="157"/>
      <c r="T176" s="157"/>
      <c r="U176" s="157">
        <f t="shared" si="36"/>
        <v>0</v>
      </c>
      <c r="V176" s="419"/>
      <c r="W176" s="408">
        <f t="shared" si="37"/>
        <v>0</v>
      </c>
    </row>
    <row r="177" spans="1:23" ht="20.100000000000001" hidden="1" customHeight="1" x14ac:dyDescent="0.2">
      <c r="A177" s="39"/>
      <c r="B177" s="49"/>
      <c r="C177" s="32"/>
      <c r="D177" s="165"/>
      <c r="E177" s="157"/>
      <c r="F177" s="157"/>
      <c r="G177" s="157"/>
      <c r="H177" s="165"/>
      <c r="I177" s="157"/>
      <c r="J177" s="157"/>
      <c r="K177" s="157"/>
      <c r="L177" s="157"/>
      <c r="M177" s="157"/>
      <c r="N177" s="157"/>
      <c r="O177" s="157">
        <f t="shared" si="38"/>
        <v>0</v>
      </c>
      <c r="P177" s="157"/>
      <c r="Q177" s="157"/>
      <c r="R177" s="157"/>
      <c r="S177" s="157"/>
      <c r="T177" s="157"/>
      <c r="U177" s="157">
        <f t="shared" si="36"/>
        <v>0</v>
      </c>
      <c r="V177" s="419"/>
      <c r="W177" s="408">
        <f t="shared" si="37"/>
        <v>0</v>
      </c>
    </row>
    <row r="178" spans="1:23" ht="20.100000000000001" hidden="1" customHeight="1" x14ac:dyDescent="0.2">
      <c r="A178" s="39"/>
      <c r="B178" s="49"/>
      <c r="C178" s="32"/>
      <c r="D178" s="165"/>
      <c r="E178" s="157"/>
      <c r="F178" s="157"/>
      <c r="G178" s="157"/>
      <c r="H178" s="165"/>
      <c r="I178" s="157"/>
      <c r="J178" s="157"/>
      <c r="K178" s="157"/>
      <c r="L178" s="157"/>
      <c r="M178" s="157"/>
      <c r="N178" s="157"/>
      <c r="O178" s="157">
        <f t="shared" si="38"/>
        <v>0</v>
      </c>
      <c r="P178" s="157"/>
      <c r="Q178" s="157"/>
      <c r="R178" s="157"/>
      <c r="S178" s="157"/>
      <c r="T178" s="157"/>
      <c r="U178" s="157">
        <f t="shared" si="36"/>
        <v>0</v>
      </c>
      <c r="V178" s="419"/>
      <c r="W178" s="408">
        <f t="shared" si="37"/>
        <v>0</v>
      </c>
    </row>
    <row r="179" spans="1:23" ht="20.100000000000001" hidden="1" customHeight="1" x14ac:dyDescent="0.2">
      <c r="A179" s="39"/>
      <c r="B179" s="49"/>
      <c r="C179" s="32"/>
      <c r="D179" s="165"/>
      <c r="E179" s="157"/>
      <c r="F179" s="157"/>
      <c r="G179" s="157"/>
      <c r="H179" s="165"/>
      <c r="I179" s="157"/>
      <c r="J179" s="157"/>
      <c r="K179" s="157"/>
      <c r="L179" s="157"/>
      <c r="M179" s="157"/>
      <c r="N179" s="157"/>
      <c r="O179" s="157">
        <f t="shared" si="38"/>
        <v>0</v>
      </c>
      <c r="P179" s="157"/>
      <c r="Q179" s="157"/>
      <c r="R179" s="157"/>
      <c r="S179" s="157"/>
      <c r="T179" s="157"/>
      <c r="U179" s="157">
        <f t="shared" si="36"/>
        <v>0</v>
      </c>
      <c r="V179" s="419"/>
      <c r="W179" s="408">
        <f t="shared" si="37"/>
        <v>0</v>
      </c>
    </row>
    <row r="180" spans="1:23" ht="20.100000000000001" hidden="1" customHeight="1" x14ac:dyDescent="0.2">
      <c r="A180" s="39"/>
      <c r="B180" s="49"/>
      <c r="C180" s="32"/>
      <c r="D180" s="165"/>
      <c r="E180" s="157"/>
      <c r="F180" s="157"/>
      <c r="G180" s="157"/>
      <c r="H180" s="165"/>
      <c r="I180" s="157"/>
      <c r="J180" s="157"/>
      <c r="K180" s="157"/>
      <c r="L180" s="157"/>
      <c r="M180" s="157"/>
      <c r="N180" s="157"/>
      <c r="O180" s="157">
        <f t="shared" si="38"/>
        <v>0</v>
      </c>
      <c r="P180" s="157"/>
      <c r="Q180" s="157"/>
      <c r="R180" s="157"/>
      <c r="S180" s="157"/>
      <c r="T180" s="157"/>
      <c r="U180" s="157">
        <f t="shared" si="36"/>
        <v>0</v>
      </c>
      <c r="V180" s="419"/>
      <c r="W180" s="408">
        <f t="shared" si="37"/>
        <v>0</v>
      </c>
    </row>
    <row r="181" spans="1:23" ht="20.100000000000001" hidden="1" customHeight="1" x14ac:dyDescent="0.2">
      <c r="A181" s="39"/>
      <c r="B181" s="49"/>
      <c r="C181" s="32"/>
      <c r="D181" s="165"/>
      <c r="E181" s="157"/>
      <c r="F181" s="157"/>
      <c r="G181" s="157"/>
      <c r="H181" s="165"/>
      <c r="I181" s="157"/>
      <c r="J181" s="157"/>
      <c r="K181" s="157"/>
      <c r="L181" s="157"/>
      <c r="M181" s="157"/>
      <c r="N181" s="157"/>
      <c r="O181" s="157">
        <f t="shared" si="38"/>
        <v>0</v>
      </c>
      <c r="P181" s="157"/>
      <c r="Q181" s="157"/>
      <c r="R181" s="157"/>
      <c r="S181" s="157"/>
      <c r="T181" s="157"/>
      <c r="U181" s="157">
        <f t="shared" si="36"/>
        <v>0</v>
      </c>
      <c r="V181" s="419"/>
      <c r="W181" s="408">
        <f t="shared" si="37"/>
        <v>0</v>
      </c>
    </row>
    <row r="182" spans="1:23" ht="20.100000000000001" hidden="1" customHeight="1" x14ac:dyDescent="0.2">
      <c r="A182" s="39"/>
      <c r="B182" s="49"/>
      <c r="C182" s="38"/>
      <c r="D182" s="165"/>
      <c r="E182" s="157"/>
      <c r="F182" s="157"/>
      <c r="G182" s="157"/>
      <c r="H182" s="165"/>
      <c r="I182" s="157"/>
      <c r="J182" s="157"/>
      <c r="K182" s="157"/>
      <c r="L182" s="157"/>
      <c r="M182" s="157"/>
      <c r="N182" s="157"/>
      <c r="O182" s="157">
        <f t="shared" si="38"/>
        <v>0</v>
      </c>
      <c r="P182" s="157"/>
      <c r="Q182" s="157"/>
      <c r="R182" s="157"/>
      <c r="S182" s="157"/>
      <c r="T182" s="157"/>
      <c r="U182" s="157">
        <f t="shared" si="36"/>
        <v>0</v>
      </c>
      <c r="V182" s="419"/>
      <c r="W182" s="408">
        <f t="shared" si="37"/>
        <v>0</v>
      </c>
    </row>
    <row r="183" spans="1:23" ht="20.100000000000001" hidden="1" customHeight="1" x14ac:dyDescent="0.2">
      <c r="A183" s="39"/>
      <c r="B183" s="49"/>
      <c r="C183" s="32"/>
      <c r="D183" s="165"/>
      <c r="E183" s="157"/>
      <c r="F183" s="157"/>
      <c r="G183" s="157"/>
      <c r="H183" s="165"/>
      <c r="I183" s="157"/>
      <c r="J183" s="157"/>
      <c r="K183" s="157"/>
      <c r="L183" s="157"/>
      <c r="M183" s="157"/>
      <c r="N183" s="157"/>
      <c r="O183" s="157">
        <f t="shared" si="38"/>
        <v>0</v>
      </c>
      <c r="P183" s="157"/>
      <c r="Q183" s="157"/>
      <c r="R183" s="157"/>
      <c r="S183" s="157"/>
      <c r="T183" s="157"/>
      <c r="U183" s="157">
        <f t="shared" si="36"/>
        <v>0</v>
      </c>
      <c r="V183" s="419"/>
      <c r="W183" s="408">
        <f t="shared" si="37"/>
        <v>0</v>
      </c>
    </row>
    <row r="184" spans="1:23" ht="9.9499999999999993" hidden="1" customHeight="1" x14ac:dyDescent="0.2">
      <c r="A184" s="39"/>
      <c r="B184" s="49"/>
      <c r="C184" s="32"/>
      <c r="D184" s="165"/>
      <c r="E184" s="157"/>
      <c r="F184" s="157"/>
      <c r="G184" s="157"/>
      <c r="H184" s="165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>
        <f t="shared" si="36"/>
        <v>0</v>
      </c>
      <c r="V184" s="419"/>
      <c r="W184" s="408">
        <f t="shared" si="37"/>
        <v>0</v>
      </c>
    </row>
    <row r="185" spans="1:23" ht="20.100000000000001" hidden="1" customHeight="1" thickTop="1" x14ac:dyDescent="0.2">
      <c r="A185" s="39"/>
      <c r="B185" s="49"/>
      <c r="C185" s="32" t="s">
        <v>57</v>
      </c>
      <c r="D185" s="165"/>
      <c r="E185" s="157"/>
      <c r="F185" s="157"/>
      <c r="G185" s="157"/>
      <c r="H185" s="165"/>
      <c r="I185" s="157"/>
      <c r="J185" s="157"/>
      <c r="K185" s="157"/>
      <c r="L185" s="157"/>
      <c r="M185" s="157"/>
      <c r="N185" s="157"/>
      <c r="O185" s="157">
        <f t="shared" si="38"/>
        <v>0</v>
      </c>
      <c r="P185" s="157"/>
      <c r="Q185" s="157"/>
      <c r="R185" s="157"/>
      <c r="S185" s="157"/>
      <c r="T185" s="157"/>
      <c r="U185" s="157">
        <f t="shared" si="36"/>
        <v>0</v>
      </c>
      <c r="V185" s="419"/>
      <c r="W185" s="408">
        <f t="shared" si="37"/>
        <v>0</v>
      </c>
    </row>
    <row r="186" spans="1:23" ht="9.9499999999999993" hidden="1" customHeight="1" thickBot="1" x14ac:dyDescent="0.25">
      <c r="A186" s="39"/>
      <c r="B186" s="49"/>
      <c r="C186" s="301"/>
      <c r="D186" s="165"/>
      <c r="E186" s="157"/>
      <c r="F186" s="157"/>
      <c r="G186" s="157"/>
      <c r="H186" s="165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419"/>
      <c r="W186" s="408"/>
    </row>
    <row r="187" spans="1:23" ht="24.95" hidden="1" customHeight="1" thickTop="1" thickBot="1" x14ac:dyDescent="0.25">
      <c r="A187" s="46"/>
      <c r="B187" s="250" t="s">
        <v>171</v>
      </c>
      <c r="C187" s="43" t="s">
        <v>32</v>
      </c>
      <c r="D187" s="166">
        <f>SUM(D158:D186)</f>
        <v>0</v>
      </c>
      <c r="E187" s="166">
        <f t="shared" ref="E187:U187" si="39">SUM(E158:E186)</f>
        <v>0</v>
      </c>
      <c r="F187" s="166">
        <f t="shared" si="39"/>
        <v>0</v>
      </c>
      <c r="G187" s="166">
        <f t="shared" si="39"/>
        <v>0</v>
      </c>
      <c r="H187" s="166">
        <f t="shared" si="39"/>
        <v>0</v>
      </c>
      <c r="I187" s="166">
        <f t="shared" si="39"/>
        <v>0</v>
      </c>
      <c r="J187" s="166">
        <f t="shared" si="39"/>
        <v>0</v>
      </c>
      <c r="K187" s="166">
        <f t="shared" si="39"/>
        <v>0</v>
      </c>
      <c r="L187" s="166">
        <f t="shared" si="39"/>
        <v>0</v>
      </c>
      <c r="M187" s="388">
        <f t="shared" si="39"/>
        <v>0</v>
      </c>
      <c r="N187" s="166">
        <f t="shared" si="39"/>
        <v>0</v>
      </c>
      <c r="O187" s="166">
        <f t="shared" si="39"/>
        <v>0</v>
      </c>
      <c r="P187" s="166"/>
      <c r="Q187" s="166">
        <f t="shared" si="39"/>
        <v>0</v>
      </c>
      <c r="R187" s="194">
        <f t="shared" si="39"/>
        <v>0</v>
      </c>
      <c r="S187" s="194">
        <f t="shared" si="39"/>
        <v>0</v>
      </c>
      <c r="T187" s="166">
        <f t="shared" si="39"/>
        <v>0</v>
      </c>
      <c r="U187" s="166">
        <f t="shared" si="39"/>
        <v>0</v>
      </c>
      <c r="V187" s="155"/>
      <c r="W187" s="416">
        <f>O187+U187</f>
        <v>0</v>
      </c>
    </row>
    <row r="188" spans="1:23" ht="24.95" hidden="1" customHeight="1" thickTop="1" thickBot="1" x14ac:dyDescent="0.25">
      <c r="A188" s="46"/>
      <c r="B188" s="575" t="s">
        <v>170</v>
      </c>
      <c r="C188" s="43" t="s">
        <v>137</v>
      </c>
      <c r="D188" s="193">
        <f t="shared" ref="D188:W188" si="40">D157+D187</f>
        <v>2574034.2770000002</v>
      </c>
      <c r="E188" s="193">
        <f t="shared" si="40"/>
        <v>0</v>
      </c>
      <c r="F188" s="193">
        <f t="shared" si="40"/>
        <v>53832</v>
      </c>
      <c r="G188" s="193">
        <f t="shared" si="40"/>
        <v>9541503</v>
      </c>
      <c r="H188" s="193">
        <f t="shared" si="40"/>
        <v>2530367.8079999997</v>
      </c>
      <c r="I188" s="193">
        <f t="shared" si="40"/>
        <v>1800</v>
      </c>
      <c r="J188" s="193">
        <f t="shared" si="40"/>
        <v>1146000</v>
      </c>
      <c r="K188" s="193">
        <f t="shared" si="40"/>
        <v>4683689</v>
      </c>
      <c r="L188" s="193">
        <f t="shared" si="40"/>
        <v>1785210</v>
      </c>
      <c r="M188" s="193">
        <f t="shared" si="40"/>
        <v>10000</v>
      </c>
      <c r="N188" s="193">
        <f t="shared" si="40"/>
        <v>0</v>
      </c>
      <c r="O188" s="193">
        <f t="shared" si="40"/>
        <v>22326436.085000001</v>
      </c>
      <c r="P188" s="193"/>
      <c r="Q188" s="193">
        <f t="shared" si="40"/>
        <v>2382040</v>
      </c>
      <c r="R188" s="193">
        <f t="shared" si="40"/>
        <v>5458525.6940000001</v>
      </c>
      <c r="S188" s="193">
        <f t="shared" si="40"/>
        <v>0</v>
      </c>
      <c r="T188" s="193">
        <f t="shared" si="40"/>
        <v>0</v>
      </c>
      <c r="U188" s="376">
        <f t="shared" si="40"/>
        <v>7840565.6940000001</v>
      </c>
      <c r="V188" s="431"/>
      <c r="W188" s="416">
        <f t="shared" si="40"/>
        <v>30167001.778999999</v>
      </c>
    </row>
    <row r="189" spans="1:23" ht="24.95" hidden="1" customHeight="1" thickTop="1" x14ac:dyDescent="0.2">
      <c r="A189" s="576"/>
      <c r="B189" s="503" t="s">
        <v>174</v>
      </c>
      <c r="C189" s="560" t="s">
        <v>18</v>
      </c>
      <c r="D189" s="548">
        <f t="shared" ref="D189:U189" si="41">D188</f>
        <v>2574034.2770000002</v>
      </c>
      <c r="E189" s="548">
        <f t="shared" si="41"/>
        <v>0</v>
      </c>
      <c r="F189" s="548">
        <f t="shared" si="41"/>
        <v>53832</v>
      </c>
      <c r="G189" s="548">
        <f t="shared" si="41"/>
        <v>9541503</v>
      </c>
      <c r="H189" s="548">
        <f t="shared" si="41"/>
        <v>2530367.8079999997</v>
      </c>
      <c r="I189" s="548">
        <f t="shared" si="41"/>
        <v>1800</v>
      </c>
      <c r="J189" s="548">
        <f t="shared" si="41"/>
        <v>1146000</v>
      </c>
      <c r="K189" s="548">
        <f t="shared" si="41"/>
        <v>4683689</v>
      </c>
      <c r="L189" s="548">
        <f t="shared" si="41"/>
        <v>1785210</v>
      </c>
      <c r="M189" s="548">
        <f t="shared" si="41"/>
        <v>10000</v>
      </c>
      <c r="N189" s="548">
        <f t="shared" si="41"/>
        <v>0</v>
      </c>
      <c r="O189" s="548">
        <f t="shared" si="41"/>
        <v>22326436.085000001</v>
      </c>
      <c r="P189" s="548"/>
      <c r="Q189" s="548">
        <f t="shared" si="41"/>
        <v>2382040</v>
      </c>
      <c r="R189" s="548">
        <f t="shared" si="41"/>
        <v>5458525.6940000001</v>
      </c>
      <c r="S189" s="548">
        <f t="shared" si="41"/>
        <v>0</v>
      </c>
      <c r="T189" s="548">
        <f t="shared" si="41"/>
        <v>0</v>
      </c>
      <c r="U189" s="548">
        <f t="shared" si="41"/>
        <v>7840565.6940000001</v>
      </c>
      <c r="V189" s="549"/>
      <c r="W189" s="550">
        <f>O189+U189+W186</f>
        <v>30167001.778999999</v>
      </c>
    </row>
    <row r="190" spans="1:23" ht="24.95" hidden="1" customHeight="1" x14ac:dyDescent="0.2">
      <c r="A190" s="39">
        <v>1</v>
      </c>
      <c r="B190" s="49"/>
      <c r="C190" s="50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>
        <f t="shared" ref="O190:O216" si="42">SUM(D190:N190)</f>
        <v>0</v>
      </c>
      <c r="P190" s="157"/>
      <c r="Q190" s="157"/>
      <c r="R190" s="157"/>
      <c r="S190" s="157"/>
      <c r="T190" s="157"/>
      <c r="U190" s="278">
        <f>SUM(Q190:T190)</f>
        <v>0</v>
      </c>
      <c r="V190" s="562"/>
      <c r="W190" s="159">
        <f>O190+U190</f>
        <v>0</v>
      </c>
    </row>
    <row r="191" spans="1:23" ht="24.95" hidden="1" customHeight="1" x14ac:dyDescent="0.2">
      <c r="A191" s="39"/>
      <c r="B191" s="279"/>
      <c r="C191" s="50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>
        <f t="shared" si="42"/>
        <v>0</v>
      </c>
      <c r="P191" s="157"/>
      <c r="Q191" s="157"/>
      <c r="R191" s="157"/>
      <c r="S191" s="157"/>
      <c r="T191" s="157"/>
      <c r="U191" s="157">
        <f>SUM(Q191:T191)</f>
        <v>0</v>
      </c>
      <c r="V191" s="419"/>
      <c r="W191" s="159">
        <f t="shared" ref="W191:W214" si="43">O191+U191</f>
        <v>0</v>
      </c>
    </row>
    <row r="192" spans="1:23" ht="24.95" hidden="1" customHeight="1" x14ac:dyDescent="0.2">
      <c r="A192" s="39">
        <v>2</v>
      </c>
      <c r="B192" s="279"/>
      <c r="C192" s="50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>
        <f t="shared" si="42"/>
        <v>0</v>
      </c>
      <c r="P192" s="157"/>
      <c r="Q192" s="157"/>
      <c r="R192" s="157"/>
      <c r="S192" s="157"/>
      <c r="T192" s="157"/>
      <c r="U192" s="157">
        <f t="shared" ref="U192:U214" si="44">SUM(Q192:T192)</f>
        <v>0</v>
      </c>
      <c r="V192" s="419"/>
      <c r="W192" s="159">
        <f t="shared" si="43"/>
        <v>0</v>
      </c>
    </row>
    <row r="193" spans="1:23" ht="24.95" hidden="1" customHeight="1" x14ac:dyDescent="0.2">
      <c r="A193" s="39">
        <v>3</v>
      </c>
      <c r="B193" s="279"/>
      <c r="C193" s="50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>
        <f t="shared" si="42"/>
        <v>0</v>
      </c>
      <c r="P193" s="157"/>
      <c r="Q193" s="157"/>
      <c r="R193" s="157"/>
      <c r="S193" s="157"/>
      <c r="T193" s="157"/>
      <c r="U193" s="157">
        <f t="shared" si="44"/>
        <v>0</v>
      </c>
      <c r="V193" s="419"/>
      <c r="W193" s="159">
        <f t="shared" si="43"/>
        <v>0</v>
      </c>
    </row>
    <row r="194" spans="1:23" ht="24.95" hidden="1" customHeight="1" x14ac:dyDescent="0.2">
      <c r="A194" s="39">
        <v>4</v>
      </c>
      <c r="B194" s="49"/>
      <c r="C194" s="50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>
        <f t="shared" si="42"/>
        <v>0</v>
      </c>
      <c r="P194" s="157"/>
      <c r="Q194" s="157"/>
      <c r="R194" s="157"/>
      <c r="S194" s="157"/>
      <c r="T194" s="157"/>
      <c r="U194" s="157">
        <f t="shared" si="44"/>
        <v>0</v>
      </c>
      <c r="V194" s="419"/>
      <c r="W194" s="159">
        <f t="shared" si="43"/>
        <v>0</v>
      </c>
    </row>
    <row r="195" spans="1:23" ht="24.95" hidden="1" customHeight="1" x14ac:dyDescent="0.2">
      <c r="A195" s="39">
        <v>5</v>
      </c>
      <c r="B195" s="49"/>
      <c r="C195" s="50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>
        <f t="shared" si="42"/>
        <v>0</v>
      </c>
      <c r="P195" s="157"/>
      <c r="Q195" s="157"/>
      <c r="R195" s="157"/>
      <c r="S195" s="157"/>
      <c r="T195" s="157"/>
      <c r="U195" s="157">
        <f t="shared" si="44"/>
        <v>0</v>
      </c>
      <c r="V195" s="419"/>
      <c r="W195" s="159">
        <f t="shared" si="43"/>
        <v>0</v>
      </c>
    </row>
    <row r="196" spans="1:23" ht="24.95" hidden="1" customHeight="1" x14ac:dyDescent="0.2">
      <c r="A196" s="39">
        <v>6</v>
      </c>
      <c r="B196" s="279"/>
      <c r="C196" s="50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>
        <f t="shared" si="42"/>
        <v>0</v>
      </c>
      <c r="P196" s="157"/>
      <c r="Q196" s="157"/>
      <c r="R196" s="157"/>
      <c r="S196" s="157"/>
      <c r="T196" s="157"/>
      <c r="U196" s="157">
        <f t="shared" si="44"/>
        <v>0</v>
      </c>
      <c r="V196" s="419"/>
      <c r="W196" s="159">
        <f t="shared" si="43"/>
        <v>0</v>
      </c>
    </row>
    <row r="197" spans="1:23" ht="24.95" hidden="1" customHeight="1" x14ac:dyDescent="0.2">
      <c r="A197" s="39">
        <v>7</v>
      </c>
      <c r="B197" s="49"/>
      <c r="C197" s="50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>
        <f t="shared" si="42"/>
        <v>0</v>
      </c>
      <c r="P197" s="157"/>
      <c r="Q197" s="157"/>
      <c r="R197" s="157"/>
      <c r="S197" s="157"/>
      <c r="T197" s="157"/>
      <c r="U197" s="157">
        <f t="shared" si="44"/>
        <v>0</v>
      </c>
      <c r="V197" s="419"/>
      <c r="W197" s="159">
        <f t="shared" si="43"/>
        <v>0</v>
      </c>
    </row>
    <row r="198" spans="1:23" ht="24.95" hidden="1" customHeight="1" x14ac:dyDescent="0.2">
      <c r="A198" s="39">
        <v>8</v>
      </c>
      <c r="B198" s="279"/>
      <c r="C198" s="50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>
        <f t="shared" si="42"/>
        <v>0</v>
      </c>
      <c r="P198" s="157"/>
      <c r="Q198" s="157"/>
      <c r="R198" s="157"/>
      <c r="S198" s="157"/>
      <c r="T198" s="157"/>
      <c r="U198" s="157">
        <f t="shared" si="44"/>
        <v>0</v>
      </c>
      <c r="V198" s="419"/>
      <c r="W198" s="159">
        <f t="shared" si="43"/>
        <v>0</v>
      </c>
    </row>
    <row r="199" spans="1:23" ht="24.95" hidden="1" customHeight="1" x14ac:dyDescent="0.2">
      <c r="A199" s="39">
        <v>9</v>
      </c>
      <c r="B199" s="279"/>
      <c r="C199" s="50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>
        <f t="shared" si="42"/>
        <v>0</v>
      </c>
      <c r="P199" s="157"/>
      <c r="Q199" s="157"/>
      <c r="R199" s="157"/>
      <c r="S199" s="157"/>
      <c r="T199" s="157"/>
      <c r="U199" s="157">
        <f t="shared" si="44"/>
        <v>0</v>
      </c>
      <c r="V199" s="419"/>
      <c r="W199" s="159">
        <f t="shared" si="43"/>
        <v>0</v>
      </c>
    </row>
    <row r="200" spans="1:23" ht="24.95" hidden="1" customHeight="1" x14ac:dyDescent="0.2">
      <c r="A200" s="39">
        <v>10</v>
      </c>
      <c r="B200" s="279"/>
      <c r="C200" s="50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>
        <f t="shared" si="42"/>
        <v>0</v>
      </c>
      <c r="P200" s="157"/>
      <c r="Q200" s="157"/>
      <c r="R200" s="157"/>
      <c r="S200" s="157"/>
      <c r="T200" s="157"/>
      <c r="U200" s="157">
        <f t="shared" si="44"/>
        <v>0</v>
      </c>
      <c r="V200" s="419"/>
      <c r="W200" s="159">
        <f t="shared" si="43"/>
        <v>0</v>
      </c>
    </row>
    <row r="201" spans="1:23" ht="24.95" hidden="1" customHeight="1" x14ac:dyDescent="0.2">
      <c r="A201" s="39">
        <v>11</v>
      </c>
      <c r="B201" s="49"/>
      <c r="C201" s="50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>
        <f t="shared" si="42"/>
        <v>0</v>
      </c>
      <c r="P201" s="157"/>
      <c r="Q201" s="157"/>
      <c r="R201" s="157"/>
      <c r="S201" s="157"/>
      <c r="T201" s="157"/>
      <c r="U201" s="157">
        <f t="shared" si="44"/>
        <v>0</v>
      </c>
      <c r="V201" s="419"/>
      <c r="W201" s="159">
        <f t="shared" si="43"/>
        <v>0</v>
      </c>
    </row>
    <row r="202" spans="1:23" ht="24.95" hidden="1" customHeight="1" x14ac:dyDescent="0.2">
      <c r="A202" s="39">
        <v>12</v>
      </c>
      <c r="B202" s="279"/>
      <c r="C202" s="50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>
        <f t="shared" si="42"/>
        <v>0</v>
      </c>
      <c r="P202" s="157"/>
      <c r="Q202" s="157"/>
      <c r="R202" s="157"/>
      <c r="S202" s="157"/>
      <c r="T202" s="157"/>
      <c r="U202" s="157">
        <f t="shared" si="44"/>
        <v>0</v>
      </c>
      <c r="V202" s="419"/>
      <c r="W202" s="159">
        <f t="shared" si="43"/>
        <v>0</v>
      </c>
    </row>
    <row r="203" spans="1:23" ht="24.95" hidden="1" customHeight="1" x14ac:dyDescent="0.2">
      <c r="A203" s="39">
        <v>13</v>
      </c>
      <c r="B203" s="49"/>
      <c r="C203" s="50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>
        <f t="shared" si="42"/>
        <v>0</v>
      </c>
      <c r="P203" s="157"/>
      <c r="Q203" s="157"/>
      <c r="R203" s="157"/>
      <c r="S203" s="157"/>
      <c r="T203" s="157"/>
      <c r="U203" s="157">
        <f t="shared" si="44"/>
        <v>0</v>
      </c>
      <c r="V203" s="419"/>
      <c r="W203" s="159">
        <f t="shared" si="43"/>
        <v>0</v>
      </c>
    </row>
    <row r="204" spans="1:23" ht="24.95" hidden="1" customHeight="1" x14ac:dyDescent="0.2">
      <c r="A204" s="39">
        <v>14</v>
      </c>
      <c r="B204" s="49"/>
      <c r="C204" s="50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>
        <f t="shared" si="42"/>
        <v>0</v>
      </c>
      <c r="P204" s="157"/>
      <c r="Q204" s="157"/>
      <c r="R204" s="157"/>
      <c r="S204" s="157"/>
      <c r="T204" s="157"/>
      <c r="U204" s="157">
        <f t="shared" si="44"/>
        <v>0</v>
      </c>
      <c r="V204" s="419"/>
      <c r="W204" s="159">
        <f t="shared" si="43"/>
        <v>0</v>
      </c>
    </row>
    <row r="205" spans="1:23" ht="24.95" hidden="1" customHeight="1" x14ac:dyDescent="0.2">
      <c r="A205" s="39"/>
      <c r="B205" s="49"/>
      <c r="C205" s="50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>
        <f t="shared" si="42"/>
        <v>0</v>
      </c>
      <c r="P205" s="157"/>
      <c r="Q205" s="157"/>
      <c r="R205" s="157"/>
      <c r="S205" s="157"/>
      <c r="T205" s="157"/>
      <c r="U205" s="157">
        <f t="shared" si="44"/>
        <v>0</v>
      </c>
      <c r="V205" s="419"/>
      <c r="W205" s="159">
        <f t="shared" si="43"/>
        <v>0</v>
      </c>
    </row>
    <row r="206" spans="1:23" ht="24.95" hidden="1" customHeight="1" thickTop="1" x14ac:dyDescent="0.2">
      <c r="A206" s="39"/>
      <c r="B206" s="49"/>
      <c r="C206" s="50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>
        <f t="shared" si="42"/>
        <v>0</v>
      </c>
      <c r="P206" s="157"/>
      <c r="Q206" s="157"/>
      <c r="R206" s="157"/>
      <c r="S206" s="157"/>
      <c r="T206" s="157"/>
      <c r="U206" s="157">
        <f t="shared" si="44"/>
        <v>0</v>
      </c>
      <c r="V206" s="419"/>
      <c r="W206" s="159">
        <f t="shared" si="43"/>
        <v>0</v>
      </c>
    </row>
    <row r="207" spans="1:23" ht="24.95" hidden="1" customHeight="1" x14ac:dyDescent="0.2">
      <c r="A207" s="39"/>
      <c r="B207" s="49"/>
      <c r="C207" s="50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>
        <f t="shared" si="42"/>
        <v>0</v>
      </c>
      <c r="P207" s="157"/>
      <c r="Q207" s="157"/>
      <c r="R207" s="157"/>
      <c r="S207" s="157"/>
      <c r="T207" s="157"/>
      <c r="U207" s="157">
        <f t="shared" si="44"/>
        <v>0</v>
      </c>
      <c r="V207" s="419"/>
      <c r="W207" s="159">
        <f t="shared" si="43"/>
        <v>0</v>
      </c>
    </row>
    <row r="208" spans="1:23" ht="24.95" hidden="1" customHeight="1" x14ac:dyDescent="0.2">
      <c r="A208" s="39"/>
      <c r="B208" s="49"/>
      <c r="C208" s="50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>
        <f t="shared" si="42"/>
        <v>0</v>
      </c>
      <c r="P208" s="157"/>
      <c r="Q208" s="157"/>
      <c r="R208" s="157"/>
      <c r="S208" s="157"/>
      <c r="T208" s="157"/>
      <c r="U208" s="157">
        <f t="shared" si="44"/>
        <v>0</v>
      </c>
      <c r="V208" s="419"/>
      <c r="W208" s="159">
        <f t="shared" si="43"/>
        <v>0</v>
      </c>
    </row>
    <row r="209" spans="1:23" ht="24.95" hidden="1" customHeight="1" x14ac:dyDescent="0.2">
      <c r="A209" s="39"/>
      <c r="B209" s="49"/>
      <c r="C209" s="50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>
        <f t="shared" si="42"/>
        <v>0</v>
      </c>
      <c r="P209" s="157"/>
      <c r="Q209" s="157"/>
      <c r="R209" s="157"/>
      <c r="S209" s="157"/>
      <c r="T209" s="157"/>
      <c r="U209" s="157">
        <f t="shared" si="44"/>
        <v>0</v>
      </c>
      <c r="V209" s="419"/>
      <c r="W209" s="159">
        <f t="shared" si="43"/>
        <v>0</v>
      </c>
    </row>
    <row r="210" spans="1:23" ht="24.95" hidden="1" customHeight="1" x14ac:dyDescent="0.2">
      <c r="A210" s="39"/>
      <c r="B210" s="49"/>
      <c r="C210" s="50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>
        <f t="shared" si="42"/>
        <v>0</v>
      </c>
      <c r="P210" s="157"/>
      <c r="Q210" s="157"/>
      <c r="R210" s="157"/>
      <c r="S210" s="157"/>
      <c r="T210" s="157"/>
      <c r="U210" s="157">
        <f t="shared" si="44"/>
        <v>0</v>
      </c>
      <c r="V210" s="419"/>
      <c r="W210" s="159">
        <f t="shared" si="43"/>
        <v>0</v>
      </c>
    </row>
    <row r="211" spans="1:23" ht="24.95" hidden="1" customHeight="1" x14ac:dyDescent="0.2">
      <c r="A211" s="39"/>
      <c r="B211" s="49"/>
      <c r="C211" s="50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>
        <f t="shared" si="42"/>
        <v>0</v>
      </c>
      <c r="P211" s="157"/>
      <c r="Q211" s="157"/>
      <c r="R211" s="157"/>
      <c r="S211" s="157"/>
      <c r="T211" s="157"/>
      <c r="U211" s="157">
        <f t="shared" si="44"/>
        <v>0</v>
      </c>
      <c r="V211" s="419"/>
      <c r="W211" s="159">
        <f t="shared" si="43"/>
        <v>0</v>
      </c>
    </row>
    <row r="212" spans="1:23" ht="24.95" hidden="1" customHeight="1" x14ac:dyDescent="0.2">
      <c r="A212" s="39"/>
      <c r="B212" s="49"/>
      <c r="C212" s="50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>
        <f t="shared" si="42"/>
        <v>0</v>
      </c>
      <c r="P212" s="157"/>
      <c r="Q212" s="157"/>
      <c r="R212" s="157"/>
      <c r="S212" s="157"/>
      <c r="T212" s="157"/>
      <c r="U212" s="157">
        <f t="shared" si="44"/>
        <v>0</v>
      </c>
      <c r="V212" s="419"/>
      <c r="W212" s="159">
        <f t="shared" si="43"/>
        <v>0</v>
      </c>
    </row>
    <row r="213" spans="1:23" ht="24.95" hidden="1" customHeight="1" x14ac:dyDescent="0.2">
      <c r="A213" s="39"/>
      <c r="B213" s="49"/>
      <c r="C213" s="50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>
        <f t="shared" si="42"/>
        <v>0</v>
      </c>
      <c r="P213" s="157"/>
      <c r="Q213" s="157"/>
      <c r="R213" s="157"/>
      <c r="S213" s="157"/>
      <c r="T213" s="157"/>
      <c r="U213" s="157">
        <f t="shared" si="44"/>
        <v>0</v>
      </c>
      <c r="V213" s="419"/>
      <c r="W213" s="159">
        <f t="shared" si="43"/>
        <v>0</v>
      </c>
    </row>
    <row r="214" spans="1:23" ht="24.95" hidden="1" customHeight="1" x14ac:dyDescent="0.2">
      <c r="A214" s="39"/>
      <c r="B214" s="49"/>
      <c r="C214" s="50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>
        <f t="shared" si="42"/>
        <v>0</v>
      </c>
      <c r="P214" s="157"/>
      <c r="Q214" s="157"/>
      <c r="R214" s="157"/>
      <c r="S214" s="157"/>
      <c r="T214" s="157"/>
      <c r="U214" s="157">
        <f t="shared" si="44"/>
        <v>0</v>
      </c>
      <c r="V214" s="419"/>
      <c r="W214" s="159">
        <f t="shared" si="43"/>
        <v>0</v>
      </c>
    </row>
    <row r="215" spans="1:23" ht="24.95" hidden="1" customHeight="1" x14ac:dyDescent="0.2">
      <c r="A215" s="39"/>
      <c r="B215" s="49"/>
      <c r="C215" s="50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419"/>
      <c r="W215" s="159"/>
    </row>
    <row r="216" spans="1:23" ht="24.95" hidden="1" customHeight="1" x14ac:dyDescent="0.2">
      <c r="A216" s="39"/>
      <c r="B216" s="49"/>
      <c r="C216" s="32" t="s">
        <v>57</v>
      </c>
      <c r="D216" s="165"/>
      <c r="E216" s="157"/>
      <c r="F216" s="157"/>
      <c r="G216" s="157"/>
      <c r="H216" s="165"/>
      <c r="I216" s="157"/>
      <c r="J216" s="157"/>
      <c r="K216" s="157"/>
      <c r="L216" s="157"/>
      <c r="M216" s="157"/>
      <c r="N216" s="157"/>
      <c r="O216" s="157">
        <f t="shared" si="42"/>
        <v>0</v>
      </c>
      <c r="P216" s="157"/>
      <c r="Q216" s="157"/>
      <c r="R216" s="157"/>
      <c r="S216" s="157"/>
      <c r="T216" s="157"/>
      <c r="U216" s="157">
        <f>SUM(Q216:T216)</f>
        <v>0</v>
      </c>
      <c r="V216" s="419"/>
      <c r="W216" s="565">
        <f>O216+U216</f>
        <v>0</v>
      </c>
    </row>
    <row r="217" spans="1:23" ht="24.95" hidden="1" customHeight="1" thickBot="1" x14ac:dyDescent="0.25">
      <c r="A217" s="39"/>
      <c r="B217" s="49"/>
      <c r="C217" s="50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563"/>
      <c r="V217" s="564"/>
      <c r="W217" s="159"/>
    </row>
    <row r="218" spans="1:23" ht="24.95" hidden="1" customHeight="1" thickTop="1" thickBot="1" x14ac:dyDescent="0.25">
      <c r="A218" s="46"/>
      <c r="B218" s="250" t="s">
        <v>173</v>
      </c>
      <c r="C218" s="43" t="s">
        <v>32</v>
      </c>
      <c r="D218" s="166">
        <f>SUM(D190:D217)</f>
        <v>0</v>
      </c>
      <c r="E218" s="166">
        <f t="shared" ref="E218:N218" si="45">SUM(E190:E217)</f>
        <v>0</v>
      </c>
      <c r="F218" s="166">
        <f t="shared" si="45"/>
        <v>0</v>
      </c>
      <c r="G218" s="166">
        <f t="shared" si="45"/>
        <v>0</v>
      </c>
      <c r="H218" s="166">
        <f t="shared" si="45"/>
        <v>0</v>
      </c>
      <c r="I218" s="166">
        <f t="shared" si="45"/>
        <v>0</v>
      </c>
      <c r="J218" s="166">
        <f t="shared" si="45"/>
        <v>0</v>
      </c>
      <c r="K218" s="166">
        <f t="shared" si="45"/>
        <v>0</v>
      </c>
      <c r="L218" s="166">
        <f t="shared" si="45"/>
        <v>0</v>
      </c>
      <c r="M218" s="388">
        <f t="shared" si="45"/>
        <v>0</v>
      </c>
      <c r="N218" s="166">
        <f t="shared" si="45"/>
        <v>0</v>
      </c>
      <c r="O218" s="166">
        <f>SUM(O190:O217)</f>
        <v>0</v>
      </c>
      <c r="P218" s="166"/>
      <c r="Q218" s="166">
        <f>SUM(Q190:Q217)</f>
        <v>0</v>
      </c>
      <c r="R218" s="194">
        <f>SUM(R190:R217)</f>
        <v>0</v>
      </c>
      <c r="S218" s="194">
        <f>SUM(S190:S217)</f>
        <v>0</v>
      </c>
      <c r="T218" s="166">
        <f>SUM(T190:T217)</f>
        <v>0</v>
      </c>
      <c r="U218" s="166">
        <f>SUM(U190:U217)</f>
        <v>0</v>
      </c>
      <c r="V218" s="155"/>
      <c r="W218" s="416">
        <f>SUM(W190:W217)</f>
        <v>0</v>
      </c>
    </row>
    <row r="219" spans="1:23" ht="24.95" hidden="1" customHeight="1" thickTop="1" thickBot="1" x14ac:dyDescent="0.25">
      <c r="A219" s="46"/>
      <c r="B219" s="42" t="s">
        <v>174</v>
      </c>
      <c r="C219" s="43" t="s">
        <v>137</v>
      </c>
      <c r="D219" s="193">
        <f>D189+D218</f>
        <v>2574034.2770000002</v>
      </c>
      <c r="E219" s="193">
        <f t="shared" ref="E219:N219" si="46">E189+E218</f>
        <v>0</v>
      </c>
      <c r="F219" s="193">
        <f t="shared" si="46"/>
        <v>53832</v>
      </c>
      <c r="G219" s="193">
        <f t="shared" si="46"/>
        <v>9541503</v>
      </c>
      <c r="H219" s="193">
        <f t="shared" si="46"/>
        <v>2530367.8079999997</v>
      </c>
      <c r="I219" s="193">
        <f t="shared" si="46"/>
        <v>1800</v>
      </c>
      <c r="J219" s="193">
        <f t="shared" si="46"/>
        <v>1146000</v>
      </c>
      <c r="K219" s="193">
        <f t="shared" si="46"/>
        <v>4683689</v>
      </c>
      <c r="L219" s="193">
        <f t="shared" si="46"/>
        <v>1785210</v>
      </c>
      <c r="M219" s="193">
        <f t="shared" si="46"/>
        <v>10000</v>
      </c>
      <c r="N219" s="193">
        <f t="shared" si="46"/>
        <v>0</v>
      </c>
      <c r="O219" s="193">
        <f>O189+O218</f>
        <v>22326436.085000001</v>
      </c>
      <c r="P219" s="193"/>
      <c r="Q219" s="193">
        <f>Q189+Q218</f>
        <v>2382040</v>
      </c>
      <c r="R219" s="193">
        <f>R189+R218</f>
        <v>5458525.6940000001</v>
      </c>
      <c r="S219" s="193">
        <f>S189+S218</f>
        <v>0</v>
      </c>
      <c r="T219" s="193">
        <f>T189+T218</f>
        <v>0</v>
      </c>
      <c r="U219" s="376">
        <f>U189+U218</f>
        <v>7840565.6940000001</v>
      </c>
      <c r="V219" s="431"/>
      <c r="W219" s="416">
        <f>W189+W218</f>
        <v>30167001.778999999</v>
      </c>
    </row>
    <row r="220" spans="1:23" ht="24.95" hidden="1" customHeight="1" thickTop="1" thickBot="1" x14ac:dyDescent="0.25">
      <c r="A220" s="39"/>
      <c r="B220" s="49"/>
      <c r="C220" s="50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8"/>
      <c r="V220" s="323"/>
      <c r="W220" s="159"/>
    </row>
    <row r="221" spans="1:23" ht="24.95" hidden="1" customHeight="1" thickTop="1" thickBot="1" x14ac:dyDescent="0.3">
      <c r="A221" s="667"/>
      <c r="B221" s="667"/>
      <c r="C221" s="668" t="s">
        <v>86</v>
      </c>
      <c r="D221" s="282">
        <v>2574034.2770000002</v>
      </c>
      <c r="E221" s="282">
        <v>0</v>
      </c>
      <c r="F221" s="282">
        <v>53832</v>
      </c>
      <c r="G221" s="282">
        <v>9541503</v>
      </c>
      <c r="H221" s="282">
        <v>2530367.8080000002</v>
      </c>
      <c r="I221" s="282">
        <v>1800</v>
      </c>
      <c r="J221" s="282">
        <v>1146000</v>
      </c>
      <c r="K221" s="282">
        <v>4683689</v>
      </c>
      <c r="L221" s="282">
        <v>1785210</v>
      </c>
      <c r="M221" s="282">
        <v>10000</v>
      </c>
      <c r="N221" s="282">
        <v>0</v>
      </c>
      <c r="O221" s="282">
        <v>22326436.085000001</v>
      </c>
      <c r="P221" s="282"/>
      <c r="Q221" s="282">
        <v>2382040</v>
      </c>
      <c r="R221" s="282">
        <v>5458525.6940000001</v>
      </c>
      <c r="S221" s="282">
        <v>0</v>
      </c>
      <c r="T221" s="282">
        <v>0</v>
      </c>
      <c r="U221" s="312">
        <v>7840565.6940000001</v>
      </c>
      <c r="V221" s="312"/>
      <c r="W221" s="283">
        <v>30167001.778999999</v>
      </c>
    </row>
    <row r="222" spans="1:23" ht="24.95" hidden="1" customHeight="1" thickTop="1" x14ac:dyDescent="0.25"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</row>
    <row r="223" spans="1:23" ht="24.95" hidden="1" customHeight="1" x14ac:dyDescent="0.25">
      <c r="C223" s="2" t="s">
        <v>82</v>
      </c>
      <c r="D223" s="156">
        <f>D221-D219</f>
        <v>0</v>
      </c>
      <c r="E223" s="156">
        <f t="shared" ref="E223:W223" si="47">E221-E219</f>
        <v>0</v>
      </c>
      <c r="F223" s="156">
        <f t="shared" si="47"/>
        <v>0</v>
      </c>
      <c r="G223" s="156">
        <f t="shared" si="47"/>
        <v>0</v>
      </c>
      <c r="H223" s="156">
        <f t="shared" si="47"/>
        <v>0</v>
      </c>
      <c r="I223" s="156">
        <f t="shared" si="47"/>
        <v>0</v>
      </c>
      <c r="J223" s="156">
        <f t="shared" si="47"/>
        <v>0</v>
      </c>
      <c r="K223" s="156">
        <f t="shared" si="47"/>
        <v>0</v>
      </c>
      <c r="L223" s="156">
        <f t="shared" si="47"/>
        <v>0</v>
      </c>
      <c r="M223" s="156">
        <f t="shared" si="47"/>
        <v>0</v>
      </c>
      <c r="N223" s="156">
        <f t="shared" si="47"/>
        <v>0</v>
      </c>
      <c r="O223" s="156">
        <f t="shared" si="47"/>
        <v>0</v>
      </c>
      <c r="P223" s="156"/>
      <c r="Q223" s="156">
        <f t="shared" si="47"/>
        <v>0</v>
      </c>
      <c r="R223" s="156">
        <f t="shared" si="47"/>
        <v>0</v>
      </c>
      <c r="S223" s="156">
        <f t="shared" si="47"/>
        <v>0</v>
      </c>
      <c r="T223" s="156">
        <f t="shared" si="47"/>
        <v>0</v>
      </c>
      <c r="U223" s="156">
        <f t="shared" si="47"/>
        <v>0</v>
      </c>
      <c r="V223" s="156"/>
      <c r="W223" s="156">
        <f t="shared" si="47"/>
        <v>0</v>
      </c>
    </row>
    <row r="224" spans="1:23" ht="24.95" customHeight="1" thickTop="1" x14ac:dyDescent="0.25"/>
    <row r="225" spans="18:18" ht="24.95" customHeight="1" x14ac:dyDescent="0.25"/>
    <row r="226" spans="18:18" ht="24.95" customHeight="1" x14ac:dyDescent="0.25">
      <c r="R226" s="28"/>
    </row>
    <row r="227" spans="18:18" ht="24.95" customHeight="1" x14ac:dyDescent="0.25"/>
    <row r="228" spans="18:18" ht="24.95" customHeight="1" x14ac:dyDescent="0.25"/>
    <row r="229" spans="18:18" ht="24.95" customHeight="1" x14ac:dyDescent="0.25"/>
    <row r="230" spans="18:18" ht="24.95" customHeight="1" x14ac:dyDescent="0.25"/>
    <row r="231" spans="18:18" ht="24.95" customHeight="1" x14ac:dyDescent="0.25"/>
    <row r="232" spans="18:18" ht="24.95" customHeight="1" x14ac:dyDescent="0.25"/>
    <row r="233" spans="18:18" ht="24.95" customHeight="1" x14ac:dyDescent="0.25"/>
    <row r="234" spans="18:18" ht="24.95" customHeight="1" x14ac:dyDescent="0.25"/>
    <row r="235" spans="18:18" ht="24.95" customHeight="1" x14ac:dyDescent="0.25"/>
    <row r="236" spans="18:18" ht="24.95" customHeight="1" x14ac:dyDescent="0.25"/>
    <row r="237" spans="18:18" ht="24.95" customHeight="1" x14ac:dyDescent="0.25"/>
    <row r="238" spans="18:18" ht="24.95" customHeight="1" x14ac:dyDescent="0.25"/>
    <row r="239" spans="18:18" ht="24.95" customHeight="1" x14ac:dyDescent="0.25"/>
    <row r="240" spans="18:18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519" spans="9:9" x14ac:dyDescent="0.25">
      <c r="I519" s="51">
        <f>-10437-1367-86-236+13-6357-200+31+71-310-1500-799-55-443-3970</f>
        <v>-25645</v>
      </c>
    </row>
  </sheetData>
  <mergeCells count="5">
    <mergeCell ref="D7:F7"/>
    <mergeCell ref="J7:K7"/>
    <mergeCell ref="Q7:T7"/>
    <mergeCell ref="A2:W2"/>
    <mergeCell ref="A4:W4"/>
  </mergeCells>
  <phoneticPr fontId="3" type="noConversion"/>
  <printOptions horizontalCentered="1"/>
  <pageMargins left="0" right="0" top="0.51181102362204722" bottom="0.55118110236220474" header="7.874015748031496E-2" footer="7.874015748031496E-2"/>
  <pageSetup paperSize="9" scale="44" firstPageNumber="0" orientation="landscape" horizontalDpi="300" verticalDpi="300" r:id="rId1"/>
  <headerFooter alignWithMargins="0">
    <oddFooter>&amp;C&amp;9&amp;P.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27"/>
  <sheetViews>
    <sheetView tabSelected="1" topLeftCell="A131" zoomScale="71" zoomScaleNormal="71" workbookViewId="0">
      <selection activeCell="K527" sqref="K527"/>
    </sheetView>
  </sheetViews>
  <sheetFormatPr defaultRowHeight="16.5" x14ac:dyDescent="0.25"/>
  <cols>
    <col min="1" max="1" width="3.85546875" style="90" customWidth="1"/>
    <col min="2" max="2" width="11.5703125" style="1" customWidth="1"/>
    <col min="3" max="3" width="53.7109375" style="2" customWidth="1"/>
    <col min="4" max="9" width="12.7109375" style="2" customWidth="1"/>
    <col min="10" max="10" width="13.7109375" style="2" customWidth="1"/>
    <col min="11" max="11" width="14.85546875" style="2" customWidth="1"/>
    <col min="12" max="12" width="14.140625" style="2" customWidth="1"/>
    <col min="13" max="17" width="12.7109375" style="2" customWidth="1"/>
    <col min="18" max="18" width="14.7109375" style="2" customWidth="1"/>
    <col min="19" max="19" width="1.7109375" style="2" customWidth="1"/>
    <col min="20" max="20" width="13.5703125" style="2" customWidth="1"/>
    <col min="21" max="21" width="14.140625" style="2" customWidth="1"/>
    <col min="22" max="22" width="12.7109375" style="2" customWidth="1"/>
    <col min="23" max="23" width="11.85546875" style="2" customWidth="1"/>
    <col min="24" max="24" width="13.5703125" style="2" customWidth="1"/>
    <col min="25" max="25" width="16.7109375" style="2" customWidth="1"/>
    <col min="26" max="26" width="16.7109375" style="52" customWidth="1"/>
    <col min="27" max="27" width="18.28515625" style="52" customWidth="1"/>
    <col min="28" max="28" width="16.28515625" style="52" customWidth="1"/>
    <col min="29" max="31" width="10.42578125" style="52" customWidth="1"/>
    <col min="32" max="32" width="12.28515625" style="52" customWidth="1"/>
    <col min="33" max="33" width="14" style="52" customWidth="1"/>
    <col min="34" max="34" width="12.28515625" style="52" customWidth="1"/>
    <col min="35" max="36" width="10.42578125" style="52" customWidth="1"/>
    <col min="37" max="37" width="12.28515625" style="52" customWidth="1"/>
    <col min="38" max="38" width="9.140625" style="52"/>
    <col min="39" max="40" width="10.42578125" style="52" customWidth="1"/>
    <col min="41" max="41" width="12.28515625" style="52" customWidth="1"/>
    <col min="42" max="42" width="12.7109375" style="52" customWidth="1"/>
    <col min="43" max="16384" width="9.140625" style="2"/>
  </cols>
  <sheetData>
    <row r="1" spans="1:42" ht="16.5" customHeight="1" x14ac:dyDescent="0.25">
      <c r="Z1" s="174" t="s">
        <v>440</v>
      </c>
      <c r="AA1" s="174"/>
    </row>
    <row r="2" spans="1:42" ht="30" customHeight="1" x14ac:dyDescent="0.2">
      <c r="A2" s="685" t="s">
        <v>0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5"/>
      <c r="W2" s="685"/>
      <c r="X2" s="685"/>
      <c r="Y2" s="685"/>
      <c r="Z2" s="685"/>
      <c r="AA2" s="328"/>
    </row>
    <row r="3" spans="1:42" ht="30" customHeight="1" x14ac:dyDescent="0.2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328"/>
    </row>
    <row r="4" spans="1:42" ht="50.1" customHeight="1" x14ac:dyDescent="0.2">
      <c r="A4" s="686" t="s">
        <v>206</v>
      </c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5"/>
      <c r="Z4" s="685"/>
      <c r="AA4" s="328"/>
    </row>
    <row r="5" spans="1:42" ht="24.95" customHeight="1" x14ac:dyDescent="0.2">
      <c r="A5" s="444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328"/>
    </row>
    <row r="6" spans="1:42" ht="17.25" customHeight="1" thickBo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6" t="s">
        <v>1</v>
      </c>
      <c r="AA6" s="329"/>
    </row>
    <row r="7" spans="1:42" ht="17.25" thickBot="1" x14ac:dyDescent="0.3">
      <c r="A7" s="54"/>
      <c r="B7" s="7"/>
      <c r="C7" s="8"/>
      <c r="D7" s="687" t="s">
        <v>33</v>
      </c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/>
      <c r="W7" s="687"/>
      <c r="X7" s="687"/>
      <c r="Y7" s="687"/>
      <c r="Z7" s="687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</row>
    <row r="8" spans="1:42" ht="17.25" customHeight="1" thickTop="1" x14ac:dyDescent="0.25">
      <c r="A8" s="663"/>
      <c r="B8" s="11"/>
      <c r="C8" s="12"/>
      <c r="D8" s="688" t="s">
        <v>153</v>
      </c>
      <c r="E8" s="689"/>
      <c r="F8" s="689"/>
      <c r="G8" s="689"/>
      <c r="H8" s="689"/>
      <c r="I8" s="689"/>
      <c r="J8" s="689"/>
      <c r="K8" s="690"/>
      <c r="L8" s="691" t="s">
        <v>154</v>
      </c>
      <c r="M8" s="692"/>
      <c r="N8" s="692"/>
      <c r="O8" s="692"/>
      <c r="P8" s="692"/>
      <c r="Q8" s="690"/>
      <c r="R8" s="458" t="s">
        <v>121</v>
      </c>
      <c r="S8" s="458"/>
      <c r="T8" s="691" t="s">
        <v>155</v>
      </c>
      <c r="U8" s="692"/>
      <c r="V8" s="692"/>
      <c r="W8" s="693"/>
      <c r="X8" s="462" t="s">
        <v>132</v>
      </c>
      <c r="Y8" s="346" t="s">
        <v>2</v>
      </c>
      <c r="Z8" s="360"/>
      <c r="AA8" s="5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5"/>
    </row>
    <row r="9" spans="1:42" x14ac:dyDescent="0.25">
      <c r="A9" s="17" t="s">
        <v>8</v>
      </c>
      <c r="B9" s="11"/>
      <c r="C9" s="12" t="s">
        <v>3</v>
      </c>
      <c r="D9" s="57"/>
      <c r="E9" s="191" t="s">
        <v>38</v>
      </c>
      <c r="F9" s="58"/>
      <c r="G9" s="58" t="s">
        <v>34</v>
      </c>
      <c r="H9" s="58" t="s">
        <v>107</v>
      </c>
      <c r="I9" s="58" t="s">
        <v>108</v>
      </c>
      <c r="J9" s="58" t="s">
        <v>108</v>
      </c>
      <c r="K9" s="191"/>
      <c r="L9" s="58"/>
      <c r="M9" s="58"/>
      <c r="N9" s="58" t="s">
        <v>4</v>
      </c>
      <c r="O9" s="58" t="s">
        <v>138</v>
      </c>
      <c r="P9" s="59" t="s">
        <v>139</v>
      </c>
      <c r="Q9" s="191" t="s">
        <v>4</v>
      </c>
      <c r="R9" s="459" t="s">
        <v>122</v>
      </c>
      <c r="S9" s="459"/>
      <c r="T9" s="16" t="s">
        <v>140</v>
      </c>
      <c r="U9" s="16" t="s">
        <v>141</v>
      </c>
      <c r="V9" s="16" t="s">
        <v>181</v>
      </c>
      <c r="W9" s="16" t="s">
        <v>4</v>
      </c>
      <c r="X9" s="463" t="s">
        <v>133</v>
      </c>
      <c r="Y9" s="347" t="s">
        <v>36</v>
      </c>
      <c r="Z9" s="231" t="s">
        <v>35</v>
      </c>
      <c r="AA9" s="55"/>
      <c r="AB9" s="4"/>
      <c r="AC9" s="4"/>
      <c r="AD9" s="4"/>
      <c r="AE9" s="4"/>
      <c r="AF9" s="4"/>
      <c r="AG9" s="4"/>
      <c r="AH9" s="4"/>
      <c r="AI9" s="4"/>
      <c r="AJ9" s="684"/>
      <c r="AK9" s="684"/>
      <c r="AL9" s="4"/>
      <c r="AM9" s="4"/>
      <c r="AN9" s="4"/>
      <c r="AO9" s="4"/>
      <c r="AP9" s="55"/>
    </row>
    <row r="10" spans="1:42" ht="16.5" customHeight="1" x14ac:dyDescent="0.25">
      <c r="A10" s="10"/>
      <c r="B10" s="11"/>
      <c r="C10" s="12" t="s">
        <v>9</v>
      </c>
      <c r="D10" s="58" t="s">
        <v>37</v>
      </c>
      <c r="E10" s="58" t="s">
        <v>66</v>
      </c>
      <c r="F10" s="58" t="s">
        <v>39</v>
      </c>
      <c r="G10" s="58" t="s">
        <v>40</v>
      </c>
      <c r="H10" s="58" t="s">
        <v>109</v>
      </c>
      <c r="I10" s="58" t="s">
        <v>68</v>
      </c>
      <c r="J10" s="58" t="s">
        <v>68</v>
      </c>
      <c r="K10" s="58" t="s">
        <v>43</v>
      </c>
      <c r="L10" s="58" t="s">
        <v>142</v>
      </c>
      <c r="M10" s="58" t="s">
        <v>143</v>
      </c>
      <c r="N10" s="58" t="s">
        <v>144</v>
      </c>
      <c r="O10" s="58" t="s">
        <v>145</v>
      </c>
      <c r="P10" s="58" t="s">
        <v>51</v>
      </c>
      <c r="Q10" s="58" t="s">
        <v>144</v>
      </c>
      <c r="R10" s="460" t="s">
        <v>41</v>
      </c>
      <c r="S10" s="460"/>
      <c r="T10" s="12" t="s">
        <v>146</v>
      </c>
      <c r="U10" s="12" t="s">
        <v>126</v>
      </c>
      <c r="V10" s="12" t="s">
        <v>182</v>
      </c>
      <c r="W10" s="16" t="s">
        <v>175</v>
      </c>
      <c r="X10" s="394" t="s">
        <v>41</v>
      </c>
      <c r="Y10" s="347" t="s">
        <v>12</v>
      </c>
      <c r="Z10" s="231" t="s">
        <v>44</v>
      </c>
      <c r="AA10" s="5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5"/>
    </row>
    <row r="11" spans="1:42" x14ac:dyDescent="0.25">
      <c r="A11" s="56"/>
      <c r="B11" s="11"/>
      <c r="C11" s="12" t="s">
        <v>13</v>
      </c>
      <c r="D11" s="58" t="s">
        <v>45</v>
      </c>
      <c r="E11" s="58" t="s">
        <v>50</v>
      </c>
      <c r="F11" s="58" t="s">
        <v>41</v>
      </c>
      <c r="G11" s="58" t="s">
        <v>46</v>
      </c>
      <c r="H11" s="58" t="s">
        <v>111</v>
      </c>
      <c r="I11" s="58" t="s">
        <v>112</v>
      </c>
      <c r="J11" s="58" t="s">
        <v>112</v>
      </c>
      <c r="K11" s="58"/>
      <c r="L11" s="58"/>
      <c r="M11" s="58"/>
      <c r="N11" s="58" t="s">
        <v>68</v>
      </c>
      <c r="O11" s="58" t="s">
        <v>47</v>
      </c>
      <c r="P11" s="58"/>
      <c r="Q11" s="58" t="s">
        <v>68</v>
      </c>
      <c r="R11" s="460" t="s">
        <v>12</v>
      </c>
      <c r="S11" s="460"/>
      <c r="T11" s="12" t="s">
        <v>147</v>
      </c>
      <c r="U11" s="12" t="s">
        <v>128</v>
      </c>
      <c r="V11" s="12" t="s">
        <v>185</v>
      </c>
      <c r="W11" s="16" t="s">
        <v>176</v>
      </c>
      <c r="X11" s="394" t="s">
        <v>12</v>
      </c>
      <c r="Y11" s="100" t="s">
        <v>159</v>
      </c>
      <c r="Z11" s="231" t="s">
        <v>49</v>
      </c>
      <c r="AA11" s="330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55"/>
    </row>
    <row r="12" spans="1:42" x14ac:dyDescent="0.25">
      <c r="A12" s="56"/>
      <c r="B12" s="11"/>
      <c r="C12" s="12"/>
      <c r="D12" s="60"/>
      <c r="E12" s="58" t="s">
        <v>160</v>
      </c>
      <c r="F12" s="58"/>
      <c r="G12" s="115"/>
      <c r="H12" s="61"/>
      <c r="I12" s="115" t="s">
        <v>148</v>
      </c>
      <c r="J12" s="115" t="s">
        <v>149</v>
      </c>
      <c r="K12" s="58"/>
      <c r="L12" s="61"/>
      <c r="M12" s="58"/>
      <c r="N12" s="58" t="s">
        <v>150</v>
      </c>
      <c r="O12" s="58" t="s">
        <v>151</v>
      </c>
      <c r="P12" s="58"/>
      <c r="Q12" s="58" t="s">
        <v>151</v>
      </c>
      <c r="R12" s="461" t="s">
        <v>157</v>
      </c>
      <c r="S12" s="461"/>
      <c r="T12" s="12" t="s">
        <v>152</v>
      </c>
      <c r="U12" s="12" t="s">
        <v>48</v>
      </c>
      <c r="V12" s="12" t="s">
        <v>186</v>
      </c>
      <c r="W12" s="12" t="s">
        <v>41</v>
      </c>
      <c r="X12" s="330" t="s">
        <v>158</v>
      </c>
      <c r="Y12" s="347"/>
      <c r="Z12" s="231"/>
      <c r="AA12" s="5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5"/>
    </row>
    <row r="13" spans="1:42" ht="18" customHeight="1" x14ac:dyDescent="0.25">
      <c r="A13" s="180">
        <v>1</v>
      </c>
      <c r="B13" s="207"/>
      <c r="C13" s="204">
        <v>2</v>
      </c>
      <c r="D13" s="204">
        <v>3</v>
      </c>
      <c r="E13" s="204">
        <v>4</v>
      </c>
      <c r="F13" s="204">
        <v>5</v>
      </c>
      <c r="G13" s="204">
        <v>6</v>
      </c>
      <c r="H13" s="204">
        <v>7</v>
      </c>
      <c r="I13" s="204">
        <v>8</v>
      </c>
      <c r="J13" s="204">
        <v>9</v>
      </c>
      <c r="K13" s="204">
        <v>10</v>
      </c>
      <c r="L13" s="204">
        <v>11</v>
      </c>
      <c r="M13" s="204">
        <v>12</v>
      </c>
      <c r="N13" s="204">
        <v>13</v>
      </c>
      <c r="O13" s="204">
        <v>14</v>
      </c>
      <c r="P13" s="204">
        <v>15</v>
      </c>
      <c r="Q13" s="204">
        <v>16</v>
      </c>
      <c r="R13" s="204">
        <v>17</v>
      </c>
      <c r="S13" s="204"/>
      <c r="T13" s="204">
        <v>18</v>
      </c>
      <c r="U13" s="204">
        <v>19</v>
      </c>
      <c r="V13" s="204">
        <v>20</v>
      </c>
      <c r="W13" s="204">
        <v>21</v>
      </c>
      <c r="X13" s="464">
        <v>22</v>
      </c>
      <c r="Y13" s="348">
        <v>21</v>
      </c>
      <c r="Z13" s="232">
        <v>22</v>
      </c>
      <c r="AA13" s="331"/>
      <c r="AB13" s="4"/>
      <c r="AC13" s="4"/>
      <c r="AD13" s="4"/>
      <c r="AE13" s="4"/>
      <c r="AF13" s="4"/>
      <c r="AG13" s="4"/>
      <c r="AH13" s="4"/>
      <c r="AI13" s="4"/>
      <c r="AJ13" s="684"/>
      <c r="AK13" s="684"/>
      <c r="AL13" s="4"/>
      <c r="AM13" s="4"/>
      <c r="AN13" s="4"/>
      <c r="AO13" s="4"/>
      <c r="AP13" s="4"/>
    </row>
    <row r="14" spans="1:42" s="66" customFormat="1" ht="19.5" customHeight="1" x14ac:dyDescent="0.3">
      <c r="A14" s="62"/>
      <c r="B14" s="137"/>
      <c r="C14" s="63" t="s">
        <v>56</v>
      </c>
      <c r="D14" s="138">
        <v>152497</v>
      </c>
      <c r="E14" s="138">
        <v>31675</v>
      </c>
      <c r="F14" s="138">
        <v>4750228</v>
      </c>
      <c r="G14" s="138">
        <v>206151</v>
      </c>
      <c r="H14" s="138">
        <v>308650</v>
      </c>
      <c r="I14" s="138">
        <v>69471</v>
      </c>
      <c r="J14" s="138">
        <v>970762</v>
      </c>
      <c r="K14" s="138">
        <v>1702168</v>
      </c>
      <c r="L14" s="138">
        <v>7903197</v>
      </c>
      <c r="M14" s="138">
        <v>457655</v>
      </c>
      <c r="N14" s="138">
        <v>100000</v>
      </c>
      <c r="O14" s="138">
        <v>3000</v>
      </c>
      <c r="P14" s="138">
        <v>0</v>
      </c>
      <c r="Q14" s="138">
        <v>353939</v>
      </c>
      <c r="R14" s="432">
        <f>SUM(D14:Q14)</f>
        <v>17009393</v>
      </c>
      <c r="S14" s="432"/>
      <c r="T14" s="138">
        <v>0</v>
      </c>
      <c r="U14" s="138">
        <v>0</v>
      </c>
      <c r="V14" s="138">
        <v>56742</v>
      </c>
      <c r="W14" s="138">
        <v>0</v>
      </c>
      <c r="X14" s="465">
        <f>SUM(T14:W14)</f>
        <v>56742</v>
      </c>
      <c r="Y14" s="349">
        <f>R14+X14</f>
        <v>17066135</v>
      </c>
      <c r="Z14" s="235">
        <v>8633505</v>
      </c>
      <c r="AA14" s="332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5"/>
    </row>
    <row r="15" spans="1:42" ht="20.100000000000001" hidden="1" customHeight="1" x14ac:dyDescent="0.25">
      <c r="A15" s="67"/>
      <c r="B15" s="123" t="s">
        <v>54</v>
      </c>
      <c r="C15" s="40" t="s">
        <v>94</v>
      </c>
      <c r="D15" s="70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Y15" s="192">
        <f>SUM(D15:W15)</f>
        <v>0</v>
      </c>
      <c r="Z15" s="234"/>
      <c r="AA15" s="333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9"/>
    </row>
    <row r="16" spans="1:42" ht="20.100000000000001" hidden="1" customHeight="1" x14ac:dyDescent="0.25">
      <c r="A16" s="143"/>
      <c r="B16" s="26"/>
      <c r="C16" s="23" t="s">
        <v>18</v>
      </c>
      <c r="D16" s="138">
        <f>SUM(D14:D15)</f>
        <v>152497</v>
      </c>
      <c r="E16" s="138">
        <f t="shared" ref="E16:W16" si="0">SUM(E14:E15)</f>
        <v>31675</v>
      </c>
      <c r="F16" s="138">
        <f t="shared" si="0"/>
        <v>4750228</v>
      </c>
      <c r="G16" s="138">
        <f t="shared" si="0"/>
        <v>206151</v>
      </c>
      <c r="H16" s="138">
        <f t="shared" si="0"/>
        <v>308650</v>
      </c>
      <c r="I16" s="138">
        <f t="shared" si="0"/>
        <v>69471</v>
      </c>
      <c r="J16" s="138">
        <f t="shared" si="0"/>
        <v>970762</v>
      </c>
      <c r="K16" s="138">
        <f t="shared" si="0"/>
        <v>1702168</v>
      </c>
      <c r="L16" s="138">
        <f t="shared" si="0"/>
        <v>7903197</v>
      </c>
      <c r="M16" s="138">
        <f t="shared" si="0"/>
        <v>457655</v>
      </c>
      <c r="N16" s="138">
        <f t="shared" si="0"/>
        <v>100000</v>
      </c>
      <c r="O16" s="138">
        <f t="shared" si="0"/>
        <v>3000</v>
      </c>
      <c r="P16" s="138">
        <f t="shared" si="0"/>
        <v>0</v>
      </c>
      <c r="Q16" s="138">
        <f t="shared" si="0"/>
        <v>353939</v>
      </c>
      <c r="R16" s="138"/>
      <c r="S16" s="138"/>
      <c r="T16" s="138">
        <f t="shared" si="0"/>
        <v>0</v>
      </c>
      <c r="U16" s="138">
        <f t="shared" si="0"/>
        <v>0</v>
      </c>
      <c r="V16" s="138">
        <f t="shared" si="0"/>
        <v>56742</v>
      </c>
      <c r="W16" s="138">
        <f t="shared" si="0"/>
        <v>0</v>
      </c>
      <c r="X16" s="139"/>
      <c r="Y16" s="350">
        <f>SUM(Y14:Y15)</f>
        <v>17066135</v>
      </c>
      <c r="Z16" s="235">
        <f>SUM(Z14:Z15)</f>
        <v>8633505</v>
      </c>
      <c r="AA16" s="332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9"/>
    </row>
    <row r="17" spans="1:42" ht="23.1" customHeight="1" x14ac:dyDescent="0.25">
      <c r="A17" s="671">
        <v>1</v>
      </c>
      <c r="B17" s="123" t="s">
        <v>227</v>
      </c>
      <c r="C17" s="27" t="s">
        <v>262</v>
      </c>
      <c r="D17" s="596"/>
      <c r="E17" s="596"/>
      <c r="F17" s="596"/>
      <c r="G17" s="596"/>
      <c r="H17" s="596"/>
      <c r="I17" s="596"/>
      <c r="J17" s="596"/>
      <c r="K17" s="596">
        <f>-100</f>
        <v>-100</v>
      </c>
      <c r="L17" s="596"/>
      <c r="M17" s="597"/>
      <c r="N17" s="596"/>
      <c r="O17" s="596"/>
      <c r="P17" s="596"/>
      <c r="Q17" s="596"/>
      <c r="R17" s="596">
        <f t="shared" ref="R17:R107" si="1">SUM(D17:Q17)</f>
        <v>-100</v>
      </c>
      <c r="S17" s="596"/>
      <c r="T17" s="596"/>
      <c r="U17" s="596"/>
      <c r="V17" s="596"/>
      <c r="W17" s="596"/>
      <c r="X17" s="598">
        <f t="shared" ref="X17:X153" si="2">SUM(T17:W17)</f>
        <v>0</v>
      </c>
      <c r="Y17" s="599">
        <f t="shared" ref="Y17:Y153" si="3">R17+X17</f>
        <v>-100</v>
      </c>
      <c r="Z17" s="600">
        <f>100</f>
        <v>100</v>
      </c>
      <c r="AA17" s="333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9"/>
    </row>
    <row r="18" spans="1:42" ht="23.1" customHeight="1" x14ac:dyDescent="0.25">
      <c r="A18" s="671">
        <v>2</v>
      </c>
      <c r="B18" s="123" t="s">
        <v>225</v>
      </c>
      <c r="C18" s="27" t="s">
        <v>226</v>
      </c>
      <c r="D18" s="596"/>
      <c r="E18" s="596"/>
      <c r="F18" s="596">
        <f>539+70+2272</f>
        <v>2881</v>
      </c>
      <c r="G18" s="596"/>
      <c r="H18" s="596"/>
      <c r="I18" s="596"/>
      <c r="J18" s="596"/>
      <c r="K18" s="666">
        <f>-2881</f>
        <v>-2881</v>
      </c>
      <c r="L18" s="666"/>
      <c r="M18" s="596"/>
      <c r="N18" s="596"/>
      <c r="O18" s="596"/>
      <c r="P18" s="596"/>
      <c r="Q18" s="596"/>
      <c r="R18" s="596">
        <f t="shared" si="1"/>
        <v>0</v>
      </c>
      <c r="S18" s="596"/>
      <c r="T18" s="596"/>
      <c r="U18" s="596"/>
      <c r="V18" s="596"/>
      <c r="W18" s="596"/>
      <c r="X18" s="598">
        <f t="shared" si="2"/>
        <v>0</v>
      </c>
      <c r="Y18" s="599">
        <f t="shared" si="3"/>
        <v>0</v>
      </c>
      <c r="Z18" s="600"/>
      <c r="AA18" s="333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9"/>
    </row>
    <row r="19" spans="1:42" ht="23.1" customHeight="1" x14ac:dyDescent="0.25">
      <c r="A19" s="671">
        <v>3</v>
      </c>
      <c r="B19" s="123" t="s">
        <v>228</v>
      </c>
      <c r="C19" s="27" t="s">
        <v>243</v>
      </c>
      <c r="D19" s="596"/>
      <c r="E19" s="596"/>
      <c r="F19" s="596"/>
      <c r="G19" s="596"/>
      <c r="H19" s="596"/>
      <c r="I19" s="596"/>
      <c r="J19" s="596"/>
      <c r="K19" s="666">
        <f>-150</f>
        <v>-150</v>
      </c>
      <c r="L19" s="666"/>
      <c r="M19" s="596"/>
      <c r="N19" s="596"/>
      <c r="O19" s="596"/>
      <c r="P19" s="596"/>
      <c r="Q19" s="596"/>
      <c r="R19" s="596">
        <f t="shared" si="1"/>
        <v>-150</v>
      </c>
      <c r="S19" s="596"/>
      <c r="T19" s="596"/>
      <c r="U19" s="596"/>
      <c r="V19" s="596"/>
      <c r="W19" s="596"/>
      <c r="X19" s="598">
        <f t="shared" ref="X19" si="4">SUM(T19:W19)</f>
        <v>0</v>
      </c>
      <c r="Y19" s="599">
        <f t="shared" ref="Y19" si="5">R19+X19</f>
        <v>-150</v>
      </c>
      <c r="Z19" s="600">
        <f>150</f>
        <v>150</v>
      </c>
      <c r="AA19" s="333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9"/>
    </row>
    <row r="20" spans="1:42" ht="23.1" customHeight="1" x14ac:dyDescent="0.25">
      <c r="A20" s="671">
        <v>4</v>
      </c>
      <c r="B20" s="123" t="s">
        <v>229</v>
      </c>
      <c r="C20" s="27" t="s">
        <v>238</v>
      </c>
      <c r="D20" s="596"/>
      <c r="E20" s="596"/>
      <c r="F20" s="596"/>
      <c r="G20" s="596"/>
      <c r="H20" s="596"/>
      <c r="I20" s="596"/>
      <c r="J20" s="596"/>
      <c r="K20" s="666">
        <f>-298</f>
        <v>-298</v>
      </c>
      <c r="L20" s="666">
        <f>234+64</f>
        <v>298</v>
      </c>
      <c r="M20" s="596"/>
      <c r="N20" s="596"/>
      <c r="O20" s="596"/>
      <c r="P20" s="596"/>
      <c r="Q20" s="596"/>
      <c r="R20" s="596">
        <f t="shared" si="1"/>
        <v>0</v>
      </c>
      <c r="S20" s="596"/>
      <c r="T20" s="596"/>
      <c r="U20" s="596"/>
      <c r="V20" s="596"/>
      <c r="W20" s="596"/>
      <c r="X20" s="598">
        <f t="shared" si="2"/>
        <v>0</v>
      </c>
      <c r="Y20" s="599">
        <f t="shared" si="3"/>
        <v>0</v>
      </c>
      <c r="Z20" s="600"/>
      <c r="AA20" s="333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9"/>
    </row>
    <row r="21" spans="1:42" ht="23.1" customHeight="1" x14ac:dyDescent="0.25">
      <c r="A21" s="671">
        <v>5</v>
      </c>
      <c r="B21" s="592" t="s">
        <v>230</v>
      </c>
      <c r="C21" s="27" t="s">
        <v>244</v>
      </c>
      <c r="D21" s="596"/>
      <c r="E21" s="596"/>
      <c r="F21" s="596"/>
      <c r="G21" s="596"/>
      <c r="H21" s="596"/>
      <c r="I21" s="596"/>
      <c r="J21" s="596"/>
      <c r="K21" s="666">
        <f>-331</f>
        <v>-331</v>
      </c>
      <c r="L21" s="666">
        <f>261+70</f>
        <v>331</v>
      </c>
      <c r="M21" s="596"/>
      <c r="N21" s="596"/>
      <c r="O21" s="596"/>
      <c r="P21" s="596"/>
      <c r="Q21" s="596"/>
      <c r="R21" s="596">
        <f t="shared" si="1"/>
        <v>0</v>
      </c>
      <c r="S21" s="596"/>
      <c r="T21" s="596"/>
      <c r="U21" s="596"/>
      <c r="V21" s="596"/>
      <c r="W21" s="596"/>
      <c r="X21" s="598">
        <f t="shared" ref="X21" si="6">SUM(T21:W21)</f>
        <v>0</v>
      </c>
      <c r="Y21" s="599">
        <f t="shared" ref="Y21" si="7">R21+X21</f>
        <v>0</v>
      </c>
      <c r="Z21" s="600"/>
      <c r="AA21" s="333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9"/>
    </row>
    <row r="22" spans="1:42" ht="23.1" customHeight="1" x14ac:dyDescent="0.25">
      <c r="A22" s="671">
        <v>6</v>
      </c>
      <c r="B22" s="123" t="s">
        <v>231</v>
      </c>
      <c r="C22" s="27" t="s">
        <v>239</v>
      </c>
      <c r="D22" s="596"/>
      <c r="E22" s="596"/>
      <c r="F22" s="596">
        <f>56+15</f>
        <v>71</v>
      </c>
      <c r="G22" s="596"/>
      <c r="H22" s="596"/>
      <c r="I22" s="596"/>
      <c r="J22" s="596"/>
      <c r="K22" s="666"/>
      <c r="L22" s="666"/>
      <c r="M22" s="596"/>
      <c r="N22" s="596"/>
      <c r="O22" s="596"/>
      <c r="P22" s="596"/>
      <c r="Q22" s="596"/>
      <c r="R22" s="596">
        <f t="shared" si="1"/>
        <v>71</v>
      </c>
      <c r="S22" s="596"/>
      <c r="T22" s="596"/>
      <c r="U22" s="596"/>
      <c r="V22" s="596"/>
      <c r="W22" s="596"/>
      <c r="X22" s="598">
        <f t="shared" si="2"/>
        <v>0</v>
      </c>
      <c r="Y22" s="599">
        <f t="shared" si="3"/>
        <v>71</v>
      </c>
      <c r="Z22" s="600"/>
      <c r="AA22" s="333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9"/>
    </row>
    <row r="23" spans="1:42" ht="23.1" customHeight="1" x14ac:dyDescent="0.25">
      <c r="A23" s="671">
        <v>7</v>
      </c>
      <c r="B23" s="123" t="s">
        <v>232</v>
      </c>
      <c r="C23" s="27" t="s">
        <v>240</v>
      </c>
      <c r="D23" s="596"/>
      <c r="E23" s="596"/>
      <c r="F23" s="596">
        <f>648</f>
        <v>648</v>
      </c>
      <c r="G23" s="596"/>
      <c r="H23" s="596"/>
      <c r="I23" s="596"/>
      <c r="J23" s="596"/>
      <c r="K23" s="666">
        <f>2400</f>
        <v>2400</v>
      </c>
      <c r="L23" s="666"/>
      <c r="M23" s="596"/>
      <c r="N23" s="596"/>
      <c r="O23" s="596"/>
      <c r="P23" s="596"/>
      <c r="Q23" s="596"/>
      <c r="R23" s="596">
        <f t="shared" si="1"/>
        <v>3048</v>
      </c>
      <c r="S23" s="596"/>
      <c r="T23" s="596"/>
      <c r="U23" s="596"/>
      <c r="V23" s="596"/>
      <c r="W23" s="596"/>
      <c r="X23" s="598">
        <f t="shared" si="2"/>
        <v>0</v>
      </c>
      <c r="Y23" s="599">
        <f t="shared" si="3"/>
        <v>3048</v>
      </c>
      <c r="Z23" s="600"/>
      <c r="AA23" s="333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9"/>
    </row>
    <row r="24" spans="1:42" ht="23.1" customHeight="1" x14ac:dyDescent="0.25">
      <c r="A24" s="671">
        <v>8</v>
      </c>
      <c r="B24" s="123" t="s">
        <v>233</v>
      </c>
      <c r="C24" s="27" t="s">
        <v>241</v>
      </c>
      <c r="D24" s="596"/>
      <c r="E24" s="596"/>
      <c r="F24" s="596">
        <f>41</f>
        <v>41</v>
      </c>
      <c r="G24" s="596"/>
      <c r="H24" s="596">
        <f>-41</f>
        <v>-41</v>
      </c>
      <c r="I24" s="596"/>
      <c r="J24" s="596"/>
      <c r="K24" s="666"/>
      <c r="L24" s="666"/>
      <c r="M24" s="596"/>
      <c r="N24" s="596"/>
      <c r="O24" s="596"/>
      <c r="P24" s="596"/>
      <c r="Q24" s="596"/>
      <c r="R24" s="596">
        <f t="shared" si="1"/>
        <v>0</v>
      </c>
      <c r="S24" s="596"/>
      <c r="T24" s="596"/>
      <c r="U24" s="596"/>
      <c r="V24" s="596"/>
      <c r="W24" s="596"/>
      <c r="X24" s="598">
        <f t="shared" si="2"/>
        <v>0</v>
      </c>
      <c r="Y24" s="599">
        <f t="shared" si="3"/>
        <v>0</v>
      </c>
      <c r="Z24" s="600"/>
      <c r="AA24" s="333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/>
    </row>
    <row r="25" spans="1:42" ht="23.1" customHeight="1" x14ac:dyDescent="0.25">
      <c r="A25" s="671">
        <v>9</v>
      </c>
      <c r="B25" s="592" t="s">
        <v>234</v>
      </c>
      <c r="C25" s="27" t="s">
        <v>245</v>
      </c>
      <c r="D25" s="596"/>
      <c r="E25" s="596"/>
      <c r="F25" s="596">
        <f>980+265</f>
        <v>1245</v>
      </c>
      <c r="G25" s="596"/>
      <c r="H25" s="596"/>
      <c r="I25" s="596"/>
      <c r="J25" s="596"/>
      <c r="K25" s="666"/>
      <c r="L25" s="666">
        <f>-1245</f>
        <v>-1245</v>
      </c>
      <c r="M25" s="596"/>
      <c r="N25" s="596"/>
      <c r="O25" s="596"/>
      <c r="P25" s="596"/>
      <c r="Q25" s="596"/>
      <c r="R25" s="596">
        <f t="shared" si="1"/>
        <v>0</v>
      </c>
      <c r="S25" s="596"/>
      <c r="T25" s="596"/>
      <c r="U25" s="596"/>
      <c r="V25" s="596"/>
      <c r="W25" s="596"/>
      <c r="X25" s="598">
        <f t="shared" ref="X25" si="8">SUM(T25:W25)</f>
        <v>0</v>
      </c>
      <c r="Y25" s="599">
        <f t="shared" ref="Y25" si="9">R25+X25</f>
        <v>0</v>
      </c>
      <c r="Z25" s="600"/>
      <c r="AA25" s="333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9"/>
    </row>
    <row r="26" spans="1:42" ht="23.1" customHeight="1" x14ac:dyDescent="0.25">
      <c r="A26" s="671">
        <v>10</v>
      </c>
      <c r="B26" s="592" t="s">
        <v>235</v>
      </c>
      <c r="C26" s="27" t="s">
        <v>242</v>
      </c>
      <c r="D26" s="596">
        <f>-608</f>
        <v>-608</v>
      </c>
      <c r="E26" s="596">
        <f>-118</f>
        <v>-118</v>
      </c>
      <c r="F26" s="596">
        <f>726</f>
        <v>726</v>
      </c>
      <c r="G26" s="596"/>
      <c r="H26" s="596"/>
      <c r="I26" s="596"/>
      <c r="J26" s="596"/>
      <c r="K26" s="666"/>
      <c r="L26" s="666"/>
      <c r="M26" s="596"/>
      <c r="N26" s="596"/>
      <c r="O26" s="596"/>
      <c r="P26" s="596"/>
      <c r="Q26" s="596"/>
      <c r="R26" s="596">
        <f t="shared" si="1"/>
        <v>0</v>
      </c>
      <c r="S26" s="596"/>
      <c r="T26" s="596"/>
      <c r="U26" s="596"/>
      <c r="V26" s="596"/>
      <c r="W26" s="596"/>
      <c r="X26" s="598">
        <f t="shared" si="2"/>
        <v>0</v>
      </c>
      <c r="Y26" s="599">
        <f t="shared" si="3"/>
        <v>0</v>
      </c>
      <c r="Z26" s="600"/>
      <c r="AA26" s="333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9"/>
    </row>
    <row r="27" spans="1:42" ht="23.1" customHeight="1" x14ac:dyDescent="0.25">
      <c r="A27" s="671">
        <v>11</v>
      </c>
      <c r="B27" s="592" t="s">
        <v>252</v>
      </c>
      <c r="C27" s="27" t="s">
        <v>263</v>
      </c>
      <c r="D27" s="596"/>
      <c r="E27" s="596"/>
      <c r="F27" s="596">
        <f>-743.525</f>
        <v>-743.52499999999998</v>
      </c>
      <c r="G27" s="596"/>
      <c r="H27" s="596"/>
      <c r="I27" s="596"/>
      <c r="J27" s="596"/>
      <c r="K27" s="666"/>
      <c r="L27" s="666"/>
      <c r="M27" s="596"/>
      <c r="N27" s="596"/>
      <c r="O27" s="596"/>
      <c r="P27" s="596"/>
      <c r="Q27" s="596"/>
      <c r="R27" s="596">
        <f t="shared" si="1"/>
        <v>-743.52499999999998</v>
      </c>
      <c r="S27" s="596"/>
      <c r="T27" s="596"/>
      <c r="U27" s="596"/>
      <c r="V27" s="596"/>
      <c r="W27" s="596"/>
      <c r="X27" s="598">
        <f t="shared" ref="X27:X28" si="10">SUM(T27:W27)</f>
        <v>0</v>
      </c>
      <c r="Y27" s="599">
        <f t="shared" ref="Y27:Y28" si="11">R27+X27</f>
        <v>-743.52499999999998</v>
      </c>
      <c r="Z27" s="600">
        <f>743.525</f>
        <v>743.52499999999998</v>
      </c>
      <c r="AA27" s="333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9"/>
    </row>
    <row r="28" spans="1:42" ht="23.1" customHeight="1" x14ac:dyDescent="0.25">
      <c r="A28" s="671">
        <v>12</v>
      </c>
      <c r="B28" s="592" t="s">
        <v>264</v>
      </c>
      <c r="C28" s="27" t="s">
        <v>265</v>
      </c>
      <c r="D28" s="596"/>
      <c r="E28" s="596"/>
      <c r="F28" s="596">
        <f>-1233.363</f>
        <v>-1233.3630000000001</v>
      </c>
      <c r="G28" s="596"/>
      <c r="H28" s="596"/>
      <c r="I28" s="596"/>
      <c r="J28" s="596"/>
      <c r="K28" s="666"/>
      <c r="L28" s="666"/>
      <c r="M28" s="596"/>
      <c r="N28" s="596"/>
      <c r="O28" s="596"/>
      <c r="P28" s="596"/>
      <c r="Q28" s="596"/>
      <c r="R28" s="596">
        <f t="shared" si="1"/>
        <v>-1233.3630000000001</v>
      </c>
      <c r="S28" s="596"/>
      <c r="T28" s="596"/>
      <c r="U28" s="596"/>
      <c r="V28" s="596"/>
      <c r="W28" s="596"/>
      <c r="X28" s="598">
        <f t="shared" si="10"/>
        <v>0</v>
      </c>
      <c r="Y28" s="599">
        <f t="shared" si="11"/>
        <v>-1233.3630000000001</v>
      </c>
      <c r="Z28" s="600">
        <f>1233.363</f>
        <v>1233.3630000000001</v>
      </c>
      <c r="AA28" s="333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9"/>
    </row>
    <row r="29" spans="1:42" ht="23.1" customHeight="1" x14ac:dyDescent="0.25">
      <c r="A29" s="671">
        <v>13</v>
      </c>
      <c r="B29" s="592" t="s">
        <v>252</v>
      </c>
      <c r="C29" s="27" t="s">
        <v>253</v>
      </c>
      <c r="D29" s="596"/>
      <c r="E29" s="596"/>
      <c r="F29" s="596">
        <f>-101.695</f>
        <v>-101.69499999999999</v>
      </c>
      <c r="G29" s="596"/>
      <c r="H29" s="596"/>
      <c r="I29" s="596"/>
      <c r="J29" s="596"/>
      <c r="K29" s="666"/>
      <c r="L29" s="666"/>
      <c r="M29" s="596"/>
      <c r="N29" s="596"/>
      <c r="O29" s="596"/>
      <c r="P29" s="596"/>
      <c r="Q29" s="596"/>
      <c r="R29" s="596">
        <f t="shared" si="1"/>
        <v>-101.69499999999999</v>
      </c>
      <c r="S29" s="596"/>
      <c r="T29" s="596"/>
      <c r="U29" s="596"/>
      <c r="V29" s="596"/>
      <c r="W29" s="596"/>
      <c r="X29" s="598">
        <f t="shared" ref="X29" si="12">SUM(T29:W29)</f>
        <v>0</v>
      </c>
      <c r="Y29" s="599">
        <f t="shared" ref="Y29" si="13">R29+X29</f>
        <v>-101.69499999999999</v>
      </c>
      <c r="Z29" s="600">
        <f>101.695</f>
        <v>101.69499999999999</v>
      </c>
      <c r="AA29" s="333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9"/>
    </row>
    <row r="30" spans="1:42" ht="35.1" customHeight="1" x14ac:dyDescent="0.25">
      <c r="A30" s="671">
        <v>14</v>
      </c>
      <c r="B30" s="592" t="s">
        <v>266</v>
      </c>
      <c r="C30" s="27" t="s">
        <v>267</v>
      </c>
      <c r="D30" s="596"/>
      <c r="E30" s="596"/>
      <c r="F30" s="596"/>
      <c r="G30" s="596"/>
      <c r="H30" s="596"/>
      <c r="I30" s="596"/>
      <c r="J30" s="596"/>
      <c r="K30" s="666">
        <f>-18550</f>
        <v>-18550</v>
      </c>
      <c r="L30" s="666"/>
      <c r="M30" s="596"/>
      <c r="N30" s="596"/>
      <c r="O30" s="596"/>
      <c r="P30" s="596"/>
      <c r="Q30" s="596"/>
      <c r="R30" s="596">
        <f t="shared" si="1"/>
        <v>-18550</v>
      </c>
      <c r="S30" s="596"/>
      <c r="T30" s="596"/>
      <c r="U30" s="596"/>
      <c r="V30" s="596"/>
      <c r="W30" s="596"/>
      <c r="X30" s="598">
        <f t="shared" ref="X30" si="14">SUM(T30:W30)</f>
        <v>0</v>
      </c>
      <c r="Y30" s="599">
        <f t="shared" ref="Y30" si="15">R30+X30</f>
        <v>-18550</v>
      </c>
      <c r="Z30" s="600">
        <f>18550</f>
        <v>18550</v>
      </c>
      <c r="AA30" s="333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9"/>
    </row>
    <row r="31" spans="1:42" ht="23.1" customHeight="1" x14ac:dyDescent="0.25">
      <c r="A31" s="671">
        <v>15</v>
      </c>
      <c r="B31" s="592" t="s">
        <v>290</v>
      </c>
      <c r="C31" s="27" t="s">
        <v>291</v>
      </c>
      <c r="D31" s="596"/>
      <c r="E31" s="596"/>
      <c r="F31" s="596">
        <f>-872-236</f>
        <v>-1108</v>
      </c>
      <c r="G31" s="596"/>
      <c r="H31" s="596"/>
      <c r="I31" s="596"/>
      <c r="J31" s="596"/>
      <c r="K31" s="666"/>
      <c r="L31" s="666">
        <f>872+236</f>
        <v>1108</v>
      </c>
      <c r="M31" s="596"/>
      <c r="N31" s="596"/>
      <c r="O31" s="596"/>
      <c r="P31" s="596"/>
      <c r="Q31" s="596"/>
      <c r="R31" s="596">
        <f t="shared" si="1"/>
        <v>0</v>
      </c>
      <c r="S31" s="596"/>
      <c r="T31" s="596"/>
      <c r="U31" s="596"/>
      <c r="V31" s="596"/>
      <c r="W31" s="596"/>
      <c r="X31" s="598">
        <f t="shared" ref="X31" si="16">SUM(T31:W31)</f>
        <v>0</v>
      </c>
      <c r="Y31" s="599">
        <f t="shared" ref="Y31" si="17">R31+X31</f>
        <v>0</v>
      </c>
      <c r="Z31" s="600"/>
      <c r="AA31" s="333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9"/>
    </row>
    <row r="32" spans="1:42" ht="23.1" customHeight="1" x14ac:dyDescent="0.25">
      <c r="A32" s="671">
        <v>16</v>
      </c>
      <c r="B32" s="592" t="s">
        <v>236</v>
      </c>
      <c r="C32" s="27" t="s">
        <v>246</v>
      </c>
      <c r="D32" s="596"/>
      <c r="E32" s="596"/>
      <c r="F32" s="596"/>
      <c r="G32" s="596"/>
      <c r="H32" s="596"/>
      <c r="I32" s="596"/>
      <c r="J32" s="596"/>
      <c r="K32" s="666">
        <f>-6057</f>
        <v>-6057</v>
      </c>
      <c r="L32" s="666">
        <f>4769+1288</f>
        <v>6057</v>
      </c>
      <c r="M32" s="596"/>
      <c r="N32" s="596"/>
      <c r="O32" s="596"/>
      <c r="P32" s="596"/>
      <c r="Q32" s="596"/>
      <c r="R32" s="596">
        <f t="shared" si="1"/>
        <v>0</v>
      </c>
      <c r="S32" s="596"/>
      <c r="T32" s="596"/>
      <c r="U32" s="596"/>
      <c r="V32" s="596"/>
      <c r="W32" s="596"/>
      <c r="X32" s="598">
        <f t="shared" si="2"/>
        <v>0</v>
      </c>
      <c r="Y32" s="599">
        <f t="shared" si="3"/>
        <v>0</v>
      </c>
      <c r="Z32" s="600"/>
      <c r="AA32" s="333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9"/>
    </row>
    <row r="33" spans="1:42" ht="23.1" customHeight="1" x14ac:dyDescent="0.25">
      <c r="A33" s="671">
        <v>17</v>
      </c>
      <c r="B33" s="123" t="s">
        <v>237</v>
      </c>
      <c r="C33" s="27" t="s">
        <v>247</v>
      </c>
      <c r="D33" s="596"/>
      <c r="E33" s="596"/>
      <c r="F33" s="596"/>
      <c r="G33" s="596"/>
      <c r="H33" s="596"/>
      <c r="I33" s="596"/>
      <c r="J33" s="596"/>
      <c r="K33" s="666">
        <f>-1563</f>
        <v>-1563</v>
      </c>
      <c r="L33" s="666"/>
      <c r="M33" s="596"/>
      <c r="N33" s="596"/>
      <c r="O33" s="596"/>
      <c r="P33" s="596"/>
      <c r="Q33" s="596"/>
      <c r="R33" s="596">
        <f t="shared" si="1"/>
        <v>-1563</v>
      </c>
      <c r="S33" s="596"/>
      <c r="T33" s="596"/>
      <c r="U33" s="596"/>
      <c r="V33" s="596"/>
      <c r="W33" s="596"/>
      <c r="X33" s="598">
        <f t="shared" ref="X33:X44" si="18">SUM(T33:W33)</f>
        <v>0</v>
      </c>
      <c r="Y33" s="599">
        <f t="shared" ref="Y33:Y44" si="19">R33+X33</f>
        <v>-1563</v>
      </c>
      <c r="Z33" s="600">
        <f>1563</f>
        <v>1563</v>
      </c>
      <c r="AA33" s="333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9"/>
    </row>
    <row r="34" spans="1:42" ht="23.1" customHeight="1" x14ac:dyDescent="0.25">
      <c r="A34" s="671">
        <v>18</v>
      </c>
      <c r="B34" s="123" t="s">
        <v>286</v>
      </c>
      <c r="C34" s="27" t="s">
        <v>287</v>
      </c>
      <c r="D34" s="596"/>
      <c r="E34" s="596"/>
      <c r="F34" s="596"/>
      <c r="G34" s="596"/>
      <c r="H34" s="596"/>
      <c r="I34" s="596"/>
      <c r="J34" s="596"/>
      <c r="K34" s="666">
        <f>232</f>
        <v>232</v>
      </c>
      <c r="L34" s="666"/>
      <c r="M34" s="596"/>
      <c r="N34" s="596"/>
      <c r="O34" s="596"/>
      <c r="P34" s="596"/>
      <c r="Q34" s="596"/>
      <c r="R34" s="596">
        <f>SUM(D34:Q34)</f>
        <v>232</v>
      </c>
      <c r="S34" s="596"/>
      <c r="T34" s="596"/>
      <c r="U34" s="596"/>
      <c r="V34" s="596"/>
      <c r="W34" s="596"/>
      <c r="X34" s="598">
        <f t="shared" ref="X34" si="20">SUM(T34:W34)</f>
        <v>0</v>
      </c>
      <c r="Y34" s="599">
        <f>R34+X34</f>
        <v>232</v>
      </c>
      <c r="Z34" s="600"/>
      <c r="AA34" s="333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</row>
    <row r="35" spans="1:42" ht="23.1" customHeight="1" x14ac:dyDescent="0.25">
      <c r="A35" s="671">
        <v>19</v>
      </c>
      <c r="B35" s="123" t="s">
        <v>292</v>
      </c>
      <c r="C35" s="27" t="s">
        <v>293</v>
      </c>
      <c r="D35" s="596"/>
      <c r="E35" s="596"/>
      <c r="F35" s="596">
        <f>4308+1163+686+185</f>
        <v>6342</v>
      </c>
      <c r="G35" s="596"/>
      <c r="H35" s="596"/>
      <c r="I35" s="596"/>
      <c r="J35" s="596"/>
      <c r="K35" s="666"/>
      <c r="L35" s="666"/>
      <c r="M35" s="596"/>
      <c r="N35" s="596"/>
      <c r="O35" s="596"/>
      <c r="P35" s="596"/>
      <c r="Q35" s="596"/>
      <c r="R35" s="596">
        <f>SUM(D35:Q35)</f>
        <v>6342</v>
      </c>
      <c r="S35" s="596"/>
      <c r="T35" s="596"/>
      <c r="U35" s="596"/>
      <c r="V35" s="596"/>
      <c r="W35" s="596"/>
      <c r="X35" s="598">
        <f t="shared" ref="X35" si="21">SUM(T35:W35)</f>
        <v>0</v>
      </c>
      <c r="Y35" s="599">
        <f>R35+X35</f>
        <v>6342</v>
      </c>
      <c r="Z35" s="600"/>
      <c r="AA35" s="333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9"/>
    </row>
    <row r="36" spans="1:42" ht="23.1" customHeight="1" x14ac:dyDescent="0.25">
      <c r="A36" s="671">
        <v>20</v>
      </c>
      <c r="B36" s="592" t="s">
        <v>256</v>
      </c>
      <c r="C36" s="27" t="s">
        <v>257</v>
      </c>
      <c r="D36" s="596">
        <f>105</f>
        <v>105</v>
      </c>
      <c r="E36" s="596">
        <f>19</f>
        <v>19</v>
      </c>
      <c r="F36" s="596"/>
      <c r="G36" s="596"/>
      <c r="H36" s="596"/>
      <c r="I36" s="596"/>
      <c r="J36" s="596"/>
      <c r="K36" s="666"/>
      <c r="L36" s="666"/>
      <c r="M36" s="596"/>
      <c r="N36" s="596"/>
      <c r="O36" s="596"/>
      <c r="P36" s="596"/>
      <c r="Q36" s="596"/>
      <c r="R36" s="596">
        <f t="shared" si="1"/>
        <v>124</v>
      </c>
      <c r="S36" s="596"/>
      <c r="T36" s="596"/>
      <c r="U36" s="596"/>
      <c r="V36" s="596"/>
      <c r="W36" s="596"/>
      <c r="X36" s="598">
        <f t="shared" si="18"/>
        <v>0</v>
      </c>
      <c r="Y36" s="599">
        <f t="shared" si="19"/>
        <v>124</v>
      </c>
      <c r="Z36" s="600">
        <f>-124</f>
        <v>-124</v>
      </c>
      <c r="AA36" s="333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9"/>
    </row>
    <row r="37" spans="1:42" ht="23.1" customHeight="1" x14ac:dyDescent="0.25">
      <c r="A37" s="671">
        <v>21</v>
      </c>
      <c r="B37" s="592" t="s">
        <v>284</v>
      </c>
      <c r="C37" s="27" t="s">
        <v>285</v>
      </c>
      <c r="D37" s="596"/>
      <c r="E37" s="596"/>
      <c r="F37" s="596"/>
      <c r="G37" s="596"/>
      <c r="H37" s="596"/>
      <c r="I37" s="596"/>
      <c r="J37" s="596"/>
      <c r="K37" s="666">
        <f>8200</f>
        <v>8200</v>
      </c>
      <c r="L37" s="666">
        <f>5900</f>
        <v>5900</v>
      </c>
      <c r="M37" s="596"/>
      <c r="N37" s="596"/>
      <c r="O37" s="596"/>
      <c r="P37" s="596"/>
      <c r="Q37" s="596"/>
      <c r="R37" s="596">
        <f t="shared" si="1"/>
        <v>14100</v>
      </c>
      <c r="S37" s="596"/>
      <c r="T37" s="596"/>
      <c r="U37" s="596"/>
      <c r="V37" s="596"/>
      <c r="W37" s="596"/>
      <c r="X37" s="598">
        <f t="shared" ref="X37" si="22">SUM(T37:W37)</f>
        <v>0</v>
      </c>
      <c r="Y37" s="599">
        <f t="shared" ref="Y37" si="23">R37+X37</f>
        <v>14100</v>
      </c>
      <c r="Z37" s="600"/>
      <c r="AA37" s="333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9"/>
    </row>
    <row r="38" spans="1:42" ht="23.1" customHeight="1" x14ac:dyDescent="0.25">
      <c r="A38" s="671">
        <v>22</v>
      </c>
      <c r="B38" s="592" t="s">
        <v>268</v>
      </c>
      <c r="C38" s="27" t="s">
        <v>269</v>
      </c>
      <c r="D38" s="596"/>
      <c r="E38" s="596"/>
      <c r="F38" s="596">
        <f>-8019.33</f>
        <v>-8019.33</v>
      </c>
      <c r="G38" s="596"/>
      <c r="H38" s="596"/>
      <c r="I38" s="596"/>
      <c r="J38" s="596"/>
      <c r="K38" s="666"/>
      <c r="L38" s="666"/>
      <c r="M38" s="596"/>
      <c r="N38" s="596"/>
      <c r="O38" s="596"/>
      <c r="P38" s="596"/>
      <c r="Q38" s="596"/>
      <c r="R38" s="596">
        <f t="shared" si="1"/>
        <v>-8019.33</v>
      </c>
      <c r="S38" s="596"/>
      <c r="T38" s="596"/>
      <c r="U38" s="596"/>
      <c r="V38" s="596"/>
      <c r="W38" s="596"/>
      <c r="X38" s="598">
        <f t="shared" ref="X38" si="24">SUM(T38:W38)</f>
        <v>0</v>
      </c>
      <c r="Y38" s="599">
        <f t="shared" ref="Y38" si="25">R38+X38</f>
        <v>-8019.33</v>
      </c>
      <c r="Z38" s="600">
        <f>8019.33</f>
        <v>8019.33</v>
      </c>
      <c r="AA38" s="333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9"/>
    </row>
    <row r="39" spans="1:42" ht="23.1" customHeight="1" x14ac:dyDescent="0.25">
      <c r="A39" s="671">
        <v>23</v>
      </c>
      <c r="B39" s="592" t="s">
        <v>259</v>
      </c>
      <c r="C39" s="27" t="s">
        <v>260</v>
      </c>
      <c r="D39" s="596"/>
      <c r="E39" s="596"/>
      <c r="F39" s="596">
        <f>300</f>
        <v>300</v>
      </c>
      <c r="G39" s="596"/>
      <c r="H39" s="596"/>
      <c r="I39" s="596"/>
      <c r="J39" s="596"/>
      <c r="K39" s="596"/>
      <c r="L39" s="596"/>
      <c r="M39" s="596"/>
      <c r="N39" s="596"/>
      <c r="O39" s="596"/>
      <c r="P39" s="596"/>
      <c r="Q39" s="596"/>
      <c r="R39" s="596">
        <f t="shared" si="1"/>
        <v>300</v>
      </c>
      <c r="S39" s="596"/>
      <c r="T39" s="596"/>
      <c r="U39" s="596"/>
      <c r="V39" s="596"/>
      <c r="W39" s="596"/>
      <c r="X39" s="598">
        <f t="shared" si="18"/>
        <v>0</v>
      </c>
      <c r="Y39" s="599">
        <f t="shared" si="19"/>
        <v>300</v>
      </c>
      <c r="Z39" s="600"/>
      <c r="AA39" s="333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9"/>
    </row>
    <row r="40" spans="1:42" ht="23.1" customHeight="1" x14ac:dyDescent="0.25">
      <c r="A40" s="671">
        <v>24</v>
      </c>
      <c r="B40" s="592" t="s">
        <v>282</v>
      </c>
      <c r="C40" s="27" t="s">
        <v>283</v>
      </c>
      <c r="D40" s="596">
        <f>2363</f>
        <v>2363</v>
      </c>
      <c r="E40" s="596">
        <f>415</f>
        <v>415</v>
      </c>
      <c r="F40" s="596">
        <f>36+70+4+60+17+40+120+33+447+120</f>
        <v>947</v>
      </c>
      <c r="G40" s="596"/>
      <c r="H40" s="596"/>
      <c r="I40" s="596"/>
      <c r="J40" s="596">
        <v>400</v>
      </c>
      <c r="K40" s="596">
        <f>-4125</f>
        <v>-4125</v>
      </c>
      <c r="L40" s="596"/>
      <c r="M40" s="596"/>
      <c r="N40" s="596"/>
      <c r="O40" s="596"/>
      <c r="P40" s="596"/>
      <c r="Q40" s="596"/>
      <c r="R40" s="596">
        <f t="shared" si="1"/>
        <v>0</v>
      </c>
      <c r="S40" s="596"/>
      <c r="T40" s="596"/>
      <c r="U40" s="596"/>
      <c r="V40" s="596"/>
      <c r="W40" s="596"/>
      <c r="X40" s="598">
        <f t="shared" ref="X40" si="26">SUM(T40:W40)</f>
        <v>0</v>
      </c>
      <c r="Y40" s="599">
        <f t="shared" ref="Y40" si="27">R40+X40</f>
        <v>0</v>
      </c>
      <c r="Z40" s="600"/>
      <c r="AA40" s="333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9"/>
    </row>
    <row r="41" spans="1:42" ht="23.1" customHeight="1" x14ac:dyDescent="0.25">
      <c r="A41" s="671">
        <v>25</v>
      </c>
      <c r="B41" s="592" t="s">
        <v>280</v>
      </c>
      <c r="C41" s="27" t="s">
        <v>281</v>
      </c>
      <c r="D41" s="596">
        <f>200</f>
        <v>200</v>
      </c>
      <c r="E41" s="596">
        <f>40+2</f>
        <v>42</v>
      </c>
      <c r="F41" s="596">
        <f>243+65</f>
        <v>308</v>
      </c>
      <c r="G41" s="596"/>
      <c r="H41" s="596"/>
      <c r="I41" s="596"/>
      <c r="J41" s="596">
        <f>100</f>
        <v>100</v>
      </c>
      <c r="K41" s="596">
        <f>-750</f>
        <v>-750</v>
      </c>
      <c r="L41" s="596">
        <f>79+21</f>
        <v>100</v>
      </c>
      <c r="M41" s="596"/>
      <c r="N41" s="596"/>
      <c r="O41" s="596"/>
      <c r="P41" s="596"/>
      <c r="Q41" s="596"/>
      <c r="R41" s="596">
        <f t="shared" si="1"/>
        <v>0</v>
      </c>
      <c r="S41" s="596"/>
      <c r="T41" s="596"/>
      <c r="U41" s="596"/>
      <c r="V41" s="596"/>
      <c r="W41" s="596"/>
      <c r="X41" s="598">
        <f t="shared" si="18"/>
        <v>0</v>
      </c>
      <c r="Y41" s="599">
        <f t="shared" si="19"/>
        <v>0</v>
      </c>
      <c r="Z41" s="600"/>
      <c r="AA41" s="333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9"/>
    </row>
    <row r="42" spans="1:42" ht="35.1" customHeight="1" x14ac:dyDescent="0.25">
      <c r="A42" s="671">
        <v>26</v>
      </c>
      <c r="B42" s="592" t="s">
        <v>288</v>
      </c>
      <c r="C42" s="27" t="s">
        <v>289</v>
      </c>
      <c r="D42" s="596"/>
      <c r="E42" s="596"/>
      <c r="F42" s="596">
        <f>2195+593</f>
        <v>2788</v>
      </c>
      <c r="G42" s="596"/>
      <c r="H42" s="596"/>
      <c r="I42" s="596"/>
      <c r="J42" s="596"/>
      <c r="K42" s="596"/>
      <c r="L42" s="596"/>
      <c r="M42" s="596"/>
      <c r="N42" s="596"/>
      <c r="O42" s="596"/>
      <c r="P42" s="596"/>
      <c r="Q42" s="596"/>
      <c r="R42" s="596">
        <f t="shared" si="1"/>
        <v>2788</v>
      </c>
      <c r="S42" s="596"/>
      <c r="T42" s="596"/>
      <c r="U42" s="596"/>
      <c r="V42" s="596"/>
      <c r="W42" s="596"/>
      <c r="X42" s="598">
        <f t="shared" ref="X42" si="28">SUM(T42:W42)</f>
        <v>0</v>
      </c>
      <c r="Y42" s="599">
        <f t="shared" ref="Y42" si="29">R42+X42</f>
        <v>2788</v>
      </c>
      <c r="Z42" s="600"/>
      <c r="AA42" s="333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9"/>
    </row>
    <row r="43" spans="1:42" ht="23.1" customHeight="1" x14ac:dyDescent="0.25">
      <c r="A43" s="671">
        <v>27</v>
      </c>
      <c r="B43" s="592" t="s">
        <v>275</v>
      </c>
      <c r="C43" s="27" t="s">
        <v>273</v>
      </c>
      <c r="D43" s="596"/>
      <c r="E43" s="596"/>
      <c r="F43" s="596"/>
      <c r="G43" s="596"/>
      <c r="H43" s="596"/>
      <c r="I43" s="596"/>
      <c r="J43" s="596">
        <f>150</f>
        <v>150</v>
      </c>
      <c r="K43" s="596">
        <f>-150</f>
        <v>-150</v>
      </c>
      <c r="L43" s="596"/>
      <c r="M43" s="596"/>
      <c r="N43" s="596"/>
      <c r="O43" s="596"/>
      <c r="P43" s="596"/>
      <c r="Q43" s="596"/>
      <c r="R43" s="596">
        <f t="shared" si="1"/>
        <v>0</v>
      </c>
      <c r="S43" s="596"/>
      <c r="T43" s="596"/>
      <c r="U43" s="596"/>
      <c r="V43" s="596"/>
      <c r="W43" s="596"/>
      <c r="X43" s="598">
        <f t="shared" si="18"/>
        <v>0</v>
      </c>
      <c r="Y43" s="599">
        <f t="shared" si="19"/>
        <v>0</v>
      </c>
      <c r="Z43" s="600"/>
      <c r="AA43" s="333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9"/>
    </row>
    <row r="44" spans="1:42" ht="23.1" customHeight="1" x14ac:dyDescent="0.25">
      <c r="A44" s="671">
        <v>28</v>
      </c>
      <c r="B44" s="592" t="s">
        <v>274</v>
      </c>
      <c r="C44" s="27" t="s">
        <v>273</v>
      </c>
      <c r="D44" s="596"/>
      <c r="E44" s="596"/>
      <c r="F44" s="596"/>
      <c r="G44" s="596"/>
      <c r="H44" s="596"/>
      <c r="I44" s="596"/>
      <c r="J44" s="596">
        <f>50</f>
        <v>50</v>
      </c>
      <c r="K44" s="596">
        <f>-50</f>
        <v>-50</v>
      </c>
      <c r="L44" s="596"/>
      <c r="M44" s="596"/>
      <c r="N44" s="596"/>
      <c r="O44" s="596"/>
      <c r="P44" s="596"/>
      <c r="Q44" s="596"/>
      <c r="R44" s="596">
        <f t="shared" si="1"/>
        <v>0</v>
      </c>
      <c r="S44" s="596"/>
      <c r="T44" s="596"/>
      <c r="U44" s="596"/>
      <c r="V44" s="596"/>
      <c r="W44" s="596"/>
      <c r="X44" s="598">
        <f t="shared" si="18"/>
        <v>0</v>
      </c>
      <c r="Y44" s="599">
        <f t="shared" si="19"/>
        <v>0</v>
      </c>
      <c r="Z44" s="600"/>
      <c r="AA44" s="333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9"/>
    </row>
    <row r="45" spans="1:42" ht="23.1" customHeight="1" x14ac:dyDescent="0.25">
      <c r="A45" s="671">
        <v>29</v>
      </c>
      <c r="B45" s="592" t="s">
        <v>276</v>
      </c>
      <c r="C45" s="27" t="s">
        <v>277</v>
      </c>
      <c r="D45" s="596"/>
      <c r="E45" s="596"/>
      <c r="F45" s="596">
        <f>-51-14</f>
        <v>-65</v>
      </c>
      <c r="G45" s="596"/>
      <c r="H45" s="596"/>
      <c r="I45" s="596"/>
      <c r="J45" s="596"/>
      <c r="K45" s="596"/>
      <c r="L45" s="596">
        <f>51+14</f>
        <v>65</v>
      </c>
      <c r="M45" s="596"/>
      <c r="N45" s="596"/>
      <c r="O45" s="596"/>
      <c r="P45" s="596"/>
      <c r="Q45" s="596"/>
      <c r="R45" s="596">
        <f t="shared" si="1"/>
        <v>0</v>
      </c>
      <c r="S45" s="596"/>
      <c r="T45" s="596"/>
      <c r="U45" s="596"/>
      <c r="V45" s="596"/>
      <c r="W45" s="596"/>
      <c r="X45" s="598">
        <f t="shared" ref="X45" si="30">SUM(T45:W45)</f>
        <v>0</v>
      </c>
      <c r="Y45" s="599">
        <f t="shared" ref="Y45" si="31">R45+X45</f>
        <v>0</v>
      </c>
      <c r="Z45" s="600"/>
      <c r="AA45" s="333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9"/>
    </row>
    <row r="46" spans="1:42" ht="23.1" customHeight="1" x14ac:dyDescent="0.25">
      <c r="A46" s="671">
        <v>30</v>
      </c>
      <c r="B46" s="592" t="s">
        <v>278</v>
      </c>
      <c r="C46" s="27" t="s">
        <v>279</v>
      </c>
      <c r="D46" s="596"/>
      <c r="E46" s="596"/>
      <c r="F46" s="596">
        <f>-228-62</f>
        <v>-290</v>
      </c>
      <c r="G46" s="596"/>
      <c r="H46" s="596"/>
      <c r="I46" s="596"/>
      <c r="J46" s="596"/>
      <c r="K46" s="596"/>
      <c r="L46" s="596">
        <f>228+62</f>
        <v>290</v>
      </c>
      <c r="M46" s="596"/>
      <c r="N46" s="596"/>
      <c r="O46" s="596"/>
      <c r="P46" s="596"/>
      <c r="Q46" s="596"/>
      <c r="R46" s="596">
        <f t="shared" si="1"/>
        <v>0</v>
      </c>
      <c r="S46" s="596"/>
      <c r="T46" s="596"/>
      <c r="U46" s="596"/>
      <c r="V46" s="596"/>
      <c r="W46" s="596"/>
      <c r="X46" s="598">
        <f t="shared" ref="X46" si="32">SUM(T46:W46)</f>
        <v>0</v>
      </c>
      <c r="Y46" s="599">
        <f t="shared" ref="Y46" si="33">R46+X46</f>
        <v>0</v>
      </c>
      <c r="Z46" s="600"/>
      <c r="AA46" s="333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9"/>
    </row>
    <row r="47" spans="1:42" ht="23.1" customHeight="1" x14ac:dyDescent="0.25">
      <c r="A47" s="671">
        <v>31</v>
      </c>
      <c r="B47" s="592" t="s">
        <v>327</v>
      </c>
      <c r="C47" s="27" t="s">
        <v>279</v>
      </c>
      <c r="D47" s="596"/>
      <c r="E47" s="596"/>
      <c r="F47" s="596">
        <f>-62-17</f>
        <v>-79</v>
      </c>
      <c r="G47" s="596"/>
      <c r="H47" s="596"/>
      <c r="I47" s="596"/>
      <c r="J47" s="596"/>
      <c r="K47" s="596"/>
      <c r="L47" s="596">
        <f>62+17</f>
        <v>79</v>
      </c>
      <c r="M47" s="596"/>
      <c r="N47" s="596"/>
      <c r="O47" s="596"/>
      <c r="P47" s="596"/>
      <c r="Q47" s="596"/>
      <c r="R47" s="596">
        <f t="shared" si="1"/>
        <v>0</v>
      </c>
      <c r="S47" s="596"/>
      <c r="T47" s="596"/>
      <c r="U47" s="596"/>
      <c r="V47" s="596"/>
      <c r="W47" s="596"/>
      <c r="X47" s="598">
        <f t="shared" ref="X47" si="34">SUM(T47:W47)</f>
        <v>0</v>
      </c>
      <c r="Y47" s="599">
        <f t="shared" ref="Y47" si="35">R47+X47</f>
        <v>0</v>
      </c>
      <c r="Z47" s="600"/>
      <c r="AA47" s="333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9"/>
    </row>
    <row r="48" spans="1:42" ht="23.1" customHeight="1" x14ac:dyDescent="0.25">
      <c r="A48" s="671">
        <v>32</v>
      </c>
      <c r="B48" s="592" t="s">
        <v>270</v>
      </c>
      <c r="C48" s="27" t="s">
        <v>271</v>
      </c>
      <c r="D48" s="596">
        <f>252</f>
        <v>252</v>
      </c>
      <c r="E48" s="596"/>
      <c r="F48" s="596">
        <f>-252-69+69</f>
        <v>-252</v>
      </c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>
        <f t="shared" si="1"/>
        <v>0</v>
      </c>
      <c r="S48" s="596"/>
      <c r="T48" s="596"/>
      <c r="U48" s="596"/>
      <c r="V48" s="596"/>
      <c r="W48" s="596"/>
      <c r="X48" s="598">
        <f t="shared" si="2"/>
        <v>0</v>
      </c>
      <c r="Y48" s="599">
        <f t="shared" si="3"/>
        <v>0</v>
      </c>
      <c r="Z48" s="600"/>
      <c r="AA48" s="333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9"/>
    </row>
    <row r="49" spans="1:42" ht="23.1" customHeight="1" x14ac:dyDescent="0.25">
      <c r="A49" s="671">
        <v>33</v>
      </c>
      <c r="B49" s="592" t="s">
        <v>272</v>
      </c>
      <c r="C49" s="27" t="s">
        <v>273</v>
      </c>
      <c r="D49" s="596"/>
      <c r="E49" s="596"/>
      <c r="F49" s="596"/>
      <c r="G49" s="596"/>
      <c r="H49" s="596"/>
      <c r="I49" s="596"/>
      <c r="J49" s="596">
        <f>210</f>
        <v>210</v>
      </c>
      <c r="K49" s="596">
        <f>-210</f>
        <v>-210</v>
      </c>
      <c r="L49" s="596"/>
      <c r="M49" s="596"/>
      <c r="N49" s="596"/>
      <c r="O49" s="596"/>
      <c r="P49" s="596"/>
      <c r="Q49" s="596"/>
      <c r="R49" s="596">
        <f t="shared" si="1"/>
        <v>0</v>
      </c>
      <c r="S49" s="596"/>
      <c r="T49" s="596"/>
      <c r="U49" s="596"/>
      <c r="V49" s="596"/>
      <c r="W49" s="596"/>
      <c r="X49" s="598">
        <f t="shared" si="2"/>
        <v>0</v>
      </c>
      <c r="Y49" s="599">
        <f t="shared" si="3"/>
        <v>0</v>
      </c>
      <c r="Z49" s="600"/>
      <c r="AA49" s="333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9"/>
    </row>
    <row r="50" spans="1:42" ht="23.1" customHeight="1" x14ac:dyDescent="0.25">
      <c r="A50" s="671">
        <v>34</v>
      </c>
      <c r="B50" s="592" t="s">
        <v>298</v>
      </c>
      <c r="C50" s="27" t="s">
        <v>299</v>
      </c>
      <c r="D50" s="596"/>
      <c r="E50" s="596"/>
      <c r="F50" s="596">
        <f>-766.142-206.858</f>
        <v>-973</v>
      </c>
      <c r="G50" s="596"/>
      <c r="H50" s="596"/>
      <c r="I50" s="596"/>
      <c r="J50" s="596"/>
      <c r="K50" s="596"/>
      <c r="L50" s="596"/>
      <c r="M50" s="596"/>
      <c r="N50" s="596"/>
      <c r="O50" s="596"/>
      <c r="P50" s="596"/>
      <c r="Q50" s="596"/>
      <c r="R50" s="596">
        <f t="shared" si="1"/>
        <v>-973</v>
      </c>
      <c r="S50" s="596"/>
      <c r="T50" s="596"/>
      <c r="U50" s="596"/>
      <c r="V50" s="596"/>
      <c r="W50" s="596"/>
      <c r="X50" s="598">
        <f t="shared" ref="X50" si="36">SUM(T50:W50)</f>
        <v>0</v>
      </c>
      <c r="Y50" s="599">
        <f t="shared" ref="Y50" si="37">R50+X50</f>
        <v>-973</v>
      </c>
      <c r="Z50" s="600">
        <f>973</f>
        <v>973</v>
      </c>
      <c r="AA50" s="333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9"/>
    </row>
    <row r="51" spans="1:42" ht="23.1" customHeight="1" x14ac:dyDescent="0.25">
      <c r="A51" s="671">
        <v>35</v>
      </c>
      <c r="B51" s="592" t="s">
        <v>294</v>
      </c>
      <c r="C51" s="27" t="s">
        <v>296</v>
      </c>
      <c r="D51" s="596"/>
      <c r="E51" s="596"/>
      <c r="F51" s="596"/>
      <c r="G51" s="596"/>
      <c r="H51" s="596"/>
      <c r="I51" s="596"/>
      <c r="J51" s="596"/>
      <c r="K51" s="596"/>
      <c r="L51" s="596"/>
      <c r="M51" s="596"/>
      <c r="N51" s="596"/>
      <c r="O51" s="596"/>
      <c r="P51" s="596"/>
      <c r="Q51" s="596"/>
      <c r="R51" s="596">
        <f t="shared" si="1"/>
        <v>0</v>
      </c>
      <c r="S51" s="596"/>
      <c r="T51" s="596"/>
      <c r="U51" s="596"/>
      <c r="V51" s="596"/>
      <c r="W51" s="596"/>
      <c r="X51" s="598">
        <f t="shared" si="2"/>
        <v>0</v>
      </c>
      <c r="Y51" s="599">
        <f t="shared" si="3"/>
        <v>0</v>
      </c>
      <c r="Z51" s="600">
        <v>129.41800000000001</v>
      </c>
      <c r="AA51" s="333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9"/>
    </row>
    <row r="52" spans="1:42" ht="23.1" customHeight="1" x14ac:dyDescent="0.25">
      <c r="A52" s="671">
        <v>36</v>
      </c>
      <c r="B52" s="592" t="s">
        <v>294</v>
      </c>
      <c r="C52" s="27" t="s">
        <v>295</v>
      </c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N52" s="596"/>
      <c r="O52" s="596"/>
      <c r="P52" s="596"/>
      <c r="Q52" s="596"/>
      <c r="R52" s="596">
        <f t="shared" si="1"/>
        <v>0</v>
      </c>
      <c r="S52" s="596"/>
      <c r="T52" s="596"/>
      <c r="U52" s="596"/>
      <c r="V52" s="596"/>
      <c r="W52" s="596"/>
      <c r="X52" s="598">
        <f t="shared" si="2"/>
        <v>0</v>
      </c>
      <c r="Y52" s="599">
        <f t="shared" si="3"/>
        <v>0</v>
      </c>
      <c r="Z52" s="600">
        <v>2358.4560000000001</v>
      </c>
      <c r="AA52" s="333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9"/>
    </row>
    <row r="53" spans="1:42" ht="23.1" customHeight="1" x14ac:dyDescent="0.25">
      <c r="A53" s="671">
        <v>37</v>
      </c>
      <c r="B53" s="592" t="s">
        <v>294</v>
      </c>
      <c r="C53" s="27" t="s">
        <v>297</v>
      </c>
      <c r="D53" s="596"/>
      <c r="E53" s="596"/>
      <c r="F53" s="596"/>
      <c r="G53" s="596"/>
      <c r="H53" s="596"/>
      <c r="I53" s="596"/>
      <c r="J53" s="596"/>
      <c r="K53" s="596"/>
      <c r="L53" s="596"/>
      <c r="M53" s="596"/>
      <c r="N53" s="596"/>
      <c r="O53" s="596"/>
      <c r="P53" s="596"/>
      <c r="Q53" s="596"/>
      <c r="R53" s="596">
        <f t="shared" si="1"/>
        <v>0</v>
      </c>
      <c r="S53" s="596"/>
      <c r="T53" s="596"/>
      <c r="U53" s="596"/>
      <c r="V53" s="596"/>
      <c r="W53" s="596"/>
      <c r="X53" s="598">
        <f t="shared" si="2"/>
        <v>0</v>
      </c>
      <c r="Y53" s="599">
        <f t="shared" si="3"/>
        <v>0</v>
      </c>
      <c r="Z53" s="600">
        <v>1020.653</v>
      </c>
      <c r="AA53" s="333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9"/>
    </row>
    <row r="54" spans="1:42" ht="23.1" customHeight="1" x14ac:dyDescent="0.25">
      <c r="A54" s="671">
        <v>38</v>
      </c>
      <c r="B54" s="592" t="s">
        <v>300</v>
      </c>
      <c r="C54" s="27" t="s">
        <v>301</v>
      </c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>
        <f t="shared" si="1"/>
        <v>0</v>
      </c>
      <c r="S54" s="596"/>
      <c r="T54" s="596"/>
      <c r="U54" s="596"/>
      <c r="V54" s="596"/>
      <c r="W54" s="596"/>
      <c r="X54" s="598">
        <f t="shared" si="2"/>
        <v>0</v>
      </c>
      <c r="Y54" s="599">
        <f t="shared" si="3"/>
        <v>0</v>
      </c>
      <c r="Z54" s="600">
        <f>15924.323</f>
        <v>15924.323</v>
      </c>
      <c r="AA54" s="333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9"/>
    </row>
    <row r="55" spans="1:42" ht="23.1" customHeight="1" x14ac:dyDescent="0.25">
      <c r="A55" s="671">
        <v>39</v>
      </c>
      <c r="B55" s="592" t="s">
        <v>302</v>
      </c>
      <c r="C55" s="27" t="s">
        <v>303</v>
      </c>
      <c r="D55" s="596"/>
      <c r="E55" s="596"/>
      <c r="F55" s="596"/>
      <c r="G55" s="596"/>
      <c r="H55" s="596"/>
      <c r="I55" s="596"/>
      <c r="J55" s="596"/>
      <c r="K55" s="596">
        <f>-4700</f>
        <v>-4700</v>
      </c>
      <c r="L55" s="596"/>
      <c r="M55" s="596"/>
      <c r="N55" s="596"/>
      <c r="O55" s="596"/>
      <c r="P55" s="596"/>
      <c r="Q55" s="596"/>
      <c r="R55" s="596">
        <f t="shared" si="1"/>
        <v>-4700</v>
      </c>
      <c r="S55" s="596"/>
      <c r="T55" s="596"/>
      <c r="U55" s="596"/>
      <c r="V55" s="596"/>
      <c r="W55" s="596"/>
      <c r="X55" s="598">
        <f t="shared" si="2"/>
        <v>0</v>
      </c>
      <c r="Y55" s="599">
        <f t="shared" si="3"/>
        <v>-4700</v>
      </c>
      <c r="Z55" s="600">
        <f>4700</f>
        <v>4700</v>
      </c>
      <c r="AA55" s="333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9"/>
    </row>
    <row r="56" spans="1:42" ht="23.1" customHeight="1" x14ac:dyDescent="0.25">
      <c r="A56" s="671">
        <v>40</v>
      </c>
      <c r="B56" s="124" t="s">
        <v>309</v>
      </c>
      <c r="C56" s="27" t="s">
        <v>310</v>
      </c>
      <c r="D56" s="596"/>
      <c r="E56" s="596"/>
      <c r="F56" s="596"/>
      <c r="G56" s="596"/>
      <c r="H56" s="596"/>
      <c r="I56" s="596"/>
      <c r="J56" s="596"/>
      <c r="K56" s="596">
        <f>877</f>
        <v>877</v>
      </c>
      <c r="L56" s="596"/>
      <c r="M56" s="596"/>
      <c r="N56" s="596"/>
      <c r="O56" s="596"/>
      <c r="P56" s="596"/>
      <c r="Q56" s="596"/>
      <c r="R56" s="596">
        <f t="shared" si="1"/>
        <v>877</v>
      </c>
      <c r="S56" s="596"/>
      <c r="T56" s="596"/>
      <c r="U56" s="596"/>
      <c r="V56" s="596"/>
      <c r="W56" s="596"/>
      <c r="X56" s="598">
        <f t="shared" si="2"/>
        <v>0</v>
      </c>
      <c r="Y56" s="599">
        <f t="shared" si="3"/>
        <v>877</v>
      </c>
      <c r="Z56" s="600"/>
      <c r="AA56" s="333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9"/>
    </row>
    <row r="57" spans="1:42" ht="23.1" customHeight="1" x14ac:dyDescent="0.25">
      <c r="A57" s="671">
        <v>41</v>
      </c>
      <c r="B57" s="215" t="s">
        <v>311</v>
      </c>
      <c r="C57" s="27" t="s">
        <v>312</v>
      </c>
      <c r="D57" s="596"/>
      <c r="E57" s="596"/>
      <c r="F57" s="596">
        <f>-6600-1782</f>
        <v>-8382</v>
      </c>
      <c r="G57" s="596"/>
      <c r="H57" s="596"/>
      <c r="I57" s="596"/>
      <c r="J57" s="596"/>
      <c r="K57" s="596"/>
      <c r="L57" s="596">
        <f>6600+1782</f>
        <v>8382</v>
      </c>
      <c r="M57" s="596"/>
      <c r="N57" s="596"/>
      <c r="O57" s="596"/>
      <c r="P57" s="596"/>
      <c r="Q57" s="596"/>
      <c r="R57" s="596">
        <f t="shared" si="1"/>
        <v>0</v>
      </c>
      <c r="S57" s="596"/>
      <c r="T57" s="596"/>
      <c r="U57" s="596"/>
      <c r="V57" s="596"/>
      <c r="W57" s="596"/>
      <c r="X57" s="598">
        <f t="shared" si="2"/>
        <v>0</v>
      </c>
      <c r="Y57" s="599">
        <f t="shared" si="3"/>
        <v>0</v>
      </c>
      <c r="Z57" s="600"/>
      <c r="AA57" s="333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9"/>
    </row>
    <row r="58" spans="1:42" ht="23.1" customHeight="1" x14ac:dyDescent="0.25">
      <c r="A58" s="671">
        <v>42</v>
      </c>
      <c r="B58" s="124" t="s">
        <v>314</v>
      </c>
      <c r="C58" s="27" t="s">
        <v>313</v>
      </c>
      <c r="D58" s="596"/>
      <c r="E58" s="596"/>
      <c r="F58" s="596"/>
      <c r="G58" s="596"/>
      <c r="H58" s="596"/>
      <c r="I58" s="596"/>
      <c r="J58" s="596"/>
      <c r="K58" s="596">
        <v>1</v>
      </c>
      <c r="L58" s="596"/>
      <c r="M58" s="596"/>
      <c r="N58" s="596"/>
      <c r="O58" s="596"/>
      <c r="P58" s="596"/>
      <c r="Q58" s="596"/>
      <c r="R58" s="596">
        <f t="shared" si="1"/>
        <v>1</v>
      </c>
      <c r="S58" s="596"/>
      <c r="T58" s="596"/>
      <c r="U58" s="596"/>
      <c r="V58" s="596"/>
      <c r="W58" s="596"/>
      <c r="X58" s="598">
        <f t="shared" si="2"/>
        <v>0</v>
      </c>
      <c r="Y58" s="599">
        <f t="shared" si="3"/>
        <v>1</v>
      </c>
      <c r="Z58" s="600"/>
      <c r="AA58" s="333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9"/>
    </row>
    <row r="59" spans="1:42" ht="23.1" customHeight="1" x14ac:dyDescent="0.25">
      <c r="A59" s="671">
        <v>43</v>
      </c>
      <c r="B59" s="215" t="s">
        <v>315</v>
      </c>
      <c r="C59" s="27" t="s">
        <v>316</v>
      </c>
      <c r="D59" s="596"/>
      <c r="E59" s="596"/>
      <c r="F59" s="596"/>
      <c r="G59" s="596"/>
      <c r="H59" s="596"/>
      <c r="I59" s="596"/>
      <c r="J59" s="596"/>
      <c r="K59" s="596">
        <f>30</f>
        <v>30</v>
      </c>
      <c r="L59" s="596"/>
      <c r="M59" s="596"/>
      <c r="N59" s="596"/>
      <c r="O59" s="596"/>
      <c r="P59" s="596"/>
      <c r="Q59" s="596"/>
      <c r="R59" s="596">
        <f t="shared" si="1"/>
        <v>30</v>
      </c>
      <c r="S59" s="596"/>
      <c r="T59" s="596"/>
      <c r="U59" s="596"/>
      <c r="V59" s="596"/>
      <c r="W59" s="596"/>
      <c r="X59" s="598">
        <f t="shared" si="2"/>
        <v>0</v>
      </c>
      <c r="Y59" s="599">
        <f t="shared" si="3"/>
        <v>30</v>
      </c>
      <c r="Z59" s="600"/>
      <c r="AA59" s="333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9"/>
    </row>
    <row r="60" spans="1:42" ht="23.1" customHeight="1" x14ac:dyDescent="0.25">
      <c r="A60" s="671">
        <v>44</v>
      </c>
      <c r="B60" s="215" t="s">
        <v>328</v>
      </c>
      <c r="C60" s="27" t="s">
        <v>329</v>
      </c>
      <c r="D60" s="596"/>
      <c r="E60" s="596"/>
      <c r="F60" s="596">
        <f>416+112+214+58</f>
        <v>800</v>
      </c>
      <c r="G60" s="596"/>
      <c r="H60" s="596"/>
      <c r="I60" s="596">
        <f>-800</f>
        <v>-800</v>
      </c>
      <c r="J60" s="596"/>
      <c r="K60" s="596"/>
      <c r="L60" s="596"/>
      <c r="M60" s="596"/>
      <c r="N60" s="596"/>
      <c r="O60" s="596"/>
      <c r="P60" s="596"/>
      <c r="Q60" s="596"/>
      <c r="R60" s="596">
        <f t="shared" si="1"/>
        <v>0</v>
      </c>
      <c r="S60" s="596"/>
      <c r="T60" s="596"/>
      <c r="U60" s="596"/>
      <c r="V60" s="596"/>
      <c r="W60" s="596"/>
      <c r="X60" s="598">
        <f t="shared" si="2"/>
        <v>0</v>
      </c>
      <c r="Y60" s="599">
        <f t="shared" si="3"/>
        <v>0</v>
      </c>
      <c r="Z60" s="600"/>
      <c r="AA60" s="333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9"/>
    </row>
    <row r="61" spans="1:42" ht="23.1" customHeight="1" x14ac:dyDescent="0.25">
      <c r="A61" s="671">
        <v>45</v>
      </c>
      <c r="B61" s="215" t="s">
        <v>334</v>
      </c>
      <c r="C61" s="27" t="s">
        <v>335</v>
      </c>
      <c r="D61" s="596"/>
      <c r="E61" s="596"/>
      <c r="F61" s="596"/>
      <c r="G61" s="596"/>
      <c r="H61" s="596"/>
      <c r="I61" s="596"/>
      <c r="J61" s="596"/>
      <c r="K61" s="596">
        <f>-3556</f>
        <v>-3556</v>
      </c>
      <c r="L61" s="596"/>
      <c r="M61" s="596"/>
      <c r="N61" s="596"/>
      <c r="O61" s="596"/>
      <c r="P61" s="596"/>
      <c r="Q61" s="596"/>
      <c r="R61" s="596">
        <f t="shared" si="1"/>
        <v>-3556</v>
      </c>
      <c r="S61" s="596"/>
      <c r="T61" s="596"/>
      <c r="U61" s="596"/>
      <c r="V61" s="596"/>
      <c r="W61" s="596"/>
      <c r="X61" s="598">
        <f t="shared" ref="X61" si="38">SUM(T61:W61)</f>
        <v>0</v>
      </c>
      <c r="Y61" s="599">
        <f t="shared" ref="Y61" si="39">R61+X61</f>
        <v>-3556</v>
      </c>
      <c r="Z61" s="600">
        <f>3556</f>
        <v>3556</v>
      </c>
      <c r="AA61" s="333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9"/>
    </row>
    <row r="62" spans="1:42" ht="23.1" customHeight="1" x14ac:dyDescent="0.25">
      <c r="A62" s="671">
        <v>46</v>
      </c>
      <c r="B62" s="215" t="s">
        <v>331</v>
      </c>
      <c r="C62" s="27" t="s">
        <v>330</v>
      </c>
      <c r="D62" s="596"/>
      <c r="E62" s="596"/>
      <c r="F62" s="596"/>
      <c r="G62" s="596"/>
      <c r="H62" s="596"/>
      <c r="I62" s="596"/>
      <c r="J62" s="596"/>
      <c r="K62" s="596">
        <f>1850</f>
        <v>1850</v>
      </c>
      <c r="L62" s="596"/>
      <c r="M62" s="596"/>
      <c r="N62" s="596"/>
      <c r="O62" s="596"/>
      <c r="P62" s="596"/>
      <c r="Q62" s="596"/>
      <c r="R62" s="596">
        <f t="shared" si="1"/>
        <v>1850</v>
      </c>
      <c r="S62" s="596"/>
      <c r="T62" s="596"/>
      <c r="U62" s="596"/>
      <c r="V62" s="596"/>
      <c r="W62" s="596"/>
      <c r="X62" s="598">
        <f t="shared" si="2"/>
        <v>0</v>
      </c>
      <c r="Y62" s="599">
        <f t="shared" si="3"/>
        <v>1850</v>
      </c>
      <c r="Z62" s="600"/>
      <c r="AA62" s="333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9"/>
    </row>
    <row r="63" spans="1:42" ht="23.1" customHeight="1" x14ac:dyDescent="0.25">
      <c r="A63" s="671">
        <v>47</v>
      </c>
      <c r="B63" s="215" t="s">
        <v>332</v>
      </c>
      <c r="C63" s="27" t="s">
        <v>333</v>
      </c>
      <c r="D63" s="596"/>
      <c r="E63" s="596"/>
      <c r="F63" s="596"/>
      <c r="G63" s="596"/>
      <c r="H63" s="596"/>
      <c r="I63" s="596"/>
      <c r="J63" s="596"/>
      <c r="K63" s="596">
        <f>13619</f>
        <v>13619</v>
      </c>
      <c r="L63" s="596"/>
      <c r="M63" s="596"/>
      <c r="N63" s="596"/>
      <c r="O63" s="596"/>
      <c r="P63" s="596"/>
      <c r="Q63" s="596"/>
      <c r="R63" s="596">
        <f t="shared" si="1"/>
        <v>13619</v>
      </c>
      <c r="S63" s="596"/>
      <c r="T63" s="596"/>
      <c r="U63" s="596"/>
      <c r="V63" s="596"/>
      <c r="W63" s="596"/>
      <c r="X63" s="598">
        <f t="shared" si="2"/>
        <v>0</v>
      </c>
      <c r="Y63" s="599">
        <f t="shared" si="3"/>
        <v>13619</v>
      </c>
      <c r="Z63" s="600"/>
      <c r="AA63" s="333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9"/>
    </row>
    <row r="64" spans="1:42" ht="23.1" customHeight="1" x14ac:dyDescent="0.25">
      <c r="A64" s="671">
        <v>48</v>
      </c>
      <c r="B64" s="215" t="s">
        <v>339</v>
      </c>
      <c r="C64" s="27" t="s">
        <v>337</v>
      </c>
      <c r="D64" s="596"/>
      <c r="E64" s="596"/>
      <c r="F64" s="596"/>
      <c r="G64" s="596"/>
      <c r="H64" s="596"/>
      <c r="I64" s="596"/>
      <c r="J64" s="596"/>
      <c r="K64" s="596">
        <f>85</f>
        <v>85</v>
      </c>
      <c r="L64" s="596"/>
      <c r="M64" s="596"/>
      <c r="N64" s="596"/>
      <c r="O64" s="596"/>
      <c r="P64" s="596"/>
      <c r="Q64" s="596"/>
      <c r="R64" s="596">
        <f t="shared" si="1"/>
        <v>85</v>
      </c>
      <c r="S64" s="596"/>
      <c r="T64" s="596"/>
      <c r="U64" s="596"/>
      <c r="V64" s="596"/>
      <c r="W64" s="596"/>
      <c r="X64" s="598">
        <f t="shared" si="2"/>
        <v>0</v>
      </c>
      <c r="Y64" s="599">
        <f t="shared" si="3"/>
        <v>85</v>
      </c>
      <c r="Z64" s="600"/>
      <c r="AA64" s="333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9"/>
    </row>
    <row r="65" spans="1:42" ht="23.1" customHeight="1" x14ac:dyDescent="0.25">
      <c r="A65" s="671">
        <v>49</v>
      </c>
      <c r="B65" s="124" t="s">
        <v>340</v>
      </c>
      <c r="C65" s="27" t="s">
        <v>341</v>
      </c>
      <c r="D65" s="596"/>
      <c r="E65" s="596"/>
      <c r="F65" s="596">
        <f>1800</f>
        <v>1800</v>
      </c>
      <c r="G65" s="596">
        <f>-1800</f>
        <v>-1800</v>
      </c>
      <c r="H65" s="596"/>
      <c r="I65" s="596"/>
      <c r="J65" s="596"/>
      <c r="K65" s="596"/>
      <c r="L65" s="596"/>
      <c r="M65" s="596"/>
      <c r="N65" s="596"/>
      <c r="O65" s="596"/>
      <c r="P65" s="596"/>
      <c r="Q65" s="596"/>
      <c r="R65" s="596">
        <f t="shared" si="1"/>
        <v>0</v>
      </c>
      <c r="S65" s="596"/>
      <c r="T65" s="596"/>
      <c r="U65" s="596"/>
      <c r="V65" s="596"/>
      <c r="W65" s="596"/>
      <c r="X65" s="598">
        <f>SUM(T65:W65)</f>
        <v>0</v>
      </c>
      <c r="Y65" s="599">
        <f>R65+X65</f>
        <v>0</v>
      </c>
      <c r="Z65" s="600"/>
      <c r="AA65" s="333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9"/>
    </row>
    <row r="66" spans="1:42" ht="23.1" customHeight="1" x14ac:dyDescent="0.25">
      <c r="A66" s="671">
        <v>50</v>
      </c>
      <c r="B66" s="124" t="s">
        <v>342</v>
      </c>
      <c r="C66" s="662" t="s">
        <v>345</v>
      </c>
      <c r="D66" s="596"/>
      <c r="E66" s="596"/>
      <c r="F66" s="596"/>
      <c r="G66" s="596"/>
      <c r="H66" s="596"/>
      <c r="I66" s="596"/>
      <c r="J66" s="596"/>
      <c r="K66" s="596">
        <f>240</f>
        <v>240</v>
      </c>
      <c r="L66" s="596"/>
      <c r="M66" s="596"/>
      <c r="N66" s="596"/>
      <c r="O66" s="596"/>
      <c r="P66" s="596"/>
      <c r="Q66" s="596"/>
      <c r="R66" s="596">
        <f t="shared" si="1"/>
        <v>240</v>
      </c>
      <c r="S66" s="596"/>
      <c r="T66" s="596"/>
      <c r="U66" s="596"/>
      <c r="V66" s="596"/>
      <c r="W66" s="596"/>
      <c r="X66" s="598">
        <f t="shared" si="2"/>
        <v>0</v>
      </c>
      <c r="Y66" s="599">
        <f t="shared" si="3"/>
        <v>240</v>
      </c>
      <c r="Z66" s="600"/>
      <c r="AA66" s="333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9"/>
    </row>
    <row r="67" spans="1:42" ht="23.1" customHeight="1" x14ac:dyDescent="0.25">
      <c r="A67" s="671">
        <v>51</v>
      </c>
      <c r="B67" s="124" t="s">
        <v>343</v>
      </c>
      <c r="C67" s="27" t="s">
        <v>344</v>
      </c>
      <c r="D67" s="596"/>
      <c r="E67" s="596"/>
      <c r="F67" s="596"/>
      <c r="G67" s="596"/>
      <c r="H67" s="596"/>
      <c r="I67" s="596"/>
      <c r="J67" s="596"/>
      <c r="K67" s="596">
        <f>25+7</f>
        <v>32</v>
      </c>
      <c r="L67" s="596"/>
      <c r="M67" s="596"/>
      <c r="N67" s="596"/>
      <c r="O67" s="596"/>
      <c r="P67" s="596"/>
      <c r="Q67" s="596"/>
      <c r="R67" s="596">
        <f t="shared" si="1"/>
        <v>32</v>
      </c>
      <c r="S67" s="596"/>
      <c r="T67" s="596"/>
      <c r="U67" s="596"/>
      <c r="V67" s="597"/>
      <c r="W67" s="596"/>
      <c r="X67" s="598">
        <f t="shared" si="2"/>
        <v>0</v>
      </c>
      <c r="Y67" s="599">
        <f t="shared" si="3"/>
        <v>32</v>
      </c>
      <c r="Z67" s="600"/>
      <c r="AA67" s="3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9"/>
    </row>
    <row r="68" spans="1:42" ht="23.1" customHeight="1" x14ac:dyDescent="0.25">
      <c r="A68" s="671">
        <v>52</v>
      </c>
      <c r="B68" s="124" t="s">
        <v>347</v>
      </c>
      <c r="C68" s="27" t="s">
        <v>346</v>
      </c>
      <c r="D68" s="596"/>
      <c r="E68" s="596"/>
      <c r="F68" s="596"/>
      <c r="G68" s="596"/>
      <c r="H68" s="596"/>
      <c r="I68" s="596"/>
      <c r="J68" s="596"/>
      <c r="K68" s="596">
        <f>320</f>
        <v>320</v>
      </c>
      <c r="L68" s="596"/>
      <c r="M68" s="596"/>
      <c r="N68" s="596"/>
      <c r="O68" s="596"/>
      <c r="P68" s="596"/>
      <c r="Q68" s="596"/>
      <c r="R68" s="596">
        <f t="shared" si="1"/>
        <v>320</v>
      </c>
      <c r="S68" s="596"/>
      <c r="T68" s="596"/>
      <c r="U68" s="596"/>
      <c r="V68" s="596"/>
      <c r="W68" s="596"/>
      <c r="X68" s="598">
        <f t="shared" si="2"/>
        <v>0</v>
      </c>
      <c r="Y68" s="599">
        <f t="shared" si="3"/>
        <v>320</v>
      </c>
      <c r="Z68" s="600"/>
      <c r="AA68" s="33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9"/>
    </row>
    <row r="69" spans="1:42" ht="23.1" customHeight="1" x14ac:dyDescent="0.25">
      <c r="A69" s="671">
        <v>53</v>
      </c>
      <c r="B69" s="215" t="s">
        <v>349</v>
      </c>
      <c r="C69" s="27" t="s">
        <v>348</v>
      </c>
      <c r="D69" s="596"/>
      <c r="E69" s="596"/>
      <c r="F69" s="596"/>
      <c r="G69" s="596"/>
      <c r="H69" s="596"/>
      <c r="I69" s="596"/>
      <c r="J69" s="596"/>
      <c r="K69" s="596">
        <f>596</f>
        <v>596</v>
      </c>
      <c r="L69" s="596"/>
      <c r="M69" s="596"/>
      <c r="N69" s="596"/>
      <c r="O69" s="596"/>
      <c r="P69" s="596"/>
      <c r="Q69" s="596"/>
      <c r="R69" s="596">
        <f t="shared" si="1"/>
        <v>596</v>
      </c>
      <c r="S69" s="596"/>
      <c r="T69" s="596"/>
      <c r="U69" s="596"/>
      <c r="V69" s="596"/>
      <c r="W69" s="596"/>
      <c r="X69" s="598">
        <f t="shared" si="2"/>
        <v>0</v>
      </c>
      <c r="Y69" s="599">
        <f t="shared" si="3"/>
        <v>596</v>
      </c>
      <c r="Z69" s="600"/>
      <c r="AA69" s="333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9"/>
    </row>
    <row r="70" spans="1:42" ht="23.1" customHeight="1" x14ac:dyDescent="0.25">
      <c r="A70" s="671">
        <v>54</v>
      </c>
      <c r="B70" s="124" t="s">
        <v>350</v>
      </c>
      <c r="C70" s="27" t="s">
        <v>351</v>
      </c>
      <c r="D70" s="596"/>
      <c r="E70" s="596"/>
      <c r="F70" s="596"/>
      <c r="G70" s="596"/>
      <c r="H70" s="596"/>
      <c r="I70" s="596"/>
      <c r="J70" s="596"/>
      <c r="K70" s="596">
        <f>51</f>
        <v>51</v>
      </c>
      <c r="L70" s="596"/>
      <c r="M70" s="596"/>
      <c r="N70" s="596"/>
      <c r="O70" s="596"/>
      <c r="P70" s="596"/>
      <c r="Q70" s="596"/>
      <c r="R70" s="596">
        <f t="shared" si="1"/>
        <v>51</v>
      </c>
      <c r="S70" s="596"/>
      <c r="T70" s="596"/>
      <c r="U70" s="596"/>
      <c r="V70" s="596"/>
      <c r="W70" s="596"/>
      <c r="X70" s="598">
        <f t="shared" si="2"/>
        <v>0</v>
      </c>
      <c r="Y70" s="599">
        <f t="shared" si="3"/>
        <v>51</v>
      </c>
      <c r="Z70" s="600"/>
      <c r="AA70" s="333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9"/>
    </row>
    <row r="71" spans="1:42" ht="23.1" customHeight="1" x14ac:dyDescent="0.25">
      <c r="A71" s="671">
        <v>55</v>
      </c>
      <c r="B71" s="124" t="s">
        <v>352</v>
      </c>
      <c r="C71" s="27" t="s">
        <v>242</v>
      </c>
      <c r="D71" s="596">
        <f>-110</f>
        <v>-110</v>
      </c>
      <c r="E71" s="596">
        <f>-22</f>
        <v>-22</v>
      </c>
      <c r="F71" s="596">
        <f>132</f>
        <v>132</v>
      </c>
      <c r="G71" s="596"/>
      <c r="H71" s="596"/>
      <c r="I71" s="596"/>
      <c r="J71" s="596"/>
      <c r="K71" s="596"/>
      <c r="L71" s="596"/>
      <c r="M71" s="596"/>
      <c r="N71" s="596"/>
      <c r="O71" s="596"/>
      <c r="P71" s="596"/>
      <c r="Q71" s="596"/>
      <c r="R71" s="596">
        <f t="shared" si="1"/>
        <v>0</v>
      </c>
      <c r="S71" s="596"/>
      <c r="T71" s="596"/>
      <c r="U71" s="596"/>
      <c r="V71" s="596"/>
      <c r="W71" s="596"/>
      <c r="X71" s="598">
        <f t="shared" si="2"/>
        <v>0</v>
      </c>
      <c r="Y71" s="599">
        <f t="shared" si="3"/>
        <v>0</v>
      </c>
      <c r="Z71" s="600"/>
      <c r="AA71" s="333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9"/>
    </row>
    <row r="72" spans="1:42" ht="23.1" customHeight="1" x14ac:dyDescent="0.25">
      <c r="A72" s="671">
        <v>56</v>
      </c>
      <c r="B72" s="124" t="s">
        <v>353</v>
      </c>
      <c r="C72" s="38" t="s">
        <v>242</v>
      </c>
      <c r="D72" s="596">
        <f>-317</f>
        <v>-317</v>
      </c>
      <c r="E72" s="596">
        <f>-61</f>
        <v>-61</v>
      </c>
      <c r="F72" s="596">
        <f>378</f>
        <v>378</v>
      </c>
      <c r="G72" s="596"/>
      <c r="H72" s="596"/>
      <c r="I72" s="596"/>
      <c r="J72" s="596"/>
      <c r="K72" s="596"/>
      <c r="L72" s="596"/>
      <c r="M72" s="596"/>
      <c r="N72" s="596"/>
      <c r="O72" s="596"/>
      <c r="P72" s="596"/>
      <c r="Q72" s="596"/>
      <c r="R72" s="596">
        <f t="shared" si="1"/>
        <v>0</v>
      </c>
      <c r="S72" s="596"/>
      <c r="T72" s="596"/>
      <c r="U72" s="596"/>
      <c r="V72" s="596"/>
      <c r="W72" s="596"/>
      <c r="X72" s="598">
        <f t="shared" si="2"/>
        <v>0</v>
      </c>
      <c r="Y72" s="599">
        <f t="shared" si="3"/>
        <v>0</v>
      </c>
      <c r="Z72" s="600"/>
      <c r="AA72" s="333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9"/>
    </row>
    <row r="73" spans="1:42" ht="35.1" customHeight="1" x14ac:dyDescent="0.25">
      <c r="A73" s="671">
        <v>57</v>
      </c>
      <c r="B73" s="215" t="s">
        <v>355</v>
      </c>
      <c r="C73" s="27" t="s">
        <v>354</v>
      </c>
      <c r="D73" s="596"/>
      <c r="E73" s="596"/>
      <c r="F73" s="596"/>
      <c r="G73" s="596"/>
      <c r="H73" s="596"/>
      <c r="I73" s="596"/>
      <c r="J73" s="596"/>
      <c r="K73" s="596">
        <f>14</f>
        <v>14</v>
      </c>
      <c r="L73" s="596"/>
      <c r="M73" s="596"/>
      <c r="N73" s="596"/>
      <c r="O73" s="596"/>
      <c r="P73" s="596"/>
      <c r="Q73" s="596"/>
      <c r="R73" s="596">
        <f t="shared" si="1"/>
        <v>14</v>
      </c>
      <c r="S73" s="596"/>
      <c r="T73" s="596"/>
      <c r="U73" s="596"/>
      <c r="V73" s="596"/>
      <c r="W73" s="596"/>
      <c r="X73" s="598">
        <f>SUM(T73:W73)</f>
        <v>0</v>
      </c>
      <c r="Y73" s="599">
        <f>R73+X73</f>
        <v>14</v>
      </c>
      <c r="Z73" s="600"/>
      <c r="AA73" s="333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9"/>
    </row>
    <row r="74" spans="1:42" ht="23.1" customHeight="1" x14ac:dyDescent="0.25">
      <c r="A74" s="671">
        <v>58</v>
      </c>
      <c r="B74" s="215" t="s">
        <v>356</v>
      </c>
      <c r="C74" s="27" t="s">
        <v>357</v>
      </c>
      <c r="D74" s="596"/>
      <c r="E74" s="596"/>
      <c r="F74" s="596"/>
      <c r="G74" s="596"/>
      <c r="H74" s="596"/>
      <c r="I74" s="596"/>
      <c r="J74" s="596"/>
      <c r="K74" s="596">
        <f>293</f>
        <v>293</v>
      </c>
      <c r="L74" s="596"/>
      <c r="M74" s="596"/>
      <c r="N74" s="596"/>
      <c r="O74" s="596"/>
      <c r="P74" s="596"/>
      <c r="Q74" s="596"/>
      <c r="R74" s="596">
        <f t="shared" si="1"/>
        <v>293</v>
      </c>
      <c r="S74" s="596"/>
      <c r="T74" s="596"/>
      <c r="U74" s="596"/>
      <c r="V74" s="596"/>
      <c r="W74" s="596"/>
      <c r="X74" s="598">
        <f>SUM(T74:W74)</f>
        <v>0</v>
      </c>
      <c r="Y74" s="599">
        <f>R74+X74</f>
        <v>293</v>
      </c>
      <c r="Z74" s="600"/>
      <c r="AA74" s="333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9"/>
    </row>
    <row r="75" spans="1:42" ht="23.1" customHeight="1" x14ac:dyDescent="0.25">
      <c r="A75" s="671">
        <v>59</v>
      </c>
      <c r="B75" s="215" t="s">
        <v>358</v>
      </c>
      <c r="C75" s="27" t="s">
        <v>346</v>
      </c>
      <c r="D75" s="596"/>
      <c r="E75" s="596"/>
      <c r="F75" s="596"/>
      <c r="G75" s="596"/>
      <c r="H75" s="596"/>
      <c r="I75" s="596"/>
      <c r="J75" s="596"/>
      <c r="K75" s="596">
        <f>254</f>
        <v>254</v>
      </c>
      <c r="L75" s="596"/>
      <c r="M75" s="596"/>
      <c r="N75" s="596"/>
      <c r="O75" s="596"/>
      <c r="P75" s="596"/>
      <c r="Q75" s="596"/>
      <c r="R75" s="596">
        <f t="shared" si="1"/>
        <v>254</v>
      </c>
      <c r="S75" s="596"/>
      <c r="T75" s="596"/>
      <c r="U75" s="596"/>
      <c r="V75" s="596"/>
      <c r="W75" s="596"/>
      <c r="X75" s="598">
        <f t="shared" ref="X75:X100" si="40">SUM(T75:W75)</f>
        <v>0</v>
      </c>
      <c r="Y75" s="599">
        <f t="shared" ref="Y75:Y104" si="41">R75+X75</f>
        <v>254</v>
      </c>
      <c r="Z75" s="600"/>
      <c r="AA75" s="333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9"/>
    </row>
    <row r="76" spans="1:42" ht="23.1" customHeight="1" x14ac:dyDescent="0.25">
      <c r="A76" s="671">
        <v>60</v>
      </c>
      <c r="B76" s="215" t="s">
        <v>359</v>
      </c>
      <c r="C76" s="27" t="s">
        <v>360</v>
      </c>
      <c r="D76" s="596">
        <f>-200</f>
        <v>-200</v>
      </c>
      <c r="E76" s="596">
        <f>-40-2</f>
        <v>-42</v>
      </c>
      <c r="F76" s="596">
        <f>-200-54-54</f>
        <v>-308</v>
      </c>
      <c r="G76" s="596"/>
      <c r="H76" s="596"/>
      <c r="I76" s="596"/>
      <c r="J76" s="596">
        <f>-100</f>
        <v>-100</v>
      </c>
      <c r="K76" s="596">
        <f>750</f>
        <v>750</v>
      </c>
      <c r="L76" s="596">
        <f>-79-21</f>
        <v>-100</v>
      </c>
      <c r="M76" s="596"/>
      <c r="N76" s="596"/>
      <c r="O76" s="596"/>
      <c r="P76" s="596"/>
      <c r="Q76" s="596"/>
      <c r="R76" s="596">
        <f t="shared" si="1"/>
        <v>0</v>
      </c>
      <c r="S76" s="596"/>
      <c r="T76" s="596"/>
      <c r="U76" s="596"/>
      <c r="V76" s="596"/>
      <c r="W76" s="596"/>
      <c r="X76" s="598">
        <f t="shared" si="40"/>
        <v>0</v>
      </c>
      <c r="Y76" s="599">
        <f t="shared" si="41"/>
        <v>0</v>
      </c>
      <c r="Z76" s="600"/>
      <c r="AA76" s="333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9"/>
    </row>
    <row r="77" spans="1:42" ht="23.1" customHeight="1" x14ac:dyDescent="0.25">
      <c r="A77" s="671">
        <v>61</v>
      </c>
      <c r="B77" s="215" t="s">
        <v>361</v>
      </c>
      <c r="C77" s="27" t="s">
        <v>362</v>
      </c>
      <c r="D77" s="596"/>
      <c r="E77" s="596"/>
      <c r="F77" s="596">
        <f>295+80</f>
        <v>375</v>
      </c>
      <c r="G77" s="596"/>
      <c r="H77" s="596"/>
      <c r="I77" s="596"/>
      <c r="J77" s="596"/>
      <c r="K77" s="596">
        <f>-375</f>
        <v>-375</v>
      </c>
      <c r="L77" s="596"/>
      <c r="M77" s="596"/>
      <c r="N77" s="596"/>
      <c r="O77" s="596"/>
      <c r="P77" s="596"/>
      <c r="Q77" s="596"/>
      <c r="R77" s="596">
        <f t="shared" si="1"/>
        <v>0</v>
      </c>
      <c r="S77" s="596"/>
      <c r="T77" s="596"/>
      <c r="U77" s="596"/>
      <c r="V77" s="596"/>
      <c r="W77" s="596"/>
      <c r="X77" s="598">
        <f t="shared" si="40"/>
        <v>0</v>
      </c>
      <c r="Y77" s="599">
        <f t="shared" si="41"/>
        <v>0</v>
      </c>
      <c r="Z77" s="600"/>
      <c r="AA77" s="333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9"/>
    </row>
    <row r="78" spans="1:42" ht="23.1" customHeight="1" x14ac:dyDescent="0.25">
      <c r="A78" s="671">
        <v>62</v>
      </c>
      <c r="B78" s="215" t="s">
        <v>365</v>
      </c>
      <c r="C78" s="27" t="s">
        <v>366</v>
      </c>
      <c r="D78" s="596"/>
      <c r="E78" s="596"/>
      <c r="F78" s="596">
        <f>36+759+205</f>
        <v>1000</v>
      </c>
      <c r="G78" s="596"/>
      <c r="H78" s="596"/>
      <c r="I78" s="596"/>
      <c r="J78" s="596"/>
      <c r="K78" s="596">
        <f>-1500</f>
        <v>-1500</v>
      </c>
      <c r="L78" s="596">
        <f>394+106</f>
        <v>500</v>
      </c>
      <c r="M78" s="596"/>
      <c r="N78" s="596"/>
      <c r="O78" s="596"/>
      <c r="P78" s="596"/>
      <c r="Q78" s="596"/>
      <c r="R78" s="596">
        <f t="shared" si="1"/>
        <v>0</v>
      </c>
      <c r="S78" s="596"/>
      <c r="T78" s="596"/>
      <c r="U78" s="596"/>
      <c r="V78" s="596"/>
      <c r="W78" s="596"/>
      <c r="X78" s="598">
        <f t="shared" ref="X78" si="42">SUM(T78:W78)</f>
        <v>0</v>
      </c>
      <c r="Y78" s="599">
        <f t="shared" ref="Y78" si="43">R78+X78</f>
        <v>0</v>
      </c>
      <c r="Z78" s="600"/>
      <c r="AA78" s="333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9"/>
    </row>
    <row r="79" spans="1:42" ht="23.1" customHeight="1" x14ac:dyDescent="0.25">
      <c r="A79" s="671">
        <v>63</v>
      </c>
      <c r="B79" s="215" t="s">
        <v>363</v>
      </c>
      <c r="C79" s="38" t="s">
        <v>364</v>
      </c>
      <c r="D79" s="596"/>
      <c r="E79" s="596"/>
      <c r="F79" s="596"/>
      <c r="G79" s="596"/>
      <c r="H79" s="596"/>
      <c r="I79" s="596"/>
      <c r="J79" s="596"/>
      <c r="K79" s="596">
        <f>1220</f>
        <v>1220</v>
      </c>
      <c r="L79" s="596"/>
      <c r="M79" s="596"/>
      <c r="N79" s="596"/>
      <c r="O79" s="596"/>
      <c r="P79" s="596"/>
      <c r="Q79" s="596"/>
      <c r="R79" s="596">
        <f t="shared" si="1"/>
        <v>1220</v>
      </c>
      <c r="S79" s="596"/>
      <c r="T79" s="596"/>
      <c r="U79" s="596"/>
      <c r="V79" s="596"/>
      <c r="W79" s="596"/>
      <c r="X79" s="598">
        <f t="shared" si="40"/>
        <v>0</v>
      </c>
      <c r="Y79" s="599">
        <f t="shared" si="41"/>
        <v>1220</v>
      </c>
      <c r="Z79" s="600"/>
      <c r="AA79" s="333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9"/>
    </row>
    <row r="80" spans="1:42" ht="23.1" customHeight="1" x14ac:dyDescent="0.25">
      <c r="A80" s="671">
        <v>64</v>
      </c>
      <c r="B80" s="215" t="s">
        <v>368</v>
      </c>
      <c r="C80" s="38" t="s">
        <v>367</v>
      </c>
      <c r="D80" s="596"/>
      <c r="E80" s="596"/>
      <c r="F80" s="596">
        <f>-30</f>
        <v>-30</v>
      </c>
      <c r="G80" s="596"/>
      <c r="H80" s="596"/>
      <c r="I80" s="596"/>
      <c r="J80" s="596"/>
      <c r="K80" s="596"/>
      <c r="L80" s="596">
        <f>30</f>
        <v>30</v>
      </c>
      <c r="M80" s="596"/>
      <c r="N80" s="596"/>
      <c r="O80" s="596"/>
      <c r="P80" s="596"/>
      <c r="Q80" s="596"/>
      <c r="R80" s="596">
        <f t="shared" si="1"/>
        <v>0</v>
      </c>
      <c r="S80" s="596"/>
      <c r="T80" s="596"/>
      <c r="U80" s="596"/>
      <c r="V80" s="596"/>
      <c r="W80" s="596"/>
      <c r="X80" s="598">
        <f t="shared" si="40"/>
        <v>0</v>
      </c>
      <c r="Y80" s="599">
        <f t="shared" si="41"/>
        <v>0</v>
      </c>
      <c r="Z80" s="600"/>
      <c r="AA80" s="333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9"/>
    </row>
    <row r="81" spans="1:42" ht="23.1" customHeight="1" x14ac:dyDescent="0.25">
      <c r="A81" s="671">
        <v>65</v>
      </c>
      <c r="B81" s="215" t="s">
        <v>369</v>
      </c>
      <c r="C81" s="38" t="s">
        <v>370</v>
      </c>
      <c r="D81" s="596">
        <f>1200</f>
        <v>1200</v>
      </c>
      <c r="E81" s="596"/>
      <c r="F81" s="596"/>
      <c r="G81" s="596"/>
      <c r="H81" s="596"/>
      <c r="I81" s="596"/>
      <c r="J81" s="596"/>
      <c r="K81" s="596">
        <f>-1200</f>
        <v>-1200</v>
      </c>
      <c r="L81" s="596"/>
      <c r="M81" s="596"/>
      <c r="N81" s="596"/>
      <c r="O81" s="596"/>
      <c r="P81" s="596"/>
      <c r="Q81" s="596"/>
      <c r="R81" s="596">
        <f t="shared" si="1"/>
        <v>0</v>
      </c>
      <c r="S81" s="596"/>
      <c r="T81" s="596"/>
      <c r="U81" s="596"/>
      <c r="V81" s="596"/>
      <c r="W81" s="596"/>
      <c r="X81" s="598">
        <f t="shared" si="40"/>
        <v>0</v>
      </c>
      <c r="Y81" s="599">
        <f t="shared" si="41"/>
        <v>0</v>
      </c>
      <c r="Z81" s="600"/>
      <c r="AA81" s="333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9"/>
    </row>
    <row r="82" spans="1:42" ht="23.1" customHeight="1" x14ac:dyDescent="0.25">
      <c r="A82" s="671">
        <v>66</v>
      </c>
      <c r="B82" s="215" t="s">
        <v>371</v>
      </c>
      <c r="C82" s="38" t="s">
        <v>370</v>
      </c>
      <c r="D82" s="596"/>
      <c r="E82" s="596">
        <f>234</f>
        <v>234</v>
      </c>
      <c r="F82" s="596">
        <f>-184-50</f>
        <v>-234</v>
      </c>
      <c r="G82" s="596"/>
      <c r="H82" s="596"/>
      <c r="I82" s="596"/>
      <c r="J82" s="596"/>
      <c r="K82" s="596"/>
      <c r="L82" s="596"/>
      <c r="M82" s="596"/>
      <c r="N82" s="596"/>
      <c r="O82" s="596"/>
      <c r="P82" s="596"/>
      <c r="Q82" s="596"/>
      <c r="R82" s="596">
        <f t="shared" si="1"/>
        <v>0</v>
      </c>
      <c r="S82" s="596"/>
      <c r="T82" s="596"/>
      <c r="U82" s="596"/>
      <c r="V82" s="596"/>
      <c r="W82" s="596"/>
      <c r="X82" s="598">
        <f t="shared" si="40"/>
        <v>0</v>
      </c>
      <c r="Y82" s="599">
        <f t="shared" si="41"/>
        <v>0</v>
      </c>
      <c r="Z82" s="600"/>
      <c r="AA82" s="333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9"/>
    </row>
    <row r="83" spans="1:42" ht="23.1" customHeight="1" x14ac:dyDescent="0.25">
      <c r="A83" s="671">
        <v>67</v>
      </c>
      <c r="B83" s="215" t="s">
        <v>372</v>
      </c>
      <c r="C83" s="38" t="s">
        <v>373</v>
      </c>
      <c r="D83" s="596"/>
      <c r="E83" s="596"/>
      <c r="F83" s="596"/>
      <c r="G83" s="596"/>
      <c r="H83" s="596"/>
      <c r="I83" s="596"/>
      <c r="J83" s="596"/>
      <c r="K83" s="596">
        <f>-6200</f>
        <v>-6200</v>
      </c>
      <c r="L83" s="596"/>
      <c r="M83" s="596"/>
      <c r="N83" s="596"/>
      <c r="O83" s="596"/>
      <c r="P83" s="596"/>
      <c r="Q83" s="596"/>
      <c r="R83" s="596">
        <f t="shared" si="1"/>
        <v>-6200</v>
      </c>
      <c r="S83" s="596"/>
      <c r="T83" s="596"/>
      <c r="U83" s="596"/>
      <c r="V83" s="596"/>
      <c r="W83" s="596"/>
      <c r="X83" s="598">
        <f t="shared" si="40"/>
        <v>0</v>
      </c>
      <c r="Y83" s="599">
        <f t="shared" si="41"/>
        <v>-6200</v>
      </c>
      <c r="Z83" s="600">
        <f>6200</f>
        <v>6200</v>
      </c>
      <c r="AA83" s="333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9"/>
    </row>
    <row r="84" spans="1:42" ht="23.1" customHeight="1" x14ac:dyDescent="0.25">
      <c r="A84" s="671">
        <v>68</v>
      </c>
      <c r="B84" s="215" t="s">
        <v>375</v>
      </c>
      <c r="C84" s="38" t="s">
        <v>376</v>
      </c>
      <c r="D84" s="596"/>
      <c r="E84" s="596"/>
      <c r="F84" s="596">
        <f>-40-11</f>
        <v>-51</v>
      </c>
      <c r="G84" s="596"/>
      <c r="H84" s="596"/>
      <c r="I84" s="596"/>
      <c r="J84" s="596"/>
      <c r="K84" s="596"/>
      <c r="L84" s="596">
        <f>40+11</f>
        <v>51</v>
      </c>
      <c r="M84" s="596"/>
      <c r="N84" s="596"/>
      <c r="O84" s="596"/>
      <c r="P84" s="596"/>
      <c r="Q84" s="596"/>
      <c r="R84" s="596">
        <f t="shared" si="1"/>
        <v>0</v>
      </c>
      <c r="S84" s="596"/>
      <c r="T84" s="596"/>
      <c r="U84" s="596"/>
      <c r="V84" s="596"/>
      <c r="W84" s="596"/>
      <c r="X84" s="598">
        <f t="shared" si="40"/>
        <v>0</v>
      </c>
      <c r="Y84" s="599">
        <f t="shared" si="41"/>
        <v>0</v>
      </c>
      <c r="Z84" s="600"/>
      <c r="AA84" s="333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9"/>
    </row>
    <row r="85" spans="1:42" ht="23.1" customHeight="1" x14ac:dyDescent="0.25">
      <c r="A85" s="671">
        <v>69</v>
      </c>
      <c r="B85" s="215" t="s">
        <v>378</v>
      </c>
      <c r="C85" s="38" t="s">
        <v>377</v>
      </c>
      <c r="D85" s="596"/>
      <c r="E85" s="596"/>
      <c r="F85" s="596">
        <f>1100+297</f>
        <v>1397</v>
      </c>
      <c r="G85" s="596"/>
      <c r="H85" s="596"/>
      <c r="I85" s="596"/>
      <c r="J85" s="596"/>
      <c r="K85" s="596"/>
      <c r="L85" s="596"/>
      <c r="M85" s="596"/>
      <c r="N85" s="596"/>
      <c r="O85" s="596"/>
      <c r="P85" s="596"/>
      <c r="Q85" s="596"/>
      <c r="R85" s="596">
        <f t="shared" si="1"/>
        <v>1397</v>
      </c>
      <c r="S85" s="596"/>
      <c r="T85" s="596"/>
      <c r="U85" s="596"/>
      <c r="V85" s="596"/>
      <c r="W85" s="596"/>
      <c r="X85" s="598">
        <f t="shared" si="40"/>
        <v>0</v>
      </c>
      <c r="Y85" s="599">
        <f t="shared" si="41"/>
        <v>1397</v>
      </c>
      <c r="Z85" s="600">
        <f>-1397</f>
        <v>-1397</v>
      </c>
      <c r="AA85" s="333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9"/>
    </row>
    <row r="86" spans="1:42" ht="23.1" customHeight="1" x14ac:dyDescent="0.25">
      <c r="A86" s="671">
        <v>70</v>
      </c>
      <c r="B86" s="215" t="s">
        <v>381</v>
      </c>
      <c r="C86" s="38" t="s">
        <v>380</v>
      </c>
      <c r="D86" s="596"/>
      <c r="E86" s="596"/>
      <c r="F86" s="596">
        <f>590+160</f>
        <v>750</v>
      </c>
      <c r="G86" s="596"/>
      <c r="H86" s="596"/>
      <c r="I86" s="596"/>
      <c r="J86" s="596"/>
      <c r="K86" s="596">
        <f>-750</f>
        <v>-750</v>
      </c>
      <c r="L86" s="596"/>
      <c r="M86" s="596"/>
      <c r="N86" s="596"/>
      <c r="O86" s="596"/>
      <c r="P86" s="596"/>
      <c r="Q86" s="596"/>
      <c r="R86" s="596">
        <f t="shared" si="1"/>
        <v>0</v>
      </c>
      <c r="S86" s="596"/>
      <c r="T86" s="596"/>
      <c r="U86" s="596"/>
      <c r="V86" s="596"/>
      <c r="W86" s="596"/>
      <c r="X86" s="598">
        <f t="shared" si="40"/>
        <v>0</v>
      </c>
      <c r="Y86" s="599">
        <f t="shared" si="41"/>
        <v>0</v>
      </c>
      <c r="Z86" s="600"/>
      <c r="AA86" s="333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9"/>
    </row>
    <row r="87" spans="1:42" ht="23.1" customHeight="1" x14ac:dyDescent="0.25">
      <c r="A87" s="671">
        <v>71</v>
      </c>
      <c r="B87" s="215" t="s">
        <v>382</v>
      </c>
      <c r="C87" s="38" t="s">
        <v>383</v>
      </c>
      <c r="D87" s="596"/>
      <c r="E87" s="596"/>
      <c r="F87" s="596">
        <f>46567+12574+1459+395</f>
        <v>60995</v>
      </c>
      <c r="G87" s="596"/>
      <c r="H87" s="596"/>
      <c r="I87" s="596"/>
      <c r="J87" s="596"/>
      <c r="K87" s="596"/>
      <c r="L87" s="596"/>
      <c r="M87" s="596"/>
      <c r="N87" s="596"/>
      <c r="O87" s="596"/>
      <c r="P87" s="596"/>
      <c r="Q87" s="596"/>
      <c r="R87" s="596">
        <f t="shared" si="1"/>
        <v>60995</v>
      </c>
      <c r="S87" s="596"/>
      <c r="T87" s="596"/>
      <c r="U87" s="596"/>
      <c r="V87" s="596"/>
      <c r="W87" s="596"/>
      <c r="X87" s="598">
        <f t="shared" ref="X87:X99" si="44">SUM(T87:W87)</f>
        <v>0</v>
      </c>
      <c r="Y87" s="599">
        <f t="shared" ref="Y87:Y99" si="45">R87+X87</f>
        <v>60995</v>
      </c>
      <c r="Z87" s="600"/>
      <c r="AA87" s="333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9"/>
    </row>
    <row r="88" spans="1:42" ht="23.1" customHeight="1" x14ac:dyDescent="0.25">
      <c r="A88" s="671">
        <v>72</v>
      </c>
      <c r="B88" s="215" t="s">
        <v>384</v>
      </c>
      <c r="C88" s="38" t="s">
        <v>421</v>
      </c>
      <c r="D88" s="596"/>
      <c r="E88" s="596"/>
      <c r="F88" s="596"/>
      <c r="G88" s="596"/>
      <c r="H88" s="596"/>
      <c r="I88" s="596"/>
      <c r="J88" s="596"/>
      <c r="K88" s="596"/>
      <c r="L88" s="596"/>
      <c r="M88" s="596"/>
      <c r="N88" s="596"/>
      <c r="O88" s="596"/>
      <c r="P88" s="596"/>
      <c r="Q88" s="596"/>
      <c r="R88" s="596">
        <f t="shared" si="1"/>
        <v>0</v>
      </c>
      <c r="S88" s="596"/>
      <c r="T88" s="596"/>
      <c r="U88" s="596"/>
      <c r="V88" s="596"/>
      <c r="W88" s="596"/>
      <c r="X88" s="598">
        <f t="shared" si="44"/>
        <v>0</v>
      </c>
      <c r="Y88" s="599">
        <f t="shared" si="45"/>
        <v>0</v>
      </c>
      <c r="Z88" s="600">
        <f>45.53</f>
        <v>45.53</v>
      </c>
      <c r="AA88" s="333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9"/>
    </row>
    <row r="89" spans="1:42" ht="23.1" customHeight="1" x14ac:dyDescent="0.25">
      <c r="A89" s="671">
        <v>73</v>
      </c>
      <c r="B89" s="215" t="s">
        <v>384</v>
      </c>
      <c r="C89" s="38" t="s">
        <v>423</v>
      </c>
      <c r="D89" s="596"/>
      <c r="E89" s="596"/>
      <c r="F89" s="596"/>
      <c r="G89" s="596"/>
      <c r="H89" s="596"/>
      <c r="I89" s="596"/>
      <c r="J89" s="596"/>
      <c r="K89" s="596"/>
      <c r="L89" s="596"/>
      <c r="M89" s="596"/>
      <c r="N89" s="596"/>
      <c r="O89" s="596"/>
      <c r="P89" s="596"/>
      <c r="Q89" s="596"/>
      <c r="R89" s="596">
        <f t="shared" si="1"/>
        <v>0</v>
      </c>
      <c r="S89" s="596"/>
      <c r="T89" s="596"/>
      <c r="U89" s="596"/>
      <c r="V89" s="596"/>
      <c r="W89" s="596"/>
      <c r="X89" s="598">
        <f t="shared" si="44"/>
        <v>0</v>
      </c>
      <c r="Y89" s="599">
        <f t="shared" si="45"/>
        <v>0</v>
      </c>
      <c r="Z89" s="600">
        <v>505.72699999999998</v>
      </c>
      <c r="AA89" s="333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9"/>
    </row>
    <row r="90" spans="1:42" ht="23.1" customHeight="1" x14ac:dyDescent="0.25">
      <c r="A90" s="671">
        <v>74</v>
      </c>
      <c r="B90" s="215" t="s">
        <v>384</v>
      </c>
      <c r="C90" s="38" t="s">
        <v>424</v>
      </c>
      <c r="D90" s="596"/>
      <c r="E90" s="596"/>
      <c r="F90" s="596"/>
      <c r="G90" s="596"/>
      <c r="H90" s="596"/>
      <c r="I90" s="596"/>
      <c r="J90" s="596"/>
      <c r="K90" s="596"/>
      <c r="L90" s="596"/>
      <c r="M90" s="596"/>
      <c r="N90" s="596"/>
      <c r="O90" s="596"/>
      <c r="P90" s="596"/>
      <c r="Q90" s="596"/>
      <c r="R90" s="596">
        <f t="shared" si="1"/>
        <v>0</v>
      </c>
      <c r="S90" s="596"/>
      <c r="T90" s="596"/>
      <c r="U90" s="596"/>
      <c r="V90" s="596"/>
      <c r="W90" s="596"/>
      <c r="X90" s="598">
        <f t="shared" si="44"/>
        <v>0</v>
      </c>
      <c r="Y90" s="599">
        <f t="shared" si="45"/>
        <v>0</v>
      </c>
      <c r="Z90" s="600">
        <v>1160.5909999999999</v>
      </c>
      <c r="AA90" s="333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9"/>
    </row>
    <row r="91" spans="1:42" ht="23.1" customHeight="1" x14ac:dyDescent="0.25">
      <c r="A91" s="671">
        <v>75</v>
      </c>
      <c r="B91" s="215" t="s">
        <v>422</v>
      </c>
      <c r="C91" s="38" t="s">
        <v>425</v>
      </c>
      <c r="D91" s="596"/>
      <c r="E91" s="596"/>
      <c r="F91" s="596"/>
      <c r="G91" s="596"/>
      <c r="H91" s="596"/>
      <c r="I91" s="596"/>
      <c r="J91" s="596"/>
      <c r="K91" s="596"/>
      <c r="L91" s="596"/>
      <c r="M91" s="596"/>
      <c r="N91" s="596"/>
      <c r="O91" s="596"/>
      <c r="P91" s="596"/>
      <c r="Q91" s="596"/>
      <c r="R91" s="596">
        <f t="shared" si="1"/>
        <v>0</v>
      </c>
      <c r="S91" s="596"/>
      <c r="T91" s="596"/>
      <c r="U91" s="596"/>
      <c r="V91" s="596"/>
      <c r="W91" s="596"/>
      <c r="X91" s="598">
        <f t="shared" si="44"/>
        <v>0</v>
      </c>
      <c r="Y91" s="599">
        <f t="shared" si="45"/>
        <v>0</v>
      </c>
      <c r="Z91" s="600">
        <v>8223.3870000000006</v>
      </c>
      <c r="AA91" s="333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9"/>
    </row>
    <row r="92" spans="1:42" ht="23.1" customHeight="1" x14ac:dyDescent="0.25">
      <c r="A92" s="671">
        <v>76</v>
      </c>
      <c r="B92" s="215" t="s">
        <v>426</v>
      </c>
      <c r="C92" s="38" t="s">
        <v>427</v>
      </c>
      <c r="D92" s="596"/>
      <c r="E92" s="596"/>
      <c r="F92" s="596"/>
      <c r="G92" s="596"/>
      <c r="H92" s="596"/>
      <c r="I92" s="596"/>
      <c r="J92" s="596"/>
      <c r="K92" s="596">
        <f>-15950</f>
        <v>-15950</v>
      </c>
      <c r="L92" s="596"/>
      <c r="M92" s="596"/>
      <c r="N92" s="596"/>
      <c r="O92" s="596"/>
      <c r="P92" s="596"/>
      <c r="Q92" s="596"/>
      <c r="R92" s="596">
        <f t="shared" si="1"/>
        <v>-15950</v>
      </c>
      <c r="S92" s="596"/>
      <c r="T92" s="596"/>
      <c r="U92" s="596"/>
      <c r="V92" s="596"/>
      <c r="W92" s="596"/>
      <c r="X92" s="598">
        <f t="shared" ref="X92" si="46">SUM(T92:W92)</f>
        <v>0</v>
      </c>
      <c r="Y92" s="599">
        <f t="shared" ref="Y92" si="47">R92+X92</f>
        <v>-15950</v>
      </c>
      <c r="Z92" s="600">
        <f>15950</f>
        <v>15950</v>
      </c>
      <c r="AA92" s="333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9"/>
    </row>
    <row r="93" spans="1:42" ht="23.1" customHeight="1" x14ac:dyDescent="0.25">
      <c r="A93" s="671">
        <v>77</v>
      </c>
      <c r="B93" s="215" t="s">
        <v>387</v>
      </c>
      <c r="C93" s="38" t="s">
        <v>388</v>
      </c>
      <c r="D93" s="596"/>
      <c r="E93" s="596"/>
      <c r="F93" s="596"/>
      <c r="G93" s="596"/>
      <c r="H93" s="596"/>
      <c r="I93" s="596"/>
      <c r="J93" s="596"/>
      <c r="K93" s="596">
        <f>500</f>
        <v>500</v>
      </c>
      <c r="L93" s="596"/>
      <c r="M93" s="596"/>
      <c r="N93" s="596"/>
      <c r="O93" s="596"/>
      <c r="P93" s="596"/>
      <c r="Q93" s="596"/>
      <c r="R93" s="596">
        <f t="shared" si="1"/>
        <v>500</v>
      </c>
      <c r="S93" s="596"/>
      <c r="T93" s="596"/>
      <c r="U93" s="596"/>
      <c r="V93" s="596"/>
      <c r="W93" s="596"/>
      <c r="X93" s="598">
        <f t="shared" si="44"/>
        <v>0</v>
      </c>
      <c r="Y93" s="599">
        <f t="shared" si="45"/>
        <v>500</v>
      </c>
      <c r="Z93" s="600"/>
      <c r="AA93" s="333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9"/>
    </row>
    <row r="94" spans="1:42" ht="23.1" customHeight="1" x14ac:dyDescent="0.25">
      <c r="A94" s="671">
        <v>78</v>
      </c>
      <c r="B94" s="215" t="s">
        <v>389</v>
      </c>
      <c r="C94" s="38" t="s">
        <v>390</v>
      </c>
      <c r="D94" s="596"/>
      <c r="E94" s="596"/>
      <c r="F94" s="596"/>
      <c r="G94" s="596"/>
      <c r="H94" s="596"/>
      <c r="I94" s="596"/>
      <c r="J94" s="596"/>
      <c r="K94" s="596">
        <f>200</f>
        <v>200</v>
      </c>
      <c r="L94" s="596"/>
      <c r="M94" s="596"/>
      <c r="N94" s="596"/>
      <c r="O94" s="596"/>
      <c r="P94" s="596"/>
      <c r="Q94" s="596"/>
      <c r="R94" s="596">
        <f t="shared" si="1"/>
        <v>200</v>
      </c>
      <c r="S94" s="596"/>
      <c r="T94" s="596"/>
      <c r="U94" s="596"/>
      <c r="V94" s="596"/>
      <c r="W94" s="596"/>
      <c r="X94" s="598">
        <f t="shared" si="44"/>
        <v>0</v>
      </c>
      <c r="Y94" s="599">
        <f t="shared" si="45"/>
        <v>200</v>
      </c>
      <c r="Z94" s="600"/>
      <c r="AA94" s="333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9"/>
    </row>
    <row r="95" spans="1:42" ht="35.1" customHeight="1" x14ac:dyDescent="0.25">
      <c r="A95" s="671">
        <v>79</v>
      </c>
      <c r="B95" s="215" t="s">
        <v>400</v>
      </c>
      <c r="C95" s="38" t="s">
        <v>402</v>
      </c>
      <c r="D95" s="596"/>
      <c r="E95" s="596"/>
      <c r="F95" s="596">
        <f>680+183</f>
        <v>863</v>
      </c>
      <c r="G95" s="596"/>
      <c r="H95" s="596"/>
      <c r="I95" s="596"/>
      <c r="J95" s="596"/>
      <c r="K95" s="596"/>
      <c r="L95" s="596"/>
      <c r="M95" s="596"/>
      <c r="N95" s="596"/>
      <c r="O95" s="596"/>
      <c r="P95" s="596"/>
      <c r="Q95" s="596"/>
      <c r="R95" s="596">
        <f t="shared" si="1"/>
        <v>863</v>
      </c>
      <c r="S95" s="596"/>
      <c r="T95" s="596"/>
      <c r="U95" s="596"/>
      <c r="V95" s="596"/>
      <c r="W95" s="596"/>
      <c r="X95" s="598">
        <f t="shared" si="44"/>
        <v>0</v>
      </c>
      <c r="Y95" s="599">
        <f t="shared" si="45"/>
        <v>863</v>
      </c>
      <c r="Z95" s="600"/>
      <c r="AA95" s="333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9"/>
    </row>
    <row r="96" spans="1:42" ht="23.1" customHeight="1" x14ac:dyDescent="0.25">
      <c r="A96" s="671">
        <v>80</v>
      </c>
      <c r="B96" s="215" t="s">
        <v>401</v>
      </c>
      <c r="C96" s="38" t="s">
        <v>403</v>
      </c>
      <c r="D96" s="596"/>
      <c r="E96" s="596"/>
      <c r="F96" s="596"/>
      <c r="G96" s="596"/>
      <c r="H96" s="596"/>
      <c r="I96" s="596"/>
      <c r="J96" s="596">
        <f>1800</f>
        <v>1800</v>
      </c>
      <c r="K96" s="596"/>
      <c r="L96" s="596"/>
      <c r="M96" s="596"/>
      <c r="N96" s="596"/>
      <c r="O96" s="596"/>
      <c r="P96" s="596"/>
      <c r="Q96" s="596"/>
      <c r="R96" s="596">
        <f t="shared" si="1"/>
        <v>1800</v>
      </c>
      <c r="S96" s="596"/>
      <c r="T96" s="596"/>
      <c r="U96" s="596"/>
      <c r="V96" s="596"/>
      <c r="W96" s="596"/>
      <c r="X96" s="598">
        <f t="shared" si="44"/>
        <v>0</v>
      </c>
      <c r="Y96" s="599">
        <f t="shared" si="45"/>
        <v>1800</v>
      </c>
      <c r="Z96" s="600"/>
      <c r="AA96" s="333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9"/>
    </row>
    <row r="97" spans="1:42" ht="35.1" customHeight="1" x14ac:dyDescent="0.25">
      <c r="A97" s="671">
        <v>81</v>
      </c>
      <c r="B97" s="215" t="s">
        <v>405</v>
      </c>
      <c r="C97" s="38" t="s">
        <v>404</v>
      </c>
      <c r="D97" s="596"/>
      <c r="E97" s="596"/>
      <c r="F97" s="596">
        <f>320+86</f>
        <v>406</v>
      </c>
      <c r="G97" s="596"/>
      <c r="H97" s="596"/>
      <c r="I97" s="596"/>
      <c r="J97" s="596"/>
      <c r="K97" s="596"/>
      <c r="L97" s="596"/>
      <c r="M97" s="596"/>
      <c r="N97" s="596"/>
      <c r="O97" s="596"/>
      <c r="P97" s="596"/>
      <c r="Q97" s="596"/>
      <c r="R97" s="596">
        <f t="shared" si="1"/>
        <v>406</v>
      </c>
      <c r="S97" s="596"/>
      <c r="T97" s="596"/>
      <c r="U97" s="596"/>
      <c r="V97" s="596"/>
      <c r="W97" s="596"/>
      <c r="X97" s="598">
        <f t="shared" si="44"/>
        <v>0</v>
      </c>
      <c r="Y97" s="599">
        <f t="shared" si="45"/>
        <v>406</v>
      </c>
      <c r="Z97" s="600"/>
      <c r="AA97" s="33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9"/>
    </row>
    <row r="98" spans="1:42" ht="23.1" customHeight="1" x14ac:dyDescent="0.25">
      <c r="A98" s="671">
        <v>82</v>
      </c>
      <c r="B98" s="215" t="s">
        <v>406</v>
      </c>
      <c r="C98" s="38" t="s">
        <v>407</v>
      </c>
      <c r="D98" s="596"/>
      <c r="E98" s="596"/>
      <c r="F98" s="596">
        <f>172+46+1104+298</f>
        <v>1620</v>
      </c>
      <c r="G98" s="596"/>
      <c r="H98" s="596"/>
      <c r="I98" s="596"/>
      <c r="J98" s="596"/>
      <c r="K98" s="596"/>
      <c r="L98" s="596">
        <f>-1276-344</f>
        <v>-1620</v>
      </c>
      <c r="M98" s="596"/>
      <c r="N98" s="596"/>
      <c r="O98" s="596"/>
      <c r="P98" s="596"/>
      <c r="Q98" s="596"/>
      <c r="R98" s="596">
        <f t="shared" si="1"/>
        <v>0</v>
      </c>
      <c r="S98" s="596"/>
      <c r="T98" s="596"/>
      <c r="U98" s="596"/>
      <c r="V98" s="596"/>
      <c r="W98" s="596"/>
      <c r="X98" s="598">
        <f t="shared" si="44"/>
        <v>0</v>
      </c>
      <c r="Y98" s="599">
        <f t="shared" si="45"/>
        <v>0</v>
      </c>
      <c r="Z98" s="600"/>
      <c r="AA98" s="333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9"/>
    </row>
    <row r="99" spans="1:42" ht="23.1" customHeight="1" x14ac:dyDescent="0.25">
      <c r="A99" s="671">
        <v>83</v>
      </c>
      <c r="B99" s="215" t="s">
        <v>408</v>
      </c>
      <c r="C99" s="38" t="s">
        <v>414</v>
      </c>
      <c r="D99" s="596"/>
      <c r="E99" s="596"/>
      <c r="F99" s="596"/>
      <c r="G99" s="596"/>
      <c r="H99" s="596"/>
      <c r="I99" s="596"/>
      <c r="J99" s="596"/>
      <c r="K99" s="596">
        <f>-4977</f>
        <v>-4977</v>
      </c>
      <c r="L99" s="596">
        <f>3919+1058</f>
        <v>4977</v>
      </c>
      <c r="M99" s="596"/>
      <c r="N99" s="596"/>
      <c r="O99" s="596"/>
      <c r="P99" s="596"/>
      <c r="Q99" s="596"/>
      <c r="R99" s="596">
        <f t="shared" si="1"/>
        <v>0</v>
      </c>
      <c r="S99" s="596"/>
      <c r="T99" s="596"/>
      <c r="U99" s="596"/>
      <c r="V99" s="596"/>
      <c r="W99" s="596"/>
      <c r="X99" s="598">
        <f t="shared" si="44"/>
        <v>0</v>
      </c>
      <c r="Y99" s="599">
        <f t="shared" si="45"/>
        <v>0</v>
      </c>
      <c r="Z99" s="600"/>
      <c r="AA99" s="333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9"/>
    </row>
    <row r="100" spans="1:42" ht="23.1" customHeight="1" x14ac:dyDescent="0.25">
      <c r="A100" s="671">
        <v>84</v>
      </c>
      <c r="B100" s="215" t="s">
        <v>409</v>
      </c>
      <c r="C100" s="38" t="s">
        <v>415</v>
      </c>
      <c r="D100" s="596"/>
      <c r="E100" s="596"/>
      <c r="F100" s="596">
        <f>2893+781</f>
        <v>3674</v>
      </c>
      <c r="G100" s="596"/>
      <c r="H100" s="596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>
        <f t="shared" si="1"/>
        <v>3674</v>
      </c>
      <c r="S100" s="596"/>
      <c r="T100" s="596"/>
      <c r="U100" s="596"/>
      <c r="V100" s="596"/>
      <c r="W100" s="596"/>
      <c r="X100" s="598">
        <f t="shared" si="40"/>
        <v>0</v>
      </c>
      <c r="Y100" s="599">
        <f t="shared" si="41"/>
        <v>3674</v>
      </c>
      <c r="Z100" s="600">
        <f>-3674</f>
        <v>-3674</v>
      </c>
      <c r="AA100" s="333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9"/>
    </row>
    <row r="101" spans="1:42" ht="23.1" customHeight="1" x14ac:dyDescent="0.25">
      <c r="A101" s="671">
        <v>85</v>
      </c>
      <c r="B101" s="215" t="s">
        <v>428</v>
      </c>
      <c r="C101" s="38" t="s">
        <v>429</v>
      </c>
      <c r="D101" s="596"/>
      <c r="E101" s="596"/>
      <c r="F101" s="596">
        <f>261+70</f>
        <v>331</v>
      </c>
      <c r="G101" s="596"/>
      <c r="H101" s="596"/>
      <c r="I101" s="596"/>
      <c r="J101" s="596"/>
      <c r="K101" s="596"/>
      <c r="L101" s="596">
        <f>-261-70</f>
        <v>-331</v>
      </c>
      <c r="M101" s="596"/>
      <c r="N101" s="596"/>
      <c r="O101" s="596"/>
      <c r="P101" s="596"/>
      <c r="Q101" s="596"/>
      <c r="R101" s="596">
        <f t="shared" si="1"/>
        <v>0</v>
      </c>
      <c r="S101" s="596"/>
      <c r="T101" s="596"/>
      <c r="U101" s="596"/>
      <c r="V101" s="596"/>
      <c r="W101" s="596"/>
      <c r="X101" s="598">
        <f t="shared" ref="X101" si="48">SUM(T101:W101)</f>
        <v>0</v>
      </c>
      <c r="Y101" s="599">
        <f t="shared" ref="Y101" si="49">R101+X101</f>
        <v>0</v>
      </c>
      <c r="Z101" s="600"/>
      <c r="AA101" s="333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9"/>
    </row>
    <row r="102" spans="1:42" ht="23.1" customHeight="1" x14ac:dyDescent="0.25">
      <c r="A102" s="671">
        <v>86</v>
      </c>
      <c r="B102" s="215" t="s">
        <v>410</v>
      </c>
      <c r="C102" s="38" t="s">
        <v>417</v>
      </c>
      <c r="D102" s="596"/>
      <c r="E102" s="596"/>
      <c r="F102" s="596">
        <f>13149</f>
        <v>13149</v>
      </c>
      <c r="G102" s="596"/>
      <c r="H102" s="596"/>
      <c r="I102" s="596"/>
      <c r="J102" s="596"/>
      <c r="K102" s="596"/>
      <c r="L102" s="596">
        <f>-13149</f>
        <v>-13149</v>
      </c>
      <c r="M102" s="596"/>
      <c r="N102" s="596"/>
      <c r="O102" s="596"/>
      <c r="P102" s="596"/>
      <c r="Q102" s="596"/>
      <c r="R102" s="596">
        <f t="shared" si="1"/>
        <v>0</v>
      </c>
      <c r="S102" s="596"/>
      <c r="T102" s="596"/>
      <c r="U102" s="596"/>
      <c r="V102" s="596"/>
      <c r="W102" s="596"/>
      <c r="X102" s="598">
        <f t="shared" ref="X102:X107" si="50">SUM(T102:W102)</f>
        <v>0</v>
      </c>
      <c r="Y102" s="599">
        <f t="shared" si="41"/>
        <v>0</v>
      </c>
      <c r="Z102" s="600"/>
      <c r="AA102" s="333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9"/>
    </row>
    <row r="103" spans="1:42" ht="23.1" customHeight="1" x14ac:dyDescent="0.25">
      <c r="A103" s="671">
        <v>87</v>
      </c>
      <c r="B103" s="215" t="s">
        <v>411</v>
      </c>
      <c r="C103" s="38" t="s">
        <v>418</v>
      </c>
      <c r="D103" s="596"/>
      <c r="E103" s="596"/>
      <c r="F103" s="596">
        <f>-3526-953</f>
        <v>-4479</v>
      </c>
      <c r="G103" s="596"/>
      <c r="H103" s="596"/>
      <c r="I103" s="596"/>
      <c r="J103" s="596"/>
      <c r="K103" s="596"/>
      <c r="L103" s="596"/>
      <c r="M103" s="596">
        <f>3526+953</f>
        <v>4479</v>
      </c>
      <c r="N103" s="596"/>
      <c r="O103" s="596"/>
      <c r="P103" s="596"/>
      <c r="Q103" s="596"/>
      <c r="R103" s="596">
        <f t="shared" si="1"/>
        <v>0</v>
      </c>
      <c r="S103" s="596"/>
      <c r="T103" s="596"/>
      <c r="U103" s="596"/>
      <c r="V103" s="596"/>
      <c r="W103" s="596"/>
      <c r="X103" s="598">
        <f>SUM(T103:W103)</f>
        <v>0</v>
      </c>
      <c r="Y103" s="599">
        <f>R103+X103</f>
        <v>0</v>
      </c>
      <c r="Z103" s="600"/>
      <c r="AA103" s="333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9"/>
    </row>
    <row r="104" spans="1:42" ht="23.1" customHeight="1" x14ac:dyDescent="0.25">
      <c r="A104" s="671">
        <v>88</v>
      </c>
      <c r="B104" s="215" t="s">
        <v>412</v>
      </c>
      <c r="C104" s="38" t="s">
        <v>419</v>
      </c>
      <c r="D104" s="596"/>
      <c r="E104" s="596"/>
      <c r="F104" s="596"/>
      <c r="G104" s="596"/>
      <c r="H104" s="596"/>
      <c r="I104" s="596"/>
      <c r="J104" s="596">
        <f>1000</f>
        <v>1000</v>
      </c>
      <c r="K104" s="596">
        <f>-1000</f>
        <v>-1000</v>
      </c>
      <c r="L104" s="596"/>
      <c r="M104" s="596"/>
      <c r="N104" s="596"/>
      <c r="O104" s="596"/>
      <c r="P104" s="596"/>
      <c r="Q104" s="596"/>
      <c r="R104" s="596">
        <f t="shared" si="1"/>
        <v>0</v>
      </c>
      <c r="S104" s="596"/>
      <c r="T104" s="596"/>
      <c r="U104" s="596"/>
      <c r="V104" s="596"/>
      <c r="W104" s="596"/>
      <c r="X104" s="598">
        <f t="shared" si="50"/>
        <v>0</v>
      </c>
      <c r="Y104" s="599">
        <f t="shared" si="41"/>
        <v>0</v>
      </c>
      <c r="Z104" s="600"/>
      <c r="AA104" s="333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9"/>
    </row>
    <row r="105" spans="1:42" ht="23.1" customHeight="1" x14ac:dyDescent="0.25">
      <c r="A105" s="671">
        <v>89</v>
      </c>
      <c r="B105" s="215" t="s">
        <v>413</v>
      </c>
      <c r="C105" s="38" t="s">
        <v>420</v>
      </c>
      <c r="D105" s="596"/>
      <c r="E105" s="596"/>
      <c r="F105" s="596"/>
      <c r="G105" s="596"/>
      <c r="H105" s="596"/>
      <c r="I105" s="596"/>
      <c r="J105" s="596"/>
      <c r="K105" s="596">
        <f>110</f>
        <v>110</v>
      </c>
      <c r="L105" s="596"/>
      <c r="M105" s="596"/>
      <c r="N105" s="596"/>
      <c r="O105" s="596"/>
      <c r="P105" s="596"/>
      <c r="Q105" s="596"/>
      <c r="R105" s="596">
        <f t="shared" si="1"/>
        <v>110</v>
      </c>
      <c r="S105" s="596"/>
      <c r="T105" s="596"/>
      <c r="U105" s="596"/>
      <c r="V105" s="596"/>
      <c r="W105" s="596"/>
      <c r="X105" s="598">
        <f t="shared" si="50"/>
        <v>0</v>
      </c>
      <c r="Y105" s="599">
        <f t="shared" ref="Y105:Y107" si="51">R105+X105</f>
        <v>110</v>
      </c>
      <c r="Z105" s="600"/>
      <c r="AA105" s="333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9"/>
    </row>
    <row r="106" spans="1:42" ht="23.1" customHeight="1" x14ac:dyDescent="0.25">
      <c r="A106" s="671">
        <v>90</v>
      </c>
      <c r="B106" s="215" t="s">
        <v>435</v>
      </c>
      <c r="C106" s="38" t="s">
        <v>436</v>
      </c>
      <c r="D106" s="596"/>
      <c r="E106" s="596"/>
      <c r="F106" s="596"/>
      <c r="G106" s="596"/>
      <c r="H106" s="596"/>
      <c r="I106" s="596"/>
      <c r="J106" s="596"/>
      <c r="K106" s="596">
        <f>-21228</f>
        <v>-21228</v>
      </c>
      <c r="L106" s="596"/>
      <c r="M106" s="596"/>
      <c r="N106" s="596"/>
      <c r="O106" s="596"/>
      <c r="P106" s="596"/>
      <c r="Q106" s="596"/>
      <c r="R106" s="596">
        <f t="shared" si="1"/>
        <v>-21228</v>
      </c>
      <c r="S106" s="596"/>
      <c r="T106" s="596"/>
      <c r="U106" s="596"/>
      <c r="V106" s="596"/>
      <c r="W106" s="596"/>
      <c r="X106" s="598">
        <f t="shared" ref="X106" si="52">SUM(T106:W106)</f>
        <v>0</v>
      </c>
      <c r="Y106" s="599">
        <f t="shared" ref="Y106" si="53">R106+X106</f>
        <v>-21228</v>
      </c>
      <c r="Z106" s="600">
        <f>21228</f>
        <v>21228</v>
      </c>
      <c r="AA106" s="333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9"/>
    </row>
    <row r="107" spans="1:42" ht="23.1" customHeight="1" x14ac:dyDescent="0.25">
      <c r="A107" s="671">
        <v>91</v>
      </c>
      <c r="B107" s="669" t="s">
        <v>430</v>
      </c>
      <c r="C107" s="38" t="s">
        <v>431</v>
      </c>
      <c r="D107" s="596"/>
      <c r="E107" s="596"/>
      <c r="F107" s="596"/>
      <c r="G107" s="596"/>
      <c r="H107" s="596"/>
      <c r="I107" s="596"/>
      <c r="J107" s="596"/>
      <c r="K107" s="596">
        <f>-20000</f>
        <v>-20000</v>
      </c>
      <c r="L107" s="596"/>
      <c r="M107" s="596"/>
      <c r="N107" s="596"/>
      <c r="O107" s="596"/>
      <c r="P107" s="596"/>
      <c r="Q107" s="596"/>
      <c r="R107" s="596">
        <f t="shared" si="1"/>
        <v>-20000</v>
      </c>
      <c r="S107" s="596"/>
      <c r="T107" s="596"/>
      <c r="U107" s="596"/>
      <c r="V107" s="596"/>
      <c r="W107" s="596"/>
      <c r="X107" s="598">
        <f t="shared" si="50"/>
        <v>0</v>
      </c>
      <c r="Y107" s="599">
        <f t="shared" si="51"/>
        <v>-20000</v>
      </c>
      <c r="Z107" s="600"/>
      <c r="AA107" s="333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9"/>
    </row>
    <row r="108" spans="1:42" ht="17.25" customHeight="1" thickBot="1" x14ac:dyDescent="0.25">
      <c r="A108" s="79"/>
      <c r="B108" s="112"/>
      <c r="C108" s="146"/>
      <c r="D108" s="601"/>
      <c r="E108" s="601"/>
      <c r="F108" s="601"/>
      <c r="G108" s="601"/>
      <c r="H108" s="601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1"/>
      <c r="X108" s="602"/>
      <c r="Y108" s="617"/>
      <c r="Z108" s="603"/>
      <c r="AA108" s="333"/>
    </row>
    <row r="109" spans="1:42" ht="35.1" customHeight="1" thickTop="1" thickBot="1" x14ac:dyDescent="0.25">
      <c r="A109" s="121"/>
      <c r="B109" s="87"/>
      <c r="C109" s="43" t="s">
        <v>19</v>
      </c>
      <c r="D109" s="509">
        <f t="shared" ref="D109:Q109" si="54">SUM(D17:D108)</f>
        <v>2885</v>
      </c>
      <c r="E109" s="509">
        <f t="shared" si="54"/>
        <v>467</v>
      </c>
      <c r="F109" s="509">
        <f t="shared" si="54"/>
        <v>77618.087</v>
      </c>
      <c r="G109" s="509">
        <f t="shared" si="54"/>
        <v>-1800</v>
      </c>
      <c r="H109" s="509">
        <f t="shared" si="54"/>
        <v>-41</v>
      </c>
      <c r="I109" s="509">
        <f t="shared" si="54"/>
        <v>-800</v>
      </c>
      <c r="J109" s="509">
        <f t="shared" si="54"/>
        <v>3610</v>
      </c>
      <c r="K109" s="509">
        <f t="shared" si="54"/>
        <v>-84777</v>
      </c>
      <c r="L109" s="509">
        <f t="shared" si="54"/>
        <v>11723</v>
      </c>
      <c r="M109" s="509">
        <f t="shared" si="54"/>
        <v>4479</v>
      </c>
      <c r="N109" s="509">
        <f t="shared" si="54"/>
        <v>0</v>
      </c>
      <c r="O109" s="509">
        <f t="shared" si="54"/>
        <v>0</v>
      </c>
      <c r="P109" s="509">
        <f t="shared" si="54"/>
        <v>0</v>
      </c>
      <c r="Q109" s="509">
        <f t="shared" si="54"/>
        <v>0</v>
      </c>
      <c r="R109" s="509">
        <f>SUM(D109:Q109)</f>
        <v>13364.087</v>
      </c>
      <c r="S109" s="509"/>
      <c r="T109" s="509">
        <f>SUM(T17:T108)</f>
        <v>0</v>
      </c>
      <c r="U109" s="509">
        <f>SUM(U17:U108)</f>
        <v>0</v>
      </c>
      <c r="V109" s="509">
        <f>SUM(V17:V108)</f>
        <v>0</v>
      </c>
      <c r="W109" s="509">
        <f>SUM(W17:W108)</f>
        <v>0</v>
      </c>
      <c r="X109" s="509">
        <f>SUM(X17:X108)</f>
        <v>0</v>
      </c>
      <c r="Y109" s="510">
        <f t="shared" si="3"/>
        <v>13364.087</v>
      </c>
      <c r="Z109" s="511">
        <f>SUM(Z17:Z108)</f>
        <v>107240.99800000001</v>
      </c>
      <c r="AA109" s="334"/>
    </row>
    <row r="110" spans="1:42" ht="9.9499999999999993" customHeight="1" thickTop="1" thickBot="1" x14ac:dyDescent="0.25">
      <c r="A110" s="619"/>
      <c r="B110" s="176"/>
      <c r="C110" s="177"/>
      <c r="D110" s="620"/>
      <c r="E110" s="620"/>
      <c r="F110" s="620"/>
      <c r="G110" s="620"/>
      <c r="H110" s="620"/>
      <c r="I110" s="620"/>
      <c r="J110" s="620"/>
      <c r="K110" s="620"/>
      <c r="L110" s="620"/>
      <c r="M110" s="620"/>
      <c r="N110" s="620"/>
      <c r="O110" s="620"/>
      <c r="P110" s="620"/>
      <c r="Q110" s="620"/>
      <c r="R110" s="620"/>
      <c r="S110" s="620"/>
      <c r="T110" s="620"/>
      <c r="U110" s="620"/>
      <c r="V110" s="620"/>
      <c r="W110" s="620"/>
      <c r="X110" s="621"/>
      <c r="Y110" s="621"/>
      <c r="Z110" s="622"/>
      <c r="AA110" s="334"/>
    </row>
    <row r="111" spans="1:42" ht="24.95" hidden="1" customHeight="1" x14ac:dyDescent="0.2">
      <c r="A111" s="623"/>
      <c r="B111" s="217"/>
      <c r="C111" s="624"/>
      <c r="D111" s="625"/>
      <c r="E111" s="625"/>
      <c r="F111" s="625"/>
      <c r="G111" s="625"/>
      <c r="H111" s="625"/>
      <c r="I111" s="625"/>
      <c r="J111" s="625"/>
      <c r="K111" s="625"/>
      <c r="L111" s="625"/>
      <c r="M111" s="625"/>
      <c r="N111" s="625"/>
      <c r="O111" s="625"/>
      <c r="P111" s="625"/>
      <c r="Q111" s="625"/>
      <c r="R111" s="625">
        <f>SUM(D111:Q111)</f>
        <v>0</v>
      </c>
      <c r="S111" s="625"/>
      <c r="T111" s="625"/>
      <c r="U111" s="625"/>
      <c r="V111" s="625"/>
      <c r="W111" s="625"/>
      <c r="X111" s="626">
        <f>SUM(T111:W111)</f>
        <v>0</v>
      </c>
      <c r="Y111" s="627">
        <f>R111+X111</f>
        <v>0</v>
      </c>
      <c r="Z111" s="628"/>
      <c r="AA111" s="334"/>
    </row>
    <row r="112" spans="1:42" ht="9.9499999999999993" hidden="1" customHeight="1" thickBot="1" x14ac:dyDescent="0.25">
      <c r="A112" s="629"/>
      <c r="B112" s="185"/>
      <c r="C112" s="186"/>
      <c r="D112" s="630"/>
      <c r="E112" s="630"/>
      <c r="F112" s="630"/>
      <c r="G112" s="630"/>
      <c r="H112" s="630"/>
      <c r="I112" s="630"/>
      <c r="J112" s="630"/>
      <c r="K112" s="630"/>
      <c r="L112" s="630"/>
      <c r="M112" s="630"/>
      <c r="N112" s="630"/>
      <c r="O112" s="630"/>
      <c r="P112" s="630"/>
      <c r="Q112" s="630"/>
      <c r="R112" s="630"/>
      <c r="S112" s="630"/>
      <c r="T112" s="630"/>
      <c r="U112" s="630"/>
      <c r="V112" s="630"/>
      <c r="W112" s="630"/>
      <c r="X112" s="631"/>
      <c r="Y112" s="631"/>
      <c r="Z112" s="632"/>
      <c r="AA112" s="334"/>
    </row>
    <row r="113" spans="1:74" ht="35.1" customHeight="1" thickTop="1" thickBot="1" x14ac:dyDescent="0.25">
      <c r="A113" s="121"/>
      <c r="B113" s="87"/>
      <c r="C113" s="43" t="s">
        <v>136</v>
      </c>
      <c r="D113" s="593">
        <f t="shared" ref="D113:K113" si="55">D16+D109</f>
        <v>155382</v>
      </c>
      <c r="E113" s="593">
        <f t="shared" si="55"/>
        <v>32142</v>
      </c>
      <c r="F113" s="593">
        <f t="shared" si="55"/>
        <v>4827846.0870000003</v>
      </c>
      <c r="G113" s="593">
        <f t="shared" si="55"/>
        <v>204351</v>
      </c>
      <c r="H113" s="593">
        <f t="shared" si="55"/>
        <v>308609</v>
      </c>
      <c r="I113" s="593">
        <f t="shared" si="55"/>
        <v>68671</v>
      </c>
      <c r="J113" s="593">
        <f t="shared" si="55"/>
        <v>974372</v>
      </c>
      <c r="K113" s="593">
        <f t="shared" si="55"/>
        <v>1617391</v>
      </c>
      <c r="L113" s="593">
        <f>L16+L109+L111</f>
        <v>7914920</v>
      </c>
      <c r="M113" s="593">
        <f>M16+M109</f>
        <v>462134</v>
      </c>
      <c r="N113" s="593">
        <f>N16+N109</f>
        <v>100000</v>
      </c>
      <c r="O113" s="593">
        <f>O16+O109</f>
        <v>3000</v>
      </c>
      <c r="P113" s="593">
        <f>P16+P109</f>
        <v>0</v>
      </c>
      <c r="Q113" s="593">
        <f>Q16+Q109</f>
        <v>353939</v>
      </c>
      <c r="R113" s="593">
        <f>SUM(D113:Q113)</f>
        <v>17022757.087000001</v>
      </c>
      <c r="S113" s="593"/>
      <c r="T113" s="593">
        <f>T16+T109</f>
        <v>0</v>
      </c>
      <c r="U113" s="593">
        <f>U16+U109</f>
        <v>0</v>
      </c>
      <c r="V113" s="593">
        <f>V16+V109</f>
        <v>56742</v>
      </c>
      <c r="W113" s="593">
        <f>W16+W109</f>
        <v>0</v>
      </c>
      <c r="X113" s="594">
        <f t="shared" si="2"/>
        <v>56742</v>
      </c>
      <c r="Y113" s="594">
        <f>R113+X113</f>
        <v>17079499.087000001</v>
      </c>
      <c r="Z113" s="595">
        <f>Z16+Z109+Z111</f>
        <v>8740745.9979999997</v>
      </c>
      <c r="AA113" s="335"/>
      <c r="AB113" s="82">
        <f>Y113+Z113</f>
        <v>25820245.085000001</v>
      </c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  <c r="BV113" s="52"/>
    </row>
    <row r="114" spans="1:74" ht="17.25" customHeight="1" thickTop="1" x14ac:dyDescent="0.2">
      <c r="A114" s="25"/>
      <c r="B114" s="122" t="s">
        <v>195</v>
      </c>
      <c r="C114" s="91" t="s">
        <v>129</v>
      </c>
      <c r="D114" s="651"/>
      <c r="E114" s="651"/>
      <c r="F114" s="651"/>
      <c r="G114" s="651"/>
      <c r="H114" s="651"/>
      <c r="I114" s="651"/>
      <c r="J114" s="651"/>
      <c r="K114" s="651">
        <f>200000+(302811-204+150-17)+500000</f>
        <v>1002740</v>
      </c>
      <c r="L114" s="651"/>
      <c r="M114" s="651"/>
      <c r="N114" s="651"/>
      <c r="O114" s="651"/>
      <c r="P114" s="651"/>
      <c r="Q114" s="651"/>
      <c r="R114" s="651">
        <f t="shared" ref="R114:R157" si="56">SUM(D114:Q114)</f>
        <v>1002740</v>
      </c>
      <c r="S114" s="92"/>
      <c r="T114" s="92"/>
      <c r="U114" s="92"/>
      <c r="V114" s="92"/>
      <c r="W114" s="92"/>
      <c r="X114" s="96">
        <f t="shared" si="2"/>
        <v>0</v>
      </c>
      <c r="Y114" s="649">
        <f t="shared" si="3"/>
        <v>1002740</v>
      </c>
      <c r="Z114" s="659">
        <f>116388+1676+746+2353+2063+1518+498+528+758+12321</f>
        <v>138849</v>
      </c>
      <c r="AA114" s="336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  <c r="BV114" s="52"/>
    </row>
    <row r="115" spans="1:74" ht="16.5" customHeight="1" x14ac:dyDescent="0.2">
      <c r="A115" s="25"/>
      <c r="B115" s="73" t="s">
        <v>196</v>
      </c>
      <c r="C115" s="93" t="s">
        <v>129</v>
      </c>
      <c r="D115" s="652"/>
      <c r="E115" s="652"/>
      <c r="F115" s="652">
        <f>14497+3915+8960.366+(10200+3002.328)</f>
        <v>40574.694000000003</v>
      </c>
      <c r="G115" s="652"/>
      <c r="H115" s="652"/>
      <c r="I115" s="652"/>
      <c r="J115" s="652">
        <f>70</f>
        <v>70</v>
      </c>
      <c r="K115" s="652">
        <f>2000</f>
        <v>2000</v>
      </c>
      <c r="L115" s="652"/>
      <c r="M115" s="652"/>
      <c r="N115" s="652"/>
      <c r="O115" s="652"/>
      <c r="P115" s="652"/>
      <c r="Q115" s="652"/>
      <c r="R115" s="652">
        <f t="shared" si="56"/>
        <v>42644.694000000003</v>
      </c>
      <c r="S115" s="116"/>
      <c r="T115" s="116"/>
      <c r="U115" s="116"/>
      <c r="V115" s="116"/>
      <c r="W115" s="116"/>
      <c r="X115" s="451">
        <f t="shared" si="2"/>
        <v>0</v>
      </c>
      <c r="Y115" s="650">
        <f t="shared" si="3"/>
        <v>42644.694000000003</v>
      </c>
      <c r="Z115" s="361"/>
      <c r="AA115" s="336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  <c r="BV115" s="52"/>
    </row>
    <row r="116" spans="1:74" ht="16.5" customHeight="1" x14ac:dyDescent="0.2">
      <c r="A116" s="25"/>
      <c r="B116" s="73" t="s">
        <v>197</v>
      </c>
      <c r="C116" s="93" t="s">
        <v>129</v>
      </c>
      <c r="D116" s="653"/>
      <c r="E116" s="653"/>
      <c r="F116" s="653"/>
      <c r="G116" s="653"/>
      <c r="H116" s="653"/>
      <c r="I116" s="653"/>
      <c r="J116" s="653"/>
      <c r="K116" s="653"/>
      <c r="L116" s="653"/>
      <c r="M116" s="653"/>
      <c r="N116" s="653"/>
      <c r="O116" s="653"/>
      <c r="P116" s="653"/>
      <c r="Q116" s="653"/>
      <c r="R116" s="653">
        <f t="shared" si="56"/>
        <v>0</v>
      </c>
      <c r="S116" s="94"/>
      <c r="T116" s="94"/>
      <c r="U116" s="94"/>
      <c r="V116" s="94"/>
      <c r="W116" s="94"/>
      <c r="X116" s="97">
        <f t="shared" si="2"/>
        <v>0</v>
      </c>
      <c r="Y116" s="650">
        <f t="shared" si="3"/>
        <v>0</v>
      </c>
      <c r="Z116" s="362"/>
      <c r="AA116" s="336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  <c r="BV116" s="52"/>
    </row>
    <row r="117" spans="1:74" ht="16.5" customHeight="1" x14ac:dyDescent="0.25">
      <c r="A117" s="25"/>
      <c r="B117" s="73" t="s">
        <v>198</v>
      </c>
      <c r="C117" s="93" t="s">
        <v>129</v>
      </c>
      <c r="D117" s="653"/>
      <c r="E117" s="653"/>
      <c r="F117" s="653"/>
      <c r="G117" s="653"/>
      <c r="H117" s="653"/>
      <c r="I117" s="653"/>
      <c r="J117" s="653">
        <f>100</f>
        <v>100</v>
      </c>
      <c r="K117" s="653"/>
      <c r="L117" s="653"/>
      <c r="M117" s="653"/>
      <c r="N117" s="654"/>
      <c r="O117" s="653"/>
      <c r="P117" s="653"/>
      <c r="Q117" s="653"/>
      <c r="R117" s="653">
        <f t="shared" si="56"/>
        <v>100</v>
      </c>
      <c r="S117" s="94"/>
      <c r="T117" s="94"/>
      <c r="U117" s="94"/>
      <c r="V117" s="94"/>
      <c r="W117" s="94"/>
      <c r="X117" s="97">
        <f t="shared" si="2"/>
        <v>0</v>
      </c>
      <c r="Y117" s="650">
        <f t="shared" si="3"/>
        <v>100</v>
      </c>
      <c r="Z117" s="362"/>
      <c r="AA117" s="336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  <c r="BV117" s="52"/>
    </row>
    <row r="118" spans="1:74" ht="16.5" customHeight="1" x14ac:dyDescent="0.25">
      <c r="A118" s="25"/>
      <c r="B118" s="73" t="s">
        <v>199</v>
      </c>
      <c r="C118" s="93" t="s">
        <v>129</v>
      </c>
      <c r="D118" s="653"/>
      <c r="E118" s="654"/>
      <c r="F118" s="653"/>
      <c r="G118" s="653"/>
      <c r="H118" s="653"/>
      <c r="I118" s="653"/>
      <c r="J118" s="653"/>
      <c r="K118" s="653"/>
      <c r="L118" s="653"/>
      <c r="M118" s="653"/>
      <c r="N118" s="653"/>
      <c r="O118" s="653"/>
      <c r="P118" s="653"/>
      <c r="Q118" s="653"/>
      <c r="R118" s="653">
        <f t="shared" si="56"/>
        <v>0</v>
      </c>
      <c r="S118" s="94"/>
      <c r="T118" s="94"/>
      <c r="U118" s="94"/>
      <c r="V118" s="94"/>
      <c r="W118" s="94"/>
      <c r="X118" s="97">
        <f t="shared" si="2"/>
        <v>0</v>
      </c>
      <c r="Y118" s="650">
        <f t="shared" si="3"/>
        <v>0</v>
      </c>
      <c r="Z118" s="362"/>
      <c r="AA118" s="336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</row>
    <row r="119" spans="1:74" ht="16.5" customHeight="1" x14ac:dyDescent="0.2">
      <c r="A119" s="25"/>
      <c r="B119" s="73" t="s">
        <v>216</v>
      </c>
      <c r="C119" s="93" t="s">
        <v>129</v>
      </c>
      <c r="D119" s="653"/>
      <c r="E119" s="653"/>
      <c r="F119" s="653"/>
      <c r="G119" s="653"/>
      <c r="H119" s="653"/>
      <c r="I119" s="653"/>
      <c r="J119" s="653"/>
      <c r="K119" s="653"/>
      <c r="L119" s="653"/>
      <c r="M119" s="653"/>
      <c r="N119" s="653"/>
      <c r="O119" s="653"/>
      <c r="P119" s="653"/>
      <c r="Q119" s="653"/>
      <c r="R119" s="653">
        <f t="shared" si="56"/>
        <v>0</v>
      </c>
      <c r="S119" s="94"/>
      <c r="T119" s="94"/>
      <c r="U119" s="94"/>
      <c r="V119" s="94"/>
      <c r="W119" s="94"/>
      <c r="X119" s="97">
        <f t="shared" si="2"/>
        <v>0</v>
      </c>
      <c r="Y119" s="650">
        <f t="shared" si="3"/>
        <v>0</v>
      </c>
      <c r="Z119" s="362"/>
      <c r="AA119" s="336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</row>
    <row r="120" spans="1:74" ht="16.5" customHeight="1" x14ac:dyDescent="0.2">
      <c r="A120" s="25"/>
      <c r="B120" s="73" t="s">
        <v>200</v>
      </c>
      <c r="C120" s="93" t="s">
        <v>129</v>
      </c>
      <c r="D120" s="653">
        <f>1038</f>
        <v>1038</v>
      </c>
      <c r="E120" s="653">
        <f>203</f>
        <v>203</v>
      </c>
      <c r="F120" s="653">
        <f>67+19+20+6+659+179</f>
        <v>950</v>
      </c>
      <c r="G120" s="653"/>
      <c r="H120" s="653"/>
      <c r="I120" s="653"/>
      <c r="J120" s="653">
        <v>400</v>
      </c>
      <c r="K120" s="653"/>
      <c r="L120" s="653"/>
      <c r="M120" s="653"/>
      <c r="N120" s="653"/>
      <c r="O120" s="653"/>
      <c r="P120" s="653"/>
      <c r="Q120" s="653"/>
      <c r="R120" s="653">
        <f t="shared" si="56"/>
        <v>2591</v>
      </c>
      <c r="S120" s="94"/>
      <c r="T120" s="94"/>
      <c r="U120" s="94"/>
      <c r="V120" s="94"/>
      <c r="W120" s="94"/>
      <c r="X120" s="97">
        <f t="shared" si="2"/>
        <v>0</v>
      </c>
      <c r="Y120" s="650">
        <f t="shared" si="3"/>
        <v>2591</v>
      </c>
      <c r="Z120" s="362"/>
      <c r="AA120" s="336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</row>
    <row r="121" spans="1:74" ht="16.5" customHeight="1" x14ac:dyDescent="0.2">
      <c r="A121" s="25"/>
      <c r="B121" s="73" t="s">
        <v>217</v>
      </c>
      <c r="C121" s="93" t="s">
        <v>129</v>
      </c>
      <c r="D121" s="653"/>
      <c r="E121" s="653"/>
      <c r="F121" s="653">
        <f>60+17</f>
        <v>77</v>
      </c>
      <c r="G121" s="653"/>
      <c r="H121" s="653"/>
      <c r="I121" s="653"/>
      <c r="J121" s="653"/>
      <c r="K121" s="653"/>
      <c r="L121" s="653"/>
      <c r="M121" s="653"/>
      <c r="N121" s="653"/>
      <c r="O121" s="653"/>
      <c r="P121" s="653"/>
      <c r="Q121" s="653"/>
      <c r="R121" s="653">
        <f t="shared" si="56"/>
        <v>77</v>
      </c>
      <c r="S121" s="94"/>
      <c r="T121" s="94"/>
      <c r="U121" s="94"/>
      <c r="V121" s="94"/>
      <c r="W121" s="94"/>
      <c r="X121" s="97">
        <f t="shared" si="2"/>
        <v>0</v>
      </c>
      <c r="Y121" s="650">
        <f t="shared" si="3"/>
        <v>77</v>
      </c>
      <c r="Z121" s="362"/>
      <c r="AA121" s="336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</row>
    <row r="122" spans="1:74" ht="16.5" customHeight="1" x14ac:dyDescent="0.2">
      <c r="A122" s="25"/>
      <c r="B122" s="73" t="s">
        <v>201</v>
      </c>
      <c r="C122" s="93" t="s">
        <v>129</v>
      </c>
      <c r="D122" s="653"/>
      <c r="E122" s="653"/>
      <c r="F122" s="653">
        <f>120</f>
        <v>120</v>
      </c>
      <c r="G122" s="653"/>
      <c r="H122" s="653"/>
      <c r="I122" s="653"/>
      <c r="J122" s="653"/>
      <c r="K122" s="653"/>
      <c r="L122" s="653"/>
      <c r="M122" s="653"/>
      <c r="N122" s="653"/>
      <c r="O122" s="653"/>
      <c r="P122" s="653"/>
      <c r="Q122" s="653"/>
      <c r="R122" s="653">
        <f t="shared" si="56"/>
        <v>120</v>
      </c>
      <c r="S122" s="94"/>
      <c r="T122" s="94"/>
      <c r="U122" s="94"/>
      <c r="V122" s="94"/>
      <c r="W122" s="94"/>
      <c r="X122" s="97">
        <f t="shared" si="2"/>
        <v>0</v>
      </c>
      <c r="Y122" s="650">
        <f t="shared" si="3"/>
        <v>120</v>
      </c>
      <c r="Z122" s="362"/>
      <c r="AA122" s="336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</row>
    <row r="123" spans="1:74" ht="16.5" customHeight="1" x14ac:dyDescent="0.2">
      <c r="A123" s="25"/>
      <c r="B123" s="73" t="s">
        <v>218</v>
      </c>
      <c r="C123" s="93" t="s">
        <v>129</v>
      </c>
      <c r="D123" s="653"/>
      <c r="E123" s="653"/>
      <c r="F123" s="653"/>
      <c r="G123" s="653"/>
      <c r="H123" s="653"/>
      <c r="I123" s="653"/>
      <c r="J123" s="653"/>
      <c r="K123" s="653"/>
      <c r="L123" s="653"/>
      <c r="M123" s="653"/>
      <c r="N123" s="653"/>
      <c r="O123" s="653"/>
      <c r="P123" s="653"/>
      <c r="Q123" s="653"/>
      <c r="R123" s="653">
        <f t="shared" si="56"/>
        <v>0</v>
      </c>
      <c r="S123" s="94"/>
      <c r="T123" s="94"/>
      <c r="U123" s="94"/>
      <c r="V123" s="94"/>
      <c r="W123" s="94"/>
      <c r="X123" s="97">
        <f t="shared" si="2"/>
        <v>0</v>
      </c>
      <c r="Y123" s="650">
        <f t="shared" si="3"/>
        <v>0</v>
      </c>
      <c r="Z123" s="362"/>
      <c r="AA123" s="336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</row>
    <row r="124" spans="1:74" ht="16.5" customHeight="1" x14ac:dyDescent="0.2">
      <c r="A124" s="25"/>
      <c r="B124" s="73" t="s">
        <v>219</v>
      </c>
      <c r="C124" s="93" t="s">
        <v>129</v>
      </c>
      <c r="D124" s="653"/>
      <c r="E124" s="653"/>
      <c r="F124" s="653">
        <f>2045+553+802+217+(1518+77+21+1199+389+105+5176+1398)</f>
        <v>13500</v>
      </c>
      <c r="G124" s="653"/>
      <c r="H124" s="653"/>
      <c r="I124" s="653"/>
      <c r="J124" s="653"/>
      <c r="K124" s="653"/>
      <c r="L124" s="653">
        <f>8400+2268</f>
        <v>10668</v>
      </c>
      <c r="M124" s="653"/>
      <c r="N124" s="653"/>
      <c r="O124" s="653"/>
      <c r="P124" s="653"/>
      <c r="Q124" s="653"/>
      <c r="R124" s="653">
        <f t="shared" si="56"/>
        <v>24168</v>
      </c>
      <c r="S124" s="94"/>
      <c r="T124" s="94"/>
      <c r="U124" s="94"/>
      <c r="V124" s="94"/>
      <c r="W124" s="94"/>
      <c r="X124" s="97">
        <f t="shared" si="2"/>
        <v>0</v>
      </c>
      <c r="Y124" s="650">
        <f t="shared" si="3"/>
        <v>24168</v>
      </c>
      <c r="Z124" s="362"/>
      <c r="AA124" s="336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</row>
    <row r="125" spans="1:74" ht="16.5" customHeight="1" x14ac:dyDescent="0.2">
      <c r="A125" s="25"/>
      <c r="B125" s="73" t="s">
        <v>220</v>
      </c>
      <c r="C125" s="93" t="s">
        <v>129</v>
      </c>
      <c r="D125" s="653"/>
      <c r="E125" s="653"/>
      <c r="F125" s="653"/>
      <c r="G125" s="653"/>
      <c r="H125" s="653"/>
      <c r="I125" s="653"/>
      <c r="J125" s="653"/>
      <c r="K125" s="653"/>
      <c r="L125" s="653"/>
      <c r="M125" s="653"/>
      <c r="N125" s="653"/>
      <c r="O125" s="653"/>
      <c r="P125" s="653"/>
      <c r="Q125" s="653"/>
      <c r="R125" s="653">
        <f t="shared" si="56"/>
        <v>0</v>
      </c>
      <c r="S125" s="94"/>
      <c r="T125" s="94"/>
      <c r="U125" s="94"/>
      <c r="V125" s="94"/>
      <c r="W125" s="94"/>
      <c r="X125" s="97">
        <f t="shared" si="2"/>
        <v>0</v>
      </c>
      <c r="Y125" s="650">
        <f t="shared" si="3"/>
        <v>0</v>
      </c>
      <c r="Z125" s="362"/>
      <c r="AA125" s="336"/>
      <c r="AB125" s="8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</row>
    <row r="126" spans="1:74" ht="16.5" customHeight="1" x14ac:dyDescent="0.2">
      <c r="A126" s="25"/>
      <c r="B126" s="73" t="s">
        <v>202</v>
      </c>
      <c r="C126" s="93" t="s">
        <v>129</v>
      </c>
      <c r="D126" s="653"/>
      <c r="E126" s="653"/>
      <c r="F126" s="653">
        <f>3000+810+130+885</f>
        <v>4825</v>
      </c>
      <c r="G126" s="653"/>
      <c r="H126" s="653"/>
      <c r="I126" s="653"/>
      <c r="J126" s="653">
        <f>200</f>
        <v>200</v>
      </c>
      <c r="K126" s="653"/>
      <c r="L126" s="653"/>
      <c r="M126" s="653"/>
      <c r="N126" s="653"/>
      <c r="O126" s="653"/>
      <c r="P126" s="653"/>
      <c r="Q126" s="653"/>
      <c r="R126" s="653">
        <f t="shared" si="56"/>
        <v>5025</v>
      </c>
      <c r="S126" s="94"/>
      <c r="T126" s="94"/>
      <c r="U126" s="94"/>
      <c r="V126" s="94"/>
      <c r="W126" s="94"/>
      <c r="X126" s="97">
        <f t="shared" si="2"/>
        <v>0</v>
      </c>
      <c r="Y126" s="650">
        <f t="shared" si="3"/>
        <v>5025</v>
      </c>
      <c r="Z126" s="362"/>
      <c r="AA126" s="336"/>
      <c r="AB126" s="8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</row>
    <row r="127" spans="1:74" ht="16.5" customHeight="1" x14ac:dyDescent="0.2">
      <c r="A127" s="25"/>
      <c r="B127" s="73" t="s">
        <v>221</v>
      </c>
      <c r="C127" s="93" t="s">
        <v>129</v>
      </c>
      <c r="D127" s="653"/>
      <c r="E127" s="653"/>
      <c r="F127" s="653"/>
      <c r="G127" s="653"/>
      <c r="H127" s="653"/>
      <c r="I127" s="653"/>
      <c r="J127" s="653"/>
      <c r="K127" s="653"/>
      <c r="L127" s="653"/>
      <c r="M127" s="653"/>
      <c r="N127" s="653"/>
      <c r="O127" s="653"/>
      <c r="P127" s="653"/>
      <c r="Q127" s="653"/>
      <c r="R127" s="653">
        <f t="shared" si="56"/>
        <v>0</v>
      </c>
      <c r="S127" s="94"/>
      <c r="T127" s="94"/>
      <c r="U127" s="94"/>
      <c r="V127" s="94"/>
      <c r="W127" s="94"/>
      <c r="X127" s="97">
        <f>SUM(T127:W127)</f>
        <v>0</v>
      </c>
      <c r="Y127" s="650">
        <f>R127+X127</f>
        <v>0</v>
      </c>
      <c r="Z127" s="362"/>
      <c r="AA127" s="336"/>
      <c r="AB127" s="8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</row>
    <row r="128" spans="1:74" ht="16.5" customHeight="1" x14ac:dyDescent="0.2">
      <c r="A128" s="25"/>
      <c r="B128" s="73" t="s">
        <v>203</v>
      </c>
      <c r="C128" s="93" t="s">
        <v>129</v>
      </c>
      <c r="D128" s="653"/>
      <c r="E128" s="653"/>
      <c r="F128" s="653">
        <f>581+157+(13600+3672+150+41)</f>
        <v>18201</v>
      </c>
      <c r="G128" s="653"/>
      <c r="H128" s="653"/>
      <c r="I128" s="653"/>
      <c r="J128" s="653"/>
      <c r="K128" s="653"/>
      <c r="L128" s="653"/>
      <c r="M128" s="653"/>
      <c r="N128" s="653"/>
      <c r="O128" s="653"/>
      <c r="P128" s="653"/>
      <c r="Q128" s="653"/>
      <c r="R128" s="653">
        <f t="shared" si="56"/>
        <v>18201</v>
      </c>
      <c r="S128" s="94"/>
      <c r="T128" s="94"/>
      <c r="U128" s="94"/>
      <c r="V128" s="94"/>
      <c r="W128" s="94"/>
      <c r="X128" s="97">
        <f t="shared" si="2"/>
        <v>0</v>
      </c>
      <c r="Y128" s="650">
        <f t="shared" si="3"/>
        <v>18201</v>
      </c>
      <c r="Z128" s="362"/>
      <c r="AA128" s="336"/>
      <c r="AB128" s="8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</row>
    <row r="129" spans="1:74" ht="16.5" customHeight="1" x14ac:dyDescent="0.2">
      <c r="A129" s="25"/>
      <c r="B129" s="73" t="s">
        <v>222</v>
      </c>
      <c r="C129" s="93" t="s">
        <v>129</v>
      </c>
      <c r="D129" s="653"/>
      <c r="E129" s="653"/>
      <c r="F129" s="653"/>
      <c r="G129" s="653"/>
      <c r="H129" s="653"/>
      <c r="I129" s="653"/>
      <c r="J129" s="653"/>
      <c r="K129" s="653"/>
      <c r="L129" s="653"/>
      <c r="M129" s="653"/>
      <c r="N129" s="653"/>
      <c r="O129" s="653"/>
      <c r="P129" s="653"/>
      <c r="Q129" s="653"/>
      <c r="R129" s="653">
        <f t="shared" si="56"/>
        <v>0</v>
      </c>
      <c r="S129" s="94"/>
      <c r="T129" s="94"/>
      <c r="U129" s="94"/>
      <c r="V129" s="94"/>
      <c r="W129" s="94"/>
      <c r="X129" s="97">
        <f t="shared" ref="X129" si="57">SUM(T129:W129)</f>
        <v>0</v>
      </c>
      <c r="Y129" s="650">
        <f t="shared" ref="Y129" si="58">R129+X129</f>
        <v>0</v>
      </c>
      <c r="Z129" s="362"/>
      <c r="AA129" s="336"/>
      <c r="AB129" s="8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</row>
    <row r="130" spans="1:74" ht="16.5" customHeight="1" x14ac:dyDescent="0.2">
      <c r="A130" s="25"/>
      <c r="B130" s="74" t="s">
        <v>223</v>
      </c>
      <c r="C130" s="95" t="s">
        <v>129</v>
      </c>
      <c r="D130" s="653"/>
      <c r="E130" s="653"/>
      <c r="F130" s="653"/>
      <c r="G130" s="653"/>
      <c r="H130" s="653"/>
      <c r="I130" s="653"/>
      <c r="J130" s="653"/>
      <c r="K130" s="653"/>
      <c r="L130" s="653"/>
      <c r="M130" s="653"/>
      <c r="N130" s="653"/>
      <c r="O130" s="653"/>
      <c r="P130" s="653"/>
      <c r="Q130" s="653"/>
      <c r="R130" s="653">
        <f t="shared" si="56"/>
        <v>0</v>
      </c>
      <c r="S130" s="94"/>
      <c r="T130" s="94"/>
      <c r="U130" s="94"/>
      <c r="V130" s="94"/>
      <c r="W130" s="94"/>
      <c r="X130" s="97">
        <f t="shared" si="2"/>
        <v>0</v>
      </c>
      <c r="Y130" s="650">
        <f t="shared" si="3"/>
        <v>0</v>
      </c>
      <c r="Z130" s="362"/>
      <c r="AA130" s="336"/>
      <c r="AB130" s="8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</row>
    <row r="131" spans="1:74" ht="16.5" customHeight="1" x14ac:dyDescent="0.2">
      <c r="A131" s="25"/>
      <c r="B131" s="74" t="s">
        <v>224</v>
      </c>
      <c r="C131" s="95" t="s">
        <v>129</v>
      </c>
      <c r="D131" s="653"/>
      <c r="E131" s="653"/>
      <c r="F131" s="653"/>
      <c r="G131" s="653"/>
      <c r="H131" s="653"/>
      <c r="I131" s="653"/>
      <c r="J131" s="653"/>
      <c r="K131" s="653"/>
      <c r="L131" s="653"/>
      <c r="M131" s="653"/>
      <c r="N131" s="653"/>
      <c r="O131" s="653"/>
      <c r="P131" s="653"/>
      <c r="Q131" s="653"/>
      <c r="R131" s="653">
        <f t="shared" si="56"/>
        <v>0</v>
      </c>
      <c r="S131" s="94"/>
      <c r="T131" s="94"/>
      <c r="U131" s="94"/>
      <c r="V131" s="94"/>
      <c r="W131" s="94"/>
      <c r="X131" s="97">
        <f t="shared" si="2"/>
        <v>0</v>
      </c>
      <c r="Y131" s="650">
        <f t="shared" si="3"/>
        <v>0</v>
      </c>
      <c r="Z131" s="660"/>
      <c r="AA131" s="336"/>
      <c r="AB131" s="8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</row>
    <row r="132" spans="1:74" ht="16.5" customHeight="1" x14ac:dyDescent="0.2">
      <c r="A132" s="25"/>
      <c r="B132" s="74" t="s">
        <v>204</v>
      </c>
      <c r="C132" s="95" t="s">
        <v>129</v>
      </c>
      <c r="D132" s="653"/>
      <c r="E132" s="653"/>
      <c r="F132" s="653">
        <f>2500+675+1050+284+(358+97+16840+4547+6226+1681+955+463+500+135)</f>
        <v>36311</v>
      </c>
      <c r="G132" s="653"/>
      <c r="H132" s="653"/>
      <c r="I132" s="653"/>
      <c r="J132" s="653"/>
      <c r="K132" s="653"/>
      <c r="L132" s="653"/>
      <c r="M132" s="653"/>
      <c r="N132" s="653"/>
      <c r="O132" s="653"/>
      <c r="P132" s="653"/>
      <c r="Q132" s="653"/>
      <c r="R132" s="653">
        <f t="shared" si="56"/>
        <v>36311</v>
      </c>
      <c r="S132" s="94"/>
      <c r="T132" s="94"/>
      <c r="U132" s="94"/>
      <c r="V132" s="94"/>
      <c r="W132" s="94"/>
      <c r="X132" s="97">
        <f t="shared" si="2"/>
        <v>0</v>
      </c>
      <c r="Y132" s="650">
        <f t="shared" si="3"/>
        <v>36311</v>
      </c>
      <c r="Z132" s="362"/>
      <c r="AA132" s="336"/>
      <c r="AB132" s="8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</row>
    <row r="133" spans="1:74" ht="16.5" customHeight="1" x14ac:dyDescent="0.2">
      <c r="A133" s="25"/>
      <c r="B133" s="31">
        <v>9061</v>
      </c>
      <c r="C133" s="95" t="s">
        <v>129</v>
      </c>
      <c r="D133" s="653"/>
      <c r="E133" s="653"/>
      <c r="F133" s="653">
        <f>3071+420</f>
        <v>3491</v>
      </c>
      <c r="G133" s="653"/>
      <c r="H133" s="653"/>
      <c r="I133" s="653"/>
      <c r="J133" s="653"/>
      <c r="K133" s="653">
        <f>11781</f>
        <v>11781</v>
      </c>
      <c r="L133" s="653"/>
      <c r="M133" s="653"/>
      <c r="N133" s="653"/>
      <c r="O133" s="653"/>
      <c r="P133" s="653"/>
      <c r="Q133" s="653">
        <f>193152</f>
        <v>193152</v>
      </c>
      <c r="R133" s="653">
        <f t="shared" si="56"/>
        <v>208424</v>
      </c>
      <c r="S133" s="94"/>
      <c r="T133" s="94"/>
      <c r="U133" s="94"/>
      <c r="V133" s="94"/>
      <c r="W133" s="94"/>
      <c r="X133" s="97">
        <f t="shared" si="2"/>
        <v>0</v>
      </c>
      <c r="Y133" s="650">
        <f t="shared" si="3"/>
        <v>208424</v>
      </c>
      <c r="Z133" s="362"/>
      <c r="AA133" s="336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</row>
    <row r="134" spans="1:74" ht="16.5" customHeight="1" x14ac:dyDescent="0.2">
      <c r="A134" s="25"/>
      <c r="B134" s="31">
        <v>9080</v>
      </c>
      <c r="C134" s="95" t="s">
        <v>129</v>
      </c>
      <c r="D134" s="653"/>
      <c r="E134" s="653"/>
      <c r="F134" s="653">
        <f>8780+980+200+54+1654+447+(476+96+4354+933+1931+1673+1718+2753)</f>
        <v>26049</v>
      </c>
      <c r="G134" s="653"/>
      <c r="H134" s="653"/>
      <c r="I134" s="653"/>
      <c r="J134" s="653">
        <f>200+373+116+690+629+1068+1068+6350+1000</f>
        <v>11494</v>
      </c>
      <c r="K134" s="653"/>
      <c r="L134" s="653"/>
      <c r="M134" s="653"/>
      <c r="N134" s="653"/>
      <c r="O134" s="653"/>
      <c r="P134" s="653"/>
      <c r="Q134" s="653">
        <f>1620</f>
        <v>1620</v>
      </c>
      <c r="R134" s="653">
        <f t="shared" si="56"/>
        <v>39163</v>
      </c>
      <c r="S134" s="94"/>
      <c r="T134" s="94"/>
      <c r="U134" s="94"/>
      <c r="V134" s="94"/>
      <c r="W134" s="94"/>
      <c r="X134" s="97">
        <f t="shared" si="2"/>
        <v>0</v>
      </c>
      <c r="Y134" s="650">
        <f t="shared" si="3"/>
        <v>39163</v>
      </c>
      <c r="Z134" s="362"/>
      <c r="AA134" s="336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</row>
    <row r="135" spans="1:74" ht="16.5" customHeight="1" x14ac:dyDescent="0.2">
      <c r="A135" s="25"/>
      <c r="B135" s="31">
        <v>9090</v>
      </c>
      <c r="C135" s="95" t="s">
        <v>129</v>
      </c>
      <c r="D135" s="653"/>
      <c r="E135" s="653"/>
      <c r="F135" s="653">
        <f>444+490</f>
        <v>934</v>
      </c>
      <c r="G135" s="653">
        <f>2048+1136+485+5584+1042+2671+902+1030+676+1530+1157+389+900+600+80</f>
        <v>20230</v>
      </c>
      <c r="H135" s="653"/>
      <c r="I135" s="653"/>
      <c r="J135" s="653"/>
      <c r="K135" s="653"/>
      <c r="L135" s="653"/>
      <c r="M135" s="653"/>
      <c r="N135" s="653"/>
      <c r="O135" s="653"/>
      <c r="P135" s="653"/>
      <c r="Q135" s="653"/>
      <c r="R135" s="653">
        <f t="shared" si="56"/>
        <v>21164</v>
      </c>
      <c r="S135" s="94"/>
      <c r="T135" s="94"/>
      <c r="U135" s="94"/>
      <c r="V135" s="94"/>
      <c r="W135" s="94"/>
      <c r="X135" s="97">
        <f t="shared" si="2"/>
        <v>0</v>
      </c>
      <c r="Y135" s="650">
        <f t="shared" si="3"/>
        <v>21164</v>
      </c>
      <c r="Z135" s="362"/>
      <c r="AA135" s="336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</row>
    <row r="136" spans="1:74" ht="16.5" customHeight="1" x14ac:dyDescent="0.2">
      <c r="A136" s="25"/>
      <c r="B136" s="31">
        <v>9101</v>
      </c>
      <c r="C136" s="95" t="s">
        <v>129</v>
      </c>
      <c r="D136" s="653"/>
      <c r="E136" s="653"/>
      <c r="F136" s="653"/>
      <c r="G136" s="653"/>
      <c r="H136" s="653"/>
      <c r="I136" s="653"/>
      <c r="J136" s="653"/>
      <c r="K136" s="653"/>
      <c r="L136" s="653">
        <f>1300+351</f>
        <v>1651</v>
      </c>
      <c r="M136" s="653"/>
      <c r="N136" s="653"/>
      <c r="O136" s="653"/>
      <c r="P136" s="653"/>
      <c r="Q136" s="653"/>
      <c r="R136" s="653">
        <f t="shared" si="56"/>
        <v>1651</v>
      </c>
      <c r="S136" s="94"/>
      <c r="T136" s="94"/>
      <c r="U136" s="94"/>
      <c r="V136" s="94"/>
      <c r="W136" s="94"/>
      <c r="X136" s="97">
        <f t="shared" si="2"/>
        <v>0</v>
      </c>
      <c r="Y136" s="650">
        <f t="shared" si="3"/>
        <v>1651</v>
      </c>
      <c r="Z136" s="362"/>
      <c r="AA136" s="336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</row>
    <row r="137" spans="1:74" ht="16.5" customHeight="1" x14ac:dyDescent="0.2">
      <c r="A137" s="25"/>
      <c r="B137" s="31">
        <v>9103</v>
      </c>
      <c r="C137" s="95" t="s">
        <v>129</v>
      </c>
      <c r="D137" s="653"/>
      <c r="E137" s="653"/>
      <c r="F137" s="653">
        <f>1398+378+563+153+22+6</f>
        <v>2520</v>
      </c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>
        <f t="shared" si="56"/>
        <v>2520</v>
      </c>
      <c r="S137" s="94"/>
      <c r="T137" s="94"/>
      <c r="U137" s="94"/>
      <c r="V137" s="94"/>
      <c r="W137" s="94"/>
      <c r="X137" s="97">
        <f t="shared" si="2"/>
        <v>0</v>
      </c>
      <c r="Y137" s="650">
        <f t="shared" si="3"/>
        <v>2520</v>
      </c>
      <c r="Z137" s="362"/>
      <c r="AA137" s="336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</row>
    <row r="138" spans="1:74" ht="16.5" customHeight="1" x14ac:dyDescent="0.2">
      <c r="A138" s="25"/>
      <c r="B138" s="31">
        <v>9121</v>
      </c>
      <c r="C138" s="75" t="s">
        <v>129</v>
      </c>
      <c r="D138" s="655"/>
      <c r="E138" s="655"/>
      <c r="F138" s="655">
        <f>1000+270+1350+365+1043+282+4434+1198+3329+899+9199+2484+2805+758+(1101+298+32805+8856+60540+16346+1629+440+522+141+3475+939+1980+535+1685+455)</f>
        <v>161163</v>
      </c>
      <c r="G138" s="655"/>
      <c r="H138" s="655"/>
      <c r="I138" s="655"/>
      <c r="J138" s="655"/>
      <c r="K138" s="655"/>
      <c r="L138" s="655">
        <f>20000+5400+7559+2041+14393+3887+566+154+24982+6745+4369+1180+1555+420+4429+943+17174+4637+8669+2340</f>
        <v>131443</v>
      </c>
      <c r="M138" s="655">
        <f>14979+4044</f>
        <v>19023</v>
      </c>
      <c r="N138" s="655"/>
      <c r="O138" s="655"/>
      <c r="P138" s="655"/>
      <c r="Q138" s="655"/>
      <c r="R138" s="655">
        <f t="shared" si="56"/>
        <v>311629</v>
      </c>
      <c r="S138" s="76"/>
      <c r="T138" s="76"/>
      <c r="U138" s="76"/>
      <c r="V138" s="76"/>
      <c r="W138" s="76"/>
      <c r="X138" s="452">
        <f t="shared" si="2"/>
        <v>0</v>
      </c>
      <c r="Y138" s="650">
        <f t="shared" si="3"/>
        <v>311629</v>
      </c>
      <c r="Z138" s="363"/>
      <c r="AA138" s="337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</row>
    <row r="139" spans="1:74" ht="16.5" customHeight="1" x14ac:dyDescent="0.2">
      <c r="A139" s="25"/>
      <c r="B139" s="31">
        <v>9150</v>
      </c>
      <c r="C139" s="75" t="s">
        <v>129</v>
      </c>
      <c r="D139" s="655"/>
      <c r="E139" s="655"/>
      <c r="F139" s="653">
        <f>8</f>
        <v>8</v>
      </c>
      <c r="G139" s="655"/>
      <c r="H139" s="655"/>
      <c r="I139" s="655"/>
      <c r="J139" s="655"/>
      <c r="K139" s="655"/>
      <c r="L139" s="653"/>
      <c r="M139" s="655"/>
      <c r="N139" s="655"/>
      <c r="O139" s="655"/>
      <c r="P139" s="655"/>
      <c r="Q139" s="655"/>
      <c r="R139" s="655">
        <f t="shared" si="56"/>
        <v>8</v>
      </c>
      <c r="S139" s="76"/>
      <c r="T139" s="76"/>
      <c r="U139" s="76"/>
      <c r="V139" s="76"/>
      <c r="W139" s="76"/>
      <c r="X139" s="452">
        <f t="shared" si="2"/>
        <v>0</v>
      </c>
      <c r="Y139" s="650">
        <f t="shared" si="3"/>
        <v>8</v>
      </c>
      <c r="Z139" s="363"/>
      <c r="AA139" s="338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</row>
    <row r="140" spans="1:74" ht="16.5" customHeight="1" x14ac:dyDescent="0.2">
      <c r="A140" s="25"/>
      <c r="B140" s="31">
        <v>9152</v>
      </c>
      <c r="C140" s="75" t="s">
        <v>129</v>
      </c>
      <c r="D140" s="655"/>
      <c r="E140" s="655"/>
      <c r="F140" s="653"/>
      <c r="G140" s="655"/>
      <c r="H140" s="655"/>
      <c r="I140" s="655"/>
      <c r="J140" s="655"/>
      <c r="K140" s="655"/>
      <c r="L140" s="655"/>
      <c r="M140" s="655"/>
      <c r="N140" s="655"/>
      <c r="O140" s="655"/>
      <c r="P140" s="655"/>
      <c r="Q140" s="655"/>
      <c r="R140" s="655">
        <f t="shared" si="56"/>
        <v>0</v>
      </c>
      <c r="S140" s="76"/>
      <c r="T140" s="76"/>
      <c r="U140" s="76"/>
      <c r="V140" s="76"/>
      <c r="W140" s="76"/>
      <c r="X140" s="452">
        <f t="shared" si="2"/>
        <v>0</v>
      </c>
      <c r="Y140" s="650">
        <f t="shared" si="3"/>
        <v>0</v>
      </c>
      <c r="Z140" s="363"/>
      <c r="AA140" s="338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</row>
    <row r="141" spans="1:74" ht="16.5" customHeight="1" x14ac:dyDescent="0.2">
      <c r="A141" s="25"/>
      <c r="B141" s="31">
        <v>9154</v>
      </c>
      <c r="C141" s="75" t="s">
        <v>129</v>
      </c>
      <c r="D141" s="655"/>
      <c r="E141" s="655"/>
      <c r="F141" s="653"/>
      <c r="G141" s="655"/>
      <c r="H141" s="655"/>
      <c r="I141" s="655"/>
      <c r="J141" s="655"/>
      <c r="K141" s="655"/>
      <c r="L141" s="655"/>
      <c r="M141" s="655"/>
      <c r="N141" s="655"/>
      <c r="O141" s="655"/>
      <c r="P141" s="655"/>
      <c r="Q141" s="655"/>
      <c r="R141" s="655">
        <f t="shared" si="56"/>
        <v>0</v>
      </c>
      <c r="S141" s="76"/>
      <c r="T141" s="76"/>
      <c r="U141" s="76"/>
      <c r="V141" s="76"/>
      <c r="W141" s="76"/>
      <c r="X141" s="452">
        <f t="shared" ref="X141" si="59">SUM(T141:W141)</f>
        <v>0</v>
      </c>
      <c r="Y141" s="650">
        <f t="shared" ref="Y141" si="60">R141+X141</f>
        <v>0</v>
      </c>
      <c r="Z141" s="363"/>
      <c r="AA141" s="338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</row>
    <row r="142" spans="1:74" ht="16.5" customHeight="1" x14ac:dyDescent="0.2">
      <c r="A142" s="25"/>
      <c r="B142" s="31">
        <v>9155</v>
      </c>
      <c r="C142" s="75" t="s">
        <v>129</v>
      </c>
      <c r="D142" s="655"/>
      <c r="E142" s="655"/>
      <c r="F142" s="653"/>
      <c r="G142" s="655"/>
      <c r="H142" s="655"/>
      <c r="I142" s="655"/>
      <c r="J142" s="655"/>
      <c r="K142" s="655"/>
      <c r="L142" s="655"/>
      <c r="M142" s="655"/>
      <c r="N142" s="655"/>
      <c r="O142" s="655"/>
      <c r="P142" s="655"/>
      <c r="Q142" s="655"/>
      <c r="R142" s="655">
        <f t="shared" si="56"/>
        <v>0</v>
      </c>
      <c r="S142" s="76"/>
      <c r="T142" s="76"/>
      <c r="U142" s="76"/>
      <c r="V142" s="76"/>
      <c r="W142" s="76"/>
      <c r="X142" s="452">
        <f t="shared" si="2"/>
        <v>0</v>
      </c>
      <c r="Y142" s="650">
        <f t="shared" si="3"/>
        <v>0</v>
      </c>
      <c r="Z142" s="363"/>
      <c r="AA142" s="338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</row>
    <row r="143" spans="1:74" ht="16.5" customHeight="1" x14ac:dyDescent="0.2">
      <c r="A143" s="25"/>
      <c r="B143" s="31">
        <v>9180</v>
      </c>
      <c r="C143" s="75" t="s">
        <v>129</v>
      </c>
      <c r="D143" s="655"/>
      <c r="E143" s="655"/>
      <c r="F143" s="655"/>
      <c r="G143" s="655"/>
      <c r="H143" s="655"/>
      <c r="I143" s="655"/>
      <c r="J143" s="655"/>
      <c r="K143" s="655"/>
      <c r="L143" s="655">
        <f>20650</f>
        <v>20650</v>
      </c>
      <c r="M143" s="655">
        <f>7000+1890</f>
        <v>8890</v>
      </c>
      <c r="N143" s="655"/>
      <c r="O143" s="655"/>
      <c r="P143" s="655"/>
      <c r="Q143" s="655"/>
      <c r="R143" s="655">
        <f t="shared" si="56"/>
        <v>29540</v>
      </c>
      <c r="S143" s="76"/>
      <c r="T143" s="76"/>
      <c r="U143" s="76"/>
      <c r="V143" s="76"/>
      <c r="W143" s="76"/>
      <c r="X143" s="452">
        <f t="shared" ref="X143:X149" si="61">SUM(T143:W143)</f>
        <v>0</v>
      </c>
      <c r="Y143" s="650">
        <f t="shared" ref="Y143:Y149" si="62">R143+X143</f>
        <v>29540</v>
      </c>
      <c r="Z143" s="363"/>
      <c r="AA143" s="338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</row>
    <row r="144" spans="1:74" ht="16.5" customHeight="1" x14ac:dyDescent="0.2">
      <c r="A144" s="25"/>
      <c r="B144" s="31">
        <v>9181</v>
      </c>
      <c r="C144" s="75" t="s">
        <v>129</v>
      </c>
      <c r="D144" s="655"/>
      <c r="E144" s="655"/>
      <c r="F144" s="655">
        <f>8000+2160</f>
        <v>10160</v>
      </c>
      <c r="G144" s="655"/>
      <c r="H144" s="655"/>
      <c r="I144" s="655"/>
      <c r="J144" s="655"/>
      <c r="K144" s="655"/>
      <c r="L144" s="655"/>
      <c r="M144" s="655"/>
      <c r="N144" s="655"/>
      <c r="O144" s="655"/>
      <c r="P144" s="655"/>
      <c r="Q144" s="655">
        <f>5075</f>
        <v>5075</v>
      </c>
      <c r="R144" s="655">
        <f t="shared" si="56"/>
        <v>15235</v>
      </c>
      <c r="S144" s="76"/>
      <c r="T144" s="76"/>
      <c r="U144" s="76"/>
      <c r="V144" s="76"/>
      <c r="W144" s="76"/>
      <c r="X144" s="452">
        <f t="shared" si="61"/>
        <v>0</v>
      </c>
      <c r="Y144" s="650">
        <f t="shared" si="62"/>
        <v>15235</v>
      </c>
      <c r="Z144" s="363"/>
      <c r="AA144" s="338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</row>
    <row r="145" spans="1:74" ht="16.5" customHeight="1" x14ac:dyDescent="0.2">
      <c r="A145" s="25"/>
      <c r="B145" s="31">
        <v>9182</v>
      </c>
      <c r="C145" s="75" t="s">
        <v>129</v>
      </c>
      <c r="D145" s="655"/>
      <c r="E145" s="655"/>
      <c r="F145" s="655"/>
      <c r="G145" s="655"/>
      <c r="H145" s="655"/>
      <c r="I145" s="655"/>
      <c r="J145" s="655"/>
      <c r="K145" s="655"/>
      <c r="L145" s="655"/>
      <c r="M145" s="655"/>
      <c r="N145" s="656"/>
      <c r="O145" s="655"/>
      <c r="P145" s="655"/>
      <c r="Q145" s="655"/>
      <c r="R145" s="655">
        <f t="shared" si="56"/>
        <v>0</v>
      </c>
      <c r="S145" s="76"/>
      <c r="T145" s="76"/>
      <c r="U145" s="76"/>
      <c r="V145" s="76"/>
      <c r="W145" s="76"/>
      <c r="X145" s="452">
        <f t="shared" si="61"/>
        <v>0</v>
      </c>
      <c r="Y145" s="650">
        <f t="shared" si="62"/>
        <v>0</v>
      </c>
      <c r="Z145" s="363"/>
      <c r="AA145" s="338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</row>
    <row r="146" spans="1:74" ht="16.5" customHeight="1" x14ac:dyDescent="0.2">
      <c r="A146" s="25"/>
      <c r="B146" s="31">
        <v>9190</v>
      </c>
      <c r="C146" s="75" t="s">
        <v>129</v>
      </c>
      <c r="D146" s="655"/>
      <c r="E146" s="655"/>
      <c r="F146" s="655">
        <f>360+98+700+189</f>
        <v>1347</v>
      </c>
      <c r="G146" s="655"/>
      <c r="H146" s="655"/>
      <c r="I146" s="655"/>
      <c r="J146" s="655"/>
      <c r="K146" s="655"/>
      <c r="L146" s="655"/>
      <c r="M146" s="655"/>
      <c r="N146" s="655"/>
      <c r="O146" s="655"/>
      <c r="P146" s="655"/>
      <c r="Q146" s="655"/>
      <c r="R146" s="655">
        <f t="shared" si="56"/>
        <v>1347</v>
      </c>
      <c r="S146" s="76"/>
      <c r="T146" s="76"/>
      <c r="U146" s="76"/>
      <c r="V146" s="76"/>
      <c r="W146" s="76"/>
      <c r="X146" s="452">
        <f t="shared" si="61"/>
        <v>0</v>
      </c>
      <c r="Y146" s="650">
        <f t="shared" si="62"/>
        <v>1347</v>
      </c>
      <c r="Z146" s="363"/>
      <c r="AA146" s="338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</row>
    <row r="147" spans="1:74" ht="16.5" customHeight="1" x14ac:dyDescent="0.2">
      <c r="A147" s="25"/>
      <c r="B147" s="31">
        <v>9200</v>
      </c>
      <c r="C147" s="75" t="s">
        <v>129</v>
      </c>
      <c r="D147" s="655"/>
      <c r="E147" s="655"/>
      <c r="F147" s="655">
        <f>863+234+(552+150)</f>
        <v>1799</v>
      </c>
      <c r="G147" s="655"/>
      <c r="H147" s="655"/>
      <c r="I147" s="655"/>
      <c r="J147" s="655"/>
      <c r="K147" s="655"/>
      <c r="L147" s="655"/>
      <c r="M147" s="655"/>
      <c r="N147" s="655"/>
      <c r="O147" s="655"/>
      <c r="P147" s="655"/>
      <c r="Q147" s="655"/>
      <c r="R147" s="655">
        <f t="shared" si="56"/>
        <v>1799</v>
      </c>
      <c r="S147" s="76"/>
      <c r="T147" s="76"/>
      <c r="U147" s="76"/>
      <c r="V147" s="76"/>
      <c r="W147" s="76"/>
      <c r="X147" s="452">
        <f t="shared" si="61"/>
        <v>0</v>
      </c>
      <c r="Y147" s="650">
        <f t="shared" si="62"/>
        <v>1799</v>
      </c>
      <c r="Z147" s="363"/>
      <c r="AA147" s="338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</row>
    <row r="148" spans="1:74" ht="16.5" customHeight="1" x14ac:dyDescent="0.2">
      <c r="A148" s="25"/>
      <c r="B148" s="31">
        <v>9201</v>
      </c>
      <c r="C148" s="75" t="s">
        <v>129</v>
      </c>
      <c r="D148" s="655"/>
      <c r="E148" s="655"/>
      <c r="F148" s="655"/>
      <c r="G148" s="655"/>
      <c r="H148" s="655"/>
      <c r="I148" s="655"/>
      <c r="J148" s="655"/>
      <c r="K148" s="655"/>
      <c r="L148" s="655"/>
      <c r="M148" s="655"/>
      <c r="N148" s="655"/>
      <c r="O148" s="655"/>
      <c r="P148" s="655"/>
      <c r="Q148" s="655"/>
      <c r="R148" s="655">
        <f t="shared" si="56"/>
        <v>0</v>
      </c>
      <c r="S148" s="76"/>
      <c r="T148" s="76"/>
      <c r="U148" s="76"/>
      <c r="V148" s="76"/>
      <c r="W148" s="76"/>
      <c r="X148" s="452">
        <f t="shared" si="61"/>
        <v>0</v>
      </c>
      <c r="Y148" s="650">
        <f t="shared" si="62"/>
        <v>0</v>
      </c>
      <c r="Z148" s="363"/>
      <c r="AA148" s="338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</row>
    <row r="149" spans="1:74" ht="16.5" customHeight="1" x14ac:dyDescent="0.2">
      <c r="A149" s="25"/>
      <c r="B149" s="31">
        <v>9401</v>
      </c>
      <c r="C149" s="75" t="s">
        <v>129</v>
      </c>
      <c r="D149" s="655"/>
      <c r="E149" s="655"/>
      <c r="F149" s="655">
        <f>5783+1562+450+122+40+1000+270+450+122+40+100+100+(28000+7560+6250+1688+4000+1080+1000+160+10600+2862+586)+620</f>
        <v>74445</v>
      </c>
      <c r="G149" s="655"/>
      <c r="H149" s="655"/>
      <c r="I149" s="655"/>
      <c r="J149" s="655">
        <f>10000</f>
        <v>10000</v>
      </c>
      <c r="K149" s="655"/>
      <c r="L149" s="655">
        <f>5900+1593+3686+995+2910+786+170130+46655+3750+1013+2800+756+2400+648-3317-895+(50000+13500+25000+6750+7800+2106+17403+4699+25000+6750+25000+6750+52550+14189+26837+7246+50715+13693+1960+529+2915+790+25000+6750+40000+10800+55000+14850+10000+2700+80000+21600+19885+5369+10000+2700+5000+1350+8000+2160)</f>
        <v>923156</v>
      </c>
      <c r="M149" s="655"/>
      <c r="N149" s="655"/>
      <c r="O149" s="655"/>
      <c r="P149" s="655"/>
      <c r="Q149" s="655">
        <f>31750+25000</f>
        <v>56750</v>
      </c>
      <c r="R149" s="655">
        <f t="shared" si="56"/>
        <v>1064351</v>
      </c>
      <c r="S149" s="76"/>
      <c r="T149" s="76"/>
      <c r="U149" s="76"/>
      <c r="V149" s="76"/>
      <c r="W149" s="76"/>
      <c r="X149" s="452">
        <f t="shared" si="61"/>
        <v>0</v>
      </c>
      <c r="Y149" s="650">
        <f t="shared" si="62"/>
        <v>1064351</v>
      </c>
      <c r="Z149" s="363"/>
      <c r="AA149" s="338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</row>
    <row r="150" spans="1:74" ht="16.5" customHeight="1" x14ac:dyDescent="0.2">
      <c r="A150" s="25"/>
      <c r="B150" s="31">
        <v>9420</v>
      </c>
      <c r="C150" s="75" t="s">
        <v>129</v>
      </c>
      <c r="D150" s="655"/>
      <c r="E150" s="655"/>
      <c r="F150" s="655"/>
      <c r="G150" s="655"/>
      <c r="H150" s="655"/>
      <c r="I150" s="655"/>
      <c r="J150" s="655"/>
      <c r="K150" s="655"/>
      <c r="L150" s="655"/>
      <c r="M150" s="655"/>
      <c r="N150" s="655"/>
      <c r="O150" s="655"/>
      <c r="P150" s="655"/>
      <c r="Q150" s="655"/>
      <c r="R150" s="655">
        <f t="shared" si="56"/>
        <v>0</v>
      </c>
      <c r="S150" s="76"/>
      <c r="T150" s="76"/>
      <c r="U150" s="76"/>
      <c r="V150" s="76"/>
      <c r="W150" s="76"/>
      <c r="X150" s="452">
        <f t="shared" ref="X150" si="63">SUM(T150:W150)</f>
        <v>0</v>
      </c>
      <c r="Y150" s="650">
        <f t="shared" ref="Y150" si="64">R150+X150</f>
        <v>0</v>
      </c>
      <c r="Z150" s="363"/>
      <c r="AA150" s="338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</row>
    <row r="151" spans="1:74" ht="16.5" customHeight="1" x14ac:dyDescent="0.2">
      <c r="A151" s="25"/>
      <c r="B151" s="31">
        <v>9424</v>
      </c>
      <c r="C151" s="75" t="s">
        <v>129</v>
      </c>
      <c r="D151" s="655"/>
      <c r="E151" s="655"/>
      <c r="F151" s="655"/>
      <c r="G151" s="655"/>
      <c r="H151" s="655"/>
      <c r="I151" s="655"/>
      <c r="J151" s="655"/>
      <c r="K151" s="655"/>
      <c r="L151" s="655">
        <f>(300+81+4800+1296)</f>
        <v>6477</v>
      </c>
      <c r="M151" s="655"/>
      <c r="N151" s="655"/>
      <c r="O151" s="655"/>
      <c r="P151" s="655"/>
      <c r="Q151" s="655">
        <f>23600</f>
        <v>23600</v>
      </c>
      <c r="R151" s="655">
        <f t="shared" si="56"/>
        <v>30077</v>
      </c>
      <c r="S151" s="76"/>
      <c r="T151" s="76"/>
      <c r="U151" s="76"/>
      <c r="V151" s="76"/>
      <c r="W151" s="76"/>
      <c r="X151" s="452">
        <f t="shared" si="2"/>
        <v>0</v>
      </c>
      <c r="Y151" s="650">
        <f t="shared" si="3"/>
        <v>30077</v>
      </c>
      <c r="Z151" s="363"/>
      <c r="AA151" s="338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  <c r="BV151" s="52"/>
    </row>
    <row r="152" spans="1:74" ht="16.5" customHeight="1" x14ac:dyDescent="0.2">
      <c r="A152" s="25"/>
      <c r="B152" s="31">
        <v>9425</v>
      </c>
      <c r="C152" s="75" t="s">
        <v>129</v>
      </c>
      <c r="D152" s="655"/>
      <c r="E152" s="655"/>
      <c r="F152" s="655"/>
      <c r="G152" s="655"/>
      <c r="H152" s="655"/>
      <c r="I152" s="655"/>
      <c r="J152" s="655"/>
      <c r="K152" s="655"/>
      <c r="L152" s="655">
        <f>4467+1207</f>
        <v>5674</v>
      </c>
      <c r="M152" s="655"/>
      <c r="N152" s="655"/>
      <c r="O152" s="655"/>
      <c r="P152" s="655"/>
      <c r="Q152" s="655"/>
      <c r="R152" s="655">
        <f t="shared" si="56"/>
        <v>5674</v>
      </c>
      <c r="S152" s="76"/>
      <c r="T152" s="76"/>
      <c r="U152" s="76"/>
      <c r="V152" s="76"/>
      <c r="W152" s="76"/>
      <c r="X152" s="452">
        <f t="shared" si="2"/>
        <v>0</v>
      </c>
      <c r="Y152" s="650">
        <f t="shared" si="3"/>
        <v>5674</v>
      </c>
      <c r="Z152" s="363"/>
      <c r="AA152" s="338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</row>
    <row r="153" spans="1:74" ht="16.5" customHeight="1" x14ac:dyDescent="0.2">
      <c r="A153" s="25"/>
      <c r="B153" s="31">
        <v>9426</v>
      </c>
      <c r="C153" s="75" t="s">
        <v>129</v>
      </c>
      <c r="D153" s="655"/>
      <c r="E153" s="655"/>
      <c r="F153" s="655"/>
      <c r="G153" s="655"/>
      <c r="H153" s="655"/>
      <c r="I153" s="655"/>
      <c r="J153" s="655"/>
      <c r="K153" s="655"/>
      <c r="L153" s="655"/>
      <c r="M153" s="655"/>
      <c r="N153" s="655"/>
      <c r="O153" s="655"/>
      <c r="P153" s="655"/>
      <c r="Q153" s="655"/>
      <c r="R153" s="655">
        <f t="shared" si="56"/>
        <v>0</v>
      </c>
      <c r="S153" s="76"/>
      <c r="T153" s="76"/>
      <c r="U153" s="76"/>
      <c r="V153" s="76"/>
      <c r="W153" s="76"/>
      <c r="X153" s="452">
        <f t="shared" si="2"/>
        <v>0</v>
      </c>
      <c r="Y153" s="650">
        <f t="shared" si="3"/>
        <v>0</v>
      </c>
      <c r="Z153" s="363"/>
      <c r="AA153" s="338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  <c r="BV153" s="52"/>
    </row>
    <row r="154" spans="1:74" ht="16.5" customHeight="1" x14ac:dyDescent="0.2">
      <c r="A154" s="25"/>
      <c r="B154" s="31">
        <v>9427</v>
      </c>
      <c r="C154" s="75" t="s">
        <v>129</v>
      </c>
      <c r="D154" s="655"/>
      <c r="E154" s="655"/>
      <c r="F154" s="655">
        <f>198</f>
        <v>198</v>
      </c>
      <c r="G154" s="655"/>
      <c r="H154" s="655"/>
      <c r="I154" s="655"/>
      <c r="J154" s="655"/>
      <c r="K154" s="655"/>
      <c r="L154" s="655">
        <f>119587+32290+772+209</f>
        <v>152858</v>
      </c>
      <c r="M154" s="655"/>
      <c r="N154" s="655"/>
      <c r="O154" s="655"/>
      <c r="P154" s="655"/>
      <c r="Q154" s="655"/>
      <c r="R154" s="655">
        <f t="shared" si="56"/>
        <v>153056</v>
      </c>
      <c r="S154" s="76"/>
      <c r="T154" s="76"/>
      <c r="U154" s="76"/>
      <c r="V154" s="76"/>
      <c r="W154" s="76"/>
      <c r="X154" s="452">
        <f t="shared" ref="X154" si="65">SUM(T154:W154)</f>
        <v>0</v>
      </c>
      <c r="Y154" s="650">
        <f t="shared" ref="Y154" si="66">R154+X154</f>
        <v>153056</v>
      </c>
      <c r="Z154" s="363"/>
      <c r="AA154" s="338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  <c r="BV154" s="52"/>
    </row>
    <row r="155" spans="1:74" ht="16.5" customHeight="1" x14ac:dyDescent="0.2">
      <c r="A155" s="25"/>
      <c r="B155" s="31">
        <v>9428</v>
      </c>
      <c r="C155" s="75" t="s">
        <v>129</v>
      </c>
      <c r="D155" s="657"/>
      <c r="E155" s="657"/>
      <c r="F155" s="657"/>
      <c r="G155" s="657"/>
      <c r="H155" s="657"/>
      <c r="I155" s="657"/>
      <c r="J155" s="657"/>
      <c r="K155" s="657"/>
      <c r="L155" s="657">
        <f>191800+51786</f>
        <v>243586</v>
      </c>
      <c r="M155" s="657"/>
      <c r="N155" s="657"/>
      <c r="O155" s="657"/>
      <c r="P155" s="657"/>
      <c r="Q155" s="657"/>
      <c r="R155" s="655">
        <f t="shared" si="56"/>
        <v>243586</v>
      </c>
      <c r="S155" s="657"/>
      <c r="T155" s="657"/>
      <c r="U155" s="657"/>
      <c r="V155" s="657"/>
      <c r="W155" s="657"/>
      <c r="X155" s="658">
        <f t="shared" ref="X155:X235" si="67">SUM(T155:W155)</f>
        <v>0</v>
      </c>
      <c r="Y155" s="650">
        <f t="shared" ref="Y155:Y157" si="68">R155+X155</f>
        <v>243586</v>
      </c>
      <c r="Z155" s="363"/>
      <c r="AA155" s="338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  <c r="BV155" s="52"/>
    </row>
    <row r="156" spans="1:74" ht="16.5" customHeight="1" x14ac:dyDescent="0.2">
      <c r="A156" s="25"/>
      <c r="B156" s="31">
        <v>9429</v>
      </c>
      <c r="C156" s="75" t="s">
        <v>129</v>
      </c>
      <c r="D156" s="657"/>
      <c r="E156" s="657"/>
      <c r="F156" s="657">
        <f>170649+4+1</f>
        <v>170654</v>
      </c>
      <c r="G156" s="657"/>
      <c r="H156" s="657"/>
      <c r="I156" s="657"/>
      <c r="J156" s="657"/>
      <c r="K156" s="657"/>
      <c r="L156" s="657">
        <f>314961+4510+333772</f>
        <v>653243</v>
      </c>
      <c r="M156" s="657"/>
      <c r="N156" s="657"/>
      <c r="O156" s="657"/>
      <c r="P156" s="657"/>
      <c r="Q156" s="657"/>
      <c r="R156" s="655">
        <f t="shared" si="56"/>
        <v>823897</v>
      </c>
      <c r="S156" s="657"/>
      <c r="T156" s="657"/>
      <c r="U156" s="657"/>
      <c r="V156" s="657"/>
      <c r="W156" s="657"/>
      <c r="X156" s="658">
        <f t="shared" si="67"/>
        <v>0</v>
      </c>
      <c r="Y156" s="650">
        <f t="shared" si="68"/>
        <v>823897</v>
      </c>
      <c r="Z156" s="363"/>
      <c r="AA156" s="338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  <c r="BV156" s="52"/>
    </row>
    <row r="157" spans="1:74" ht="16.5" customHeight="1" x14ac:dyDescent="0.2">
      <c r="A157" s="25"/>
      <c r="B157" s="31">
        <v>9430</v>
      </c>
      <c r="C157" s="75" t="s">
        <v>129</v>
      </c>
      <c r="D157" s="657"/>
      <c r="E157" s="657"/>
      <c r="F157" s="657"/>
      <c r="G157" s="657"/>
      <c r="H157" s="657"/>
      <c r="I157" s="657"/>
      <c r="J157" s="657"/>
      <c r="K157" s="657"/>
      <c r="L157" s="657">
        <f>96700+26109</f>
        <v>122809</v>
      </c>
      <c r="M157" s="657"/>
      <c r="N157" s="657"/>
      <c r="O157" s="657"/>
      <c r="P157" s="657"/>
      <c r="Q157" s="657"/>
      <c r="R157" s="655">
        <f t="shared" si="56"/>
        <v>122809</v>
      </c>
      <c r="S157" s="657"/>
      <c r="T157" s="657"/>
      <c r="U157" s="657"/>
      <c r="V157" s="657"/>
      <c r="W157" s="657"/>
      <c r="X157" s="658">
        <f t="shared" si="67"/>
        <v>0</v>
      </c>
      <c r="Y157" s="650">
        <f t="shared" si="68"/>
        <v>122809</v>
      </c>
      <c r="Z157" s="363"/>
      <c r="AA157" s="338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</row>
    <row r="158" spans="1:74" ht="17.25" customHeight="1" thickBot="1" x14ac:dyDescent="0.25">
      <c r="A158" s="136"/>
      <c r="B158" s="304"/>
      <c r="C158" s="131"/>
      <c r="D158" s="132"/>
      <c r="E158" s="132"/>
      <c r="F158" s="132"/>
      <c r="G158" s="132"/>
      <c r="H158" s="132"/>
      <c r="I158" s="133"/>
      <c r="J158" s="133"/>
      <c r="K158" s="133"/>
      <c r="L158" s="133"/>
      <c r="M158" s="133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453"/>
      <c r="Y158" s="351"/>
      <c r="Z158" s="364"/>
      <c r="AA158" s="339"/>
      <c r="AB158" s="117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</row>
    <row r="159" spans="1:74" s="78" customFormat="1" ht="30" customHeight="1" thickTop="1" thickBot="1" x14ac:dyDescent="0.25">
      <c r="A159" s="135"/>
      <c r="B159" s="130"/>
      <c r="C159" s="38" t="s">
        <v>178</v>
      </c>
      <c r="D159" s="51">
        <f t="shared" ref="D159:Q159" si="69">SUM(D114:D158)</f>
        <v>1038</v>
      </c>
      <c r="E159" s="51">
        <f t="shared" si="69"/>
        <v>203</v>
      </c>
      <c r="F159" s="51">
        <f t="shared" si="69"/>
        <v>567326.69400000002</v>
      </c>
      <c r="G159" s="51">
        <f t="shared" si="69"/>
        <v>20230</v>
      </c>
      <c r="H159" s="51">
        <f t="shared" si="69"/>
        <v>0</v>
      </c>
      <c r="I159" s="51">
        <f t="shared" si="69"/>
        <v>0</v>
      </c>
      <c r="J159" s="51">
        <f t="shared" si="69"/>
        <v>22264</v>
      </c>
      <c r="K159" s="51">
        <f t="shared" si="69"/>
        <v>1016521</v>
      </c>
      <c r="L159" s="51">
        <f t="shared" si="69"/>
        <v>2272215</v>
      </c>
      <c r="M159" s="51">
        <f t="shared" si="69"/>
        <v>27913</v>
      </c>
      <c r="N159" s="51">
        <f t="shared" si="69"/>
        <v>0</v>
      </c>
      <c r="O159" s="51">
        <f t="shared" si="69"/>
        <v>0</v>
      </c>
      <c r="P159" s="51">
        <f t="shared" si="69"/>
        <v>0</v>
      </c>
      <c r="Q159" s="51">
        <f t="shared" si="69"/>
        <v>280197</v>
      </c>
      <c r="R159" s="51">
        <f t="shared" ref="R159:R242" si="70">SUM(D159:Q159)</f>
        <v>4207907.6940000001</v>
      </c>
      <c r="S159" s="51"/>
      <c r="T159" s="51">
        <f>SUM(T114:T158)</f>
        <v>0</v>
      </c>
      <c r="U159" s="51">
        <f>SUM(U114:U158)</f>
        <v>0</v>
      </c>
      <c r="V159" s="51">
        <f>SUM(V114:V158)</f>
        <v>0</v>
      </c>
      <c r="W159" s="51">
        <f>SUM(W114:W158)</f>
        <v>0</v>
      </c>
      <c r="X159" s="454">
        <f t="shared" si="67"/>
        <v>0</v>
      </c>
      <c r="Y159" s="352">
        <f t="shared" ref="Y159:Y235" si="71">R159+X159</f>
        <v>4207907.6940000001</v>
      </c>
      <c r="Z159" s="365">
        <f>SUM(Z114:Z158)</f>
        <v>138849</v>
      </c>
      <c r="AA159" s="334">
        <f>SUM(Y159:Z159)</f>
        <v>4346756.6940000001</v>
      </c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  <c r="BV159" s="52"/>
    </row>
    <row r="160" spans="1:74" ht="35.1" customHeight="1" thickTop="1" thickBot="1" x14ac:dyDescent="0.35">
      <c r="A160" s="120"/>
      <c r="B160" s="587" t="s">
        <v>156</v>
      </c>
      <c r="C160" s="43" t="s">
        <v>180</v>
      </c>
      <c r="D160" s="83">
        <f t="shared" ref="D160:Q160" si="72">D113+D159</f>
        <v>156420</v>
      </c>
      <c r="E160" s="83">
        <f t="shared" si="72"/>
        <v>32345</v>
      </c>
      <c r="F160" s="114">
        <f t="shared" si="72"/>
        <v>5395172.7810000004</v>
      </c>
      <c r="G160" s="114">
        <f t="shared" si="72"/>
        <v>224581</v>
      </c>
      <c r="H160" s="114">
        <f t="shared" si="72"/>
        <v>308609</v>
      </c>
      <c r="I160" s="114">
        <f t="shared" si="72"/>
        <v>68671</v>
      </c>
      <c r="J160" s="83">
        <f t="shared" si="72"/>
        <v>996636</v>
      </c>
      <c r="K160" s="83">
        <f t="shared" si="72"/>
        <v>2633912</v>
      </c>
      <c r="L160" s="83">
        <f t="shared" si="72"/>
        <v>10187135</v>
      </c>
      <c r="M160" s="83">
        <f t="shared" si="72"/>
        <v>490047</v>
      </c>
      <c r="N160" s="83">
        <f t="shared" si="72"/>
        <v>100000</v>
      </c>
      <c r="O160" s="114">
        <f t="shared" si="72"/>
        <v>3000</v>
      </c>
      <c r="P160" s="83">
        <f t="shared" si="72"/>
        <v>0</v>
      </c>
      <c r="Q160" s="83">
        <f t="shared" si="72"/>
        <v>634136</v>
      </c>
      <c r="R160" s="83">
        <f t="shared" si="70"/>
        <v>21230664.780999999</v>
      </c>
      <c r="S160" s="83"/>
      <c r="T160" s="83">
        <f>T113+T159</f>
        <v>0</v>
      </c>
      <c r="U160" s="83">
        <f>U113+U159</f>
        <v>0</v>
      </c>
      <c r="V160" s="83">
        <f>V113+V159</f>
        <v>56742</v>
      </c>
      <c r="W160" s="83">
        <f>W113+W159</f>
        <v>0</v>
      </c>
      <c r="X160" s="84">
        <f t="shared" si="67"/>
        <v>56742</v>
      </c>
      <c r="Y160" s="84">
        <f t="shared" si="71"/>
        <v>21287406.780999999</v>
      </c>
      <c r="Z160" s="256">
        <f>Z113+Z159</f>
        <v>8879594.9979999997</v>
      </c>
      <c r="AA160" s="334"/>
      <c r="AB160" s="8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</row>
    <row r="161" spans="1:27" ht="24" hidden="1" customHeight="1" thickTop="1" thickBot="1" x14ac:dyDescent="0.3">
      <c r="A161" s="201"/>
      <c r="B161" s="202"/>
      <c r="C161" s="203" t="s">
        <v>18</v>
      </c>
      <c r="D161" s="306">
        <f t="shared" ref="D161:W161" si="73">D160</f>
        <v>156420</v>
      </c>
      <c r="E161" s="306">
        <f>E160</f>
        <v>32345</v>
      </c>
      <c r="F161" s="306">
        <f>F160</f>
        <v>5395172.7810000004</v>
      </c>
      <c r="G161" s="306">
        <f>G160</f>
        <v>224581</v>
      </c>
      <c r="H161" s="306">
        <f t="shared" si="73"/>
        <v>308609</v>
      </c>
      <c r="I161" s="306">
        <f t="shared" si="73"/>
        <v>68671</v>
      </c>
      <c r="J161" s="306">
        <f t="shared" si="73"/>
        <v>996636</v>
      </c>
      <c r="K161" s="306">
        <f>K160</f>
        <v>2633912</v>
      </c>
      <c r="L161" s="306">
        <f>L160</f>
        <v>10187135</v>
      </c>
      <c r="M161" s="306">
        <f t="shared" si="73"/>
        <v>490047</v>
      </c>
      <c r="N161" s="306">
        <f t="shared" si="73"/>
        <v>100000</v>
      </c>
      <c r="O161" s="306">
        <f t="shared" si="73"/>
        <v>3000</v>
      </c>
      <c r="P161" s="306">
        <f t="shared" si="73"/>
        <v>0</v>
      </c>
      <c r="Q161" s="306">
        <f t="shared" si="73"/>
        <v>634136</v>
      </c>
      <c r="R161" s="306">
        <f t="shared" si="70"/>
        <v>21230664.780999999</v>
      </c>
      <c r="S161" s="306"/>
      <c r="T161" s="306">
        <f t="shared" si="73"/>
        <v>0</v>
      </c>
      <c r="U161" s="306">
        <f>U160</f>
        <v>0</v>
      </c>
      <c r="V161" s="306">
        <f>V160</f>
        <v>56742</v>
      </c>
      <c r="W161" s="306">
        <f t="shared" si="73"/>
        <v>0</v>
      </c>
      <c r="X161" s="455">
        <f t="shared" si="67"/>
        <v>56742</v>
      </c>
      <c r="Y161" s="353">
        <f t="shared" si="71"/>
        <v>21287406.780999999</v>
      </c>
      <c r="Z161" s="366">
        <f>Z160</f>
        <v>8879594.9979999997</v>
      </c>
      <c r="AA161" s="340"/>
    </row>
    <row r="162" spans="1:27" ht="24" hidden="1" customHeight="1" x14ac:dyDescent="0.2">
      <c r="A162" s="79">
        <v>1</v>
      </c>
      <c r="B162" s="482"/>
      <c r="C162" s="27"/>
      <c r="D162" s="147"/>
      <c r="E162" s="147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>
        <f>SUM(D162:Q162)</f>
        <v>0</v>
      </c>
      <c r="S162" s="142"/>
      <c r="T162" s="142"/>
      <c r="U162" s="142"/>
      <c r="W162" s="142"/>
      <c r="X162" s="148">
        <f>SUM(T162:W162)</f>
        <v>0</v>
      </c>
      <c r="Y162" s="226">
        <f>R162+X162</f>
        <v>0</v>
      </c>
      <c r="Z162" s="142"/>
      <c r="AA162" s="341"/>
    </row>
    <row r="163" spans="1:27" ht="24" hidden="1" customHeight="1" x14ac:dyDescent="0.2">
      <c r="A163" s="79">
        <v>2</v>
      </c>
      <c r="B163" s="482"/>
      <c r="C163" s="27"/>
      <c r="D163" s="147"/>
      <c r="E163" s="147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>
        <f>SUM(D163:Q163)</f>
        <v>0</v>
      </c>
      <c r="S163" s="142"/>
      <c r="T163" s="147"/>
      <c r="U163" s="147"/>
      <c r="W163" s="142"/>
      <c r="X163" s="148">
        <f>SUM(T163:W163)</f>
        <v>0</v>
      </c>
      <c r="Y163" s="226">
        <f>R163+X163</f>
        <v>0</v>
      </c>
      <c r="Z163" s="147"/>
      <c r="AA163" s="341"/>
    </row>
    <row r="164" spans="1:27" ht="24" hidden="1" customHeight="1" x14ac:dyDescent="0.2">
      <c r="A164" s="79">
        <v>3</v>
      </c>
      <c r="B164" s="482"/>
      <c r="C164" s="27"/>
      <c r="D164" s="147"/>
      <c r="E164" s="147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>
        <f>SUM(D164:Q164)</f>
        <v>0</v>
      </c>
      <c r="S164" s="142"/>
      <c r="T164" s="147"/>
      <c r="U164" s="147"/>
      <c r="W164" s="142"/>
      <c r="X164" s="148">
        <f>SUM(T164:W164)</f>
        <v>0</v>
      </c>
      <c r="Y164" s="226">
        <f>R164+X164</f>
        <v>0</v>
      </c>
      <c r="Z164" s="147"/>
      <c r="AA164" s="341"/>
    </row>
    <row r="165" spans="1:27" ht="24" hidden="1" customHeight="1" x14ac:dyDescent="0.2">
      <c r="A165" s="79">
        <v>4</v>
      </c>
      <c r="B165" s="482"/>
      <c r="C165" s="27"/>
      <c r="D165" s="147"/>
      <c r="E165" s="147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>
        <f>SUM(D165:Q165)</f>
        <v>0</v>
      </c>
      <c r="S165" s="142"/>
      <c r="T165" s="147"/>
      <c r="U165" s="147"/>
      <c r="W165" s="142"/>
      <c r="X165" s="148">
        <f>SUM(T165:W165)</f>
        <v>0</v>
      </c>
      <c r="Y165" s="226">
        <f>R165+X165</f>
        <v>0</v>
      </c>
      <c r="Z165" s="147"/>
      <c r="AA165" s="341"/>
    </row>
    <row r="166" spans="1:27" ht="24" hidden="1" customHeight="1" x14ac:dyDescent="0.2">
      <c r="A166" s="79">
        <v>5</v>
      </c>
      <c r="B166" s="482"/>
      <c r="C166" s="27"/>
      <c r="D166" s="147"/>
      <c r="E166" s="147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>
        <f t="shared" si="70"/>
        <v>0</v>
      </c>
      <c r="S166" s="142"/>
      <c r="T166" s="147"/>
      <c r="U166" s="147"/>
      <c r="W166" s="142"/>
      <c r="X166" s="148">
        <f t="shared" si="67"/>
        <v>0</v>
      </c>
      <c r="Y166" s="226">
        <f t="shared" si="71"/>
        <v>0</v>
      </c>
      <c r="Z166" s="147"/>
      <c r="AA166" s="341"/>
    </row>
    <row r="167" spans="1:27" ht="24" hidden="1" customHeight="1" x14ac:dyDescent="0.2">
      <c r="A167" s="79">
        <v>6</v>
      </c>
      <c r="B167" s="483"/>
      <c r="C167" s="27"/>
      <c r="D167" s="147"/>
      <c r="E167" s="147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>
        <f t="shared" si="70"/>
        <v>0</v>
      </c>
      <c r="S167" s="142"/>
      <c r="T167" s="147"/>
      <c r="U167" s="147"/>
      <c r="W167" s="142"/>
      <c r="X167" s="148">
        <f t="shared" si="67"/>
        <v>0</v>
      </c>
      <c r="Y167" s="226">
        <f t="shared" si="71"/>
        <v>0</v>
      </c>
      <c r="Z167" s="147"/>
      <c r="AA167" s="341"/>
    </row>
    <row r="168" spans="1:27" ht="24" hidden="1" customHeight="1" x14ac:dyDescent="0.2">
      <c r="A168" s="79">
        <v>7</v>
      </c>
      <c r="B168" s="483"/>
      <c r="C168" s="40"/>
      <c r="D168" s="147"/>
      <c r="E168" s="147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>
        <f t="shared" si="70"/>
        <v>0</v>
      </c>
      <c r="S168" s="142"/>
      <c r="T168" s="147"/>
      <c r="U168" s="147"/>
      <c r="W168" s="142"/>
      <c r="X168" s="148">
        <f t="shared" si="67"/>
        <v>0</v>
      </c>
      <c r="Y168" s="226">
        <f t="shared" si="71"/>
        <v>0</v>
      </c>
      <c r="Z168" s="147"/>
      <c r="AA168" s="341"/>
    </row>
    <row r="169" spans="1:27" ht="24" hidden="1" customHeight="1" x14ac:dyDescent="0.2">
      <c r="A169" s="79">
        <v>8</v>
      </c>
      <c r="B169" s="483"/>
      <c r="C169" s="40"/>
      <c r="D169" s="147"/>
      <c r="E169" s="147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>
        <f t="shared" si="70"/>
        <v>0</v>
      </c>
      <c r="S169" s="142"/>
      <c r="T169" s="147"/>
      <c r="U169" s="147"/>
      <c r="W169" s="142"/>
      <c r="X169" s="148">
        <f t="shared" si="67"/>
        <v>0</v>
      </c>
      <c r="Y169" s="226">
        <f t="shared" si="71"/>
        <v>0</v>
      </c>
      <c r="Z169" s="147"/>
      <c r="AA169" s="341"/>
    </row>
    <row r="170" spans="1:27" ht="24" hidden="1" customHeight="1" x14ac:dyDescent="0.2">
      <c r="A170" s="79">
        <v>9</v>
      </c>
      <c r="B170" s="483"/>
      <c r="C170" s="40"/>
      <c r="D170" s="147"/>
      <c r="E170" s="147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>
        <f t="shared" si="70"/>
        <v>0</v>
      </c>
      <c r="S170" s="142"/>
      <c r="T170" s="147"/>
      <c r="U170" s="147"/>
      <c r="W170" s="142"/>
      <c r="X170" s="148">
        <f t="shared" si="67"/>
        <v>0</v>
      </c>
      <c r="Y170" s="226">
        <f t="shared" si="71"/>
        <v>0</v>
      </c>
      <c r="Z170" s="147"/>
      <c r="AA170" s="341"/>
    </row>
    <row r="171" spans="1:27" ht="24" hidden="1" customHeight="1" x14ac:dyDescent="0.2">
      <c r="A171" s="79">
        <v>10</v>
      </c>
      <c r="B171" s="483"/>
      <c r="C171" s="40"/>
      <c r="D171" s="147"/>
      <c r="E171" s="147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>
        <f t="shared" si="70"/>
        <v>0</v>
      </c>
      <c r="S171" s="142"/>
      <c r="T171" s="147"/>
      <c r="U171" s="147"/>
      <c r="W171" s="142"/>
      <c r="X171" s="148">
        <f t="shared" si="67"/>
        <v>0</v>
      </c>
      <c r="Y171" s="226">
        <f t="shared" si="71"/>
        <v>0</v>
      </c>
      <c r="Z171" s="147"/>
      <c r="AA171" s="341"/>
    </row>
    <row r="172" spans="1:27" ht="24" hidden="1" customHeight="1" x14ac:dyDescent="0.2">
      <c r="A172" s="79">
        <v>11</v>
      </c>
      <c r="B172" s="483"/>
      <c r="C172" s="40"/>
      <c r="D172" s="147"/>
      <c r="E172" s="147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>
        <f t="shared" si="70"/>
        <v>0</v>
      </c>
      <c r="S172" s="142"/>
      <c r="T172" s="147"/>
      <c r="U172" s="147"/>
      <c r="W172" s="142"/>
      <c r="X172" s="148">
        <f t="shared" si="67"/>
        <v>0</v>
      </c>
      <c r="Y172" s="226">
        <f t="shared" si="71"/>
        <v>0</v>
      </c>
      <c r="Z172" s="147"/>
      <c r="AA172" s="341"/>
    </row>
    <row r="173" spans="1:27" ht="24" hidden="1" customHeight="1" x14ac:dyDescent="0.2">
      <c r="A173" s="79">
        <v>12</v>
      </c>
      <c r="B173" s="483"/>
      <c r="C173" s="40"/>
      <c r="D173" s="147"/>
      <c r="E173" s="147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>
        <f t="shared" si="70"/>
        <v>0</v>
      </c>
      <c r="S173" s="142"/>
      <c r="T173" s="147"/>
      <c r="U173" s="147"/>
      <c r="W173" s="142"/>
      <c r="X173" s="148">
        <f t="shared" si="67"/>
        <v>0</v>
      </c>
      <c r="Y173" s="226">
        <f t="shared" si="71"/>
        <v>0</v>
      </c>
      <c r="Z173" s="147"/>
      <c r="AA173" s="341"/>
    </row>
    <row r="174" spans="1:27" ht="24" hidden="1" customHeight="1" x14ac:dyDescent="0.2">
      <c r="A174" s="79">
        <v>13</v>
      </c>
      <c r="B174" s="483"/>
      <c r="C174" s="40"/>
      <c r="D174" s="147"/>
      <c r="E174" s="147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>
        <f t="shared" si="70"/>
        <v>0</v>
      </c>
      <c r="S174" s="142"/>
      <c r="T174" s="147"/>
      <c r="U174" s="147"/>
      <c r="W174" s="142"/>
      <c r="X174" s="148">
        <f t="shared" si="67"/>
        <v>0</v>
      </c>
      <c r="Y174" s="226">
        <f t="shared" si="71"/>
        <v>0</v>
      </c>
      <c r="Z174" s="147"/>
      <c r="AA174" s="341"/>
    </row>
    <row r="175" spans="1:27" ht="24" hidden="1" customHeight="1" x14ac:dyDescent="0.2">
      <c r="A175" s="79">
        <v>14</v>
      </c>
      <c r="B175" s="483"/>
      <c r="C175" s="40"/>
      <c r="D175" s="147"/>
      <c r="E175" s="147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>
        <f t="shared" si="70"/>
        <v>0</v>
      </c>
      <c r="S175" s="142"/>
      <c r="T175" s="147"/>
      <c r="U175" s="147"/>
      <c r="W175" s="142"/>
      <c r="X175" s="148">
        <f t="shared" si="67"/>
        <v>0</v>
      </c>
      <c r="Y175" s="226">
        <f t="shared" si="71"/>
        <v>0</v>
      </c>
      <c r="Z175" s="147"/>
      <c r="AA175" s="341"/>
    </row>
    <row r="176" spans="1:27" ht="24" hidden="1" customHeight="1" x14ac:dyDescent="0.2">
      <c r="A176" s="79">
        <v>15</v>
      </c>
      <c r="B176" s="483"/>
      <c r="C176" s="40"/>
      <c r="D176" s="147"/>
      <c r="E176" s="147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>
        <f t="shared" si="70"/>
        <v>0</v>
      </c>
      <c r="S176" s="142"/>
      <c r="T176" s="147"/>
      <c r="U176" s="147"/>
      <c r="W176" s="142"/>
      <c r="X176" s="148">
        <f t="shared" si="67"/>
        <v>0</v>
      </c>
      <c r="Y176" s="226">
        <f t="shared" si="71"/>
        <v>0</v>
      </c>
      <c r="Z176" s="147"/>
      <c r="AA176" s="341"/>
    </row>
    <row r="177" spans="1:27" ht="24" hidden="1" customHeight="1" x14ac:dyDescent="0.2">
      <c r="A177" s="79">
        <v>16</v>
      </c>
      <c r="B177" s="483"/>
      <c r="C177" s="40"/>
      <c r="D177" s="147"/>
      <c r="E177" s="147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>
        <f t="shared" si="70"/>
        <v>0</v>
      </c>
      <c r="S177" s="142"/>
      <c r="T177" s="147"/>
      <c r="U177" s="147"/>
      <c r="W177" s="142"/>
      <c r="X177" s="148">
        <f t="shared" si="67"/>
        <v>0</v>
      </c>
      <c r="Y177" s="226">
        <f t="shared" si="71"/>
        <v>0</v>
      </c>
      <c r="Z177" s="147"/>
      <c r="AA177" s="341"/>
    </row>
    <row r="178" spans="1:27" ht="24" hidden="1" customHeight="1" x14ac:dyDescent="0.2">
      <c r="A178" s="79">
        <v>17</v>
      </c>
      <c r="B178" s="483"/>
      <c r="C178" s="40"/>
      <c r="D178" s="147"/>
      <c r="E178" s="147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>
        <f t="shared" si="70"/>
        <v>0</v>
      </c>
      <c r="S178" s="142"/>
      <c r="T178" s="147"/>
      <c r="U178" s="147"/>
      <c r="W178" s="142"/>
      <c r="X178" s="148">
        <f t="shared" si="67"/>
        <v>0</v>
      </c>
      <c r="Y178" s="226">
        <f t="shared" si="71"/>
        <v>0</v>
      </c>
      <c r="Z178" s="147"/>
      <c r="AA178" s="341"/>
    </row>
    <row r="179" spans="1:27" ht="24" hidden="1" customHeight="1" x14ac:dyDescent="0.2">
      <c r="A179" s="79">
        <v>18</v>
      </c>
      <c r="B179" s="481"/>
      <c r="C179" s="27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>
        <f t="shared" si="70"/>
        <v>0</v>
      </c>
      <c r="S179" s="142"/>
      <c r="T179" s="142"/>
      <c r="U179" s="142"/>
      <c r="W179" s="142"/>
      <c r="X179" s="148">
        <f t="shared" si="67"/>
        <v>0</v>
      </c>
      <c r="Y179" s="226">
        <f t="shared" si="71"/>
        <v>0</v>
      </c>
      <c r="Z179" s="142"/>
      <c r="AA179" s="341"/>
    </row>
    <row r="180" spans="1:27" ht="24" hidden="1" customHeight="1" x14ac:dyDescent="0.2">
      <c r="A180" s="79">
        <v>19</v>
      </c>
      <c r="B180" s="481"/>
      <c r="C180" s="27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>
        <f t="shared" si="70"/>
        <v>0</v>
      </c>
      <c r="S180" s="142"/>
      <c r="T180" s="142"/>
      <c r="U180" s="142"/>
      <c r="W180" s="142"/>
      <c r="X180" s="148">
        <f t="shared" si="67"/>
        <v>0</v>
      </c>
      <c r="Y180" s="226">
        <f t="shared" si="71"/>
        <v>0</v>
      </c>
      <c r="Z180" s="142"/>
      <c r="AA180" s="341"/>
    </row>
    <row r="181" spans="1:27" ht="24" hidden="1" customHeight="1" x14ac:dyDescent="0.2">
      <c r="A181" s="79">
        <v>20</v>
      </c>
      <c r="B181" s="481"/>
      <c r="C181" s="27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>
        <f t="shared" si="70"/>
        <v>0</v>
      </c>
      <c r="S181" s="142"/>
      <c r="T181" s="147"/>
      <c r="U181" s="147"/>
      <c r="W181" s="142"/>
      <c r="X181" s="148">
        <f t="shared" si="67"/>
        <v>0</v>
      </c>
      <c r="Y181" s="226">
        <f t="shared" si="71"/>
        <v>0</v>
      </c>
      <c r="Z181" s="147"/>
      <c r="AA181" s="341"/>
    </row>
    <row r="182" spans="1:27" ht="24" hidden="1" customHeight="1" x14ac:dyDescent="0.2">
      <c r="A182" s="79">
        <v>21</v>
      </c>
      <c r="B182" s="481"/>
      <c r="C182" s="27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>
        <f t="shared" si="70"/>
        <v>0</v>
      </c>
      <c r="S182" s="142"/>
      <c r="T182" s="147"/>
      <c r="U182" s="147"/>
      <c r="W182" s="142"/>
      <c r="X182" s="148">
        <f>SUM(T182:W182)</f>
        <v>0</v>
      </c>
      <c r="Y182" s="226">
        <f>R182+X182</f>
        <v>0</v>
      </c>
      <c r="Z182" s="147"/>
      <c r="AA182" s="341"/>
    </row>
    <row r="183" spans="1:27" ht="24" hidden="1" customHeight="1" x14ac:dyDescent="0.2">
      <c r="A183" s="79">
        <v>22</v>
      </c>
      <c r="B183" s="481"/>
      <c r="C183" s="27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>
        <f t="shared" si="70"/>
        <v>0</v>
      </c>
      <c r="S183" s="142"/>
      <c r="T183" s="147"/>
      <c r="U183" s="147"/>
      <c r="W183" s="142"/>
      <c r="X183" s="148">
        <f t="shared" si="67"/>
        <v>0</v>
      </c>
      <c r="Y183" s="226">
        <f t="shared" si="71"/>
        <v>0</v>
      </c>
      <c r="Z183" s="147"/>
      <c r="AA183" s="341"/>
    </row>
    <row r="184" spans="1:27" ht="24" hidden="1" customHeight="1" x14ac:dyDescent="0.2">
      <c r="A184" s="79">
        <v>23</v>
      </c>
      <c r="B184" s="481"/>
      <c r="C184" s="27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>
        <f t="shared" si="70"/>
        <v>0</v>
      </c>
      <c r="S184" s="142"/>
      <c r="T184" s="147"/>
      <c r="U184" s="147"/>
      <c r="W184" s="142"/>
      <c r="X184" s="148">
        <f t="shared" si="67"/>
        <v>0</v>
      </c>
      <c r="Y184" s="226">
        <f t="shared" si="71"/>
        <v>0</v>
      </c>
      <c r="Z184" s="147"/>
      <c r="AA184" s="341"/>
    </row>
    <row r="185" spans="1:27" ht="24" hidden="1" customHeight="1" x14ac:dyDescent="0.2">
      <c r="A185" s="79">
        <v>24</v>
      </c>
      <c r="B185" s="481"/>
      <c r="C185" s="27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>
        <f t="shared" si="70"/>
        <v>0</v>
      </c>
      <c r="S185" s="142"/>
      <c r="T185" s="142"/>
      <c r="U185" s="142"/>
      <c r="W185" s="142"/>
      <c r="X185" s="148">
        <f t="shared" si="67"/>
        <v>0</v>
      </c>
      <c r="Y185" s="226">
        <f t="shared" si="71"/>
        <v>0</v>
      </c>
      <c r="Z185" s="142"/>
      <c r="AA185" s="341"/>
    </row>
    <row r="186" spans="1:27" ht="24" hidden="1" customHeight="1" x14ac:dyDescent="0.2">
      <c r="A186" s="79">
        <v>25</v>
      </c>
      <c r="B186" s="481"/>
      <c r="C186" s="27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>
        <f t="shared" si="70"/>
        <v>0</v>
      </c>
      <c r="S186" s="142"/>
      <c r="T186" s="142"/>
      <c r="U186" s="142"/>
      <c r="W186" s="142"/>
      <c r="X186" s="148">
        <f t="shared" si="67"/>
        <v>0</v>
      </c>
      <c r="Y186" s="226">
        <f t="shared" si="71"/>
        <v>0</v>
      </c>
      <c r="Z186" s="142"/>
      <c r="AA186" s="341"/>
    </row>
    <row r="187" spans="1:27" ht="24" hidden="1" customHeight="1" x14ac:dyDescent="0.2">
      <c r="A187" s="79">
        <v>26</v>
      </c>
      <c r="B187" s="481"/>
      <c r="C187" s="27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>
        <f t="shared" si="70"/>
        <v>0</v>
      </c>
      <c r="S187" s="142"/>
      <c r="T187" s="142"/>
      <c r="U187" s="142"/>
      <c r="W187" s="142"/>
      <c r="X187" s="148">
        <f t="shared" si="67"/>
        <v>0</v>
      </c>
      <c r="Y187" s="226">
        <f t="shared" si="71"/>
        <v>0</v>
      </c>
      <c r="Z187" s="142"/>
      <c r="AA187" s="341"/>
    </row>
    <row r="188" spans="1:27" ht="24" hidden="1" customHeight="1" x14ac:dyDescent="0.2">
      <c r="A188" s="79">
        <v>27</v>
      </c>
      <c r="B188" s="481"/>
      <c r="C188" s="27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>
        <f t="shared" si="70"/>
        <v>0</v>
      </c>
      <c r="S188" s="142"/>
      <c r="T188" s="142"/>
      <c r="U188" s="142"/>
      <c r="W188" s="142"/>
      <c r="X188" s="148">
        <f t="shared" si="67"/>
        <v>0</v>
      </c>
      <c r="Y188" s="226">
        <f t="shared" si="71"/>
        <v>0</v>
      </c>
      <c r="Z188" s="142"/>
      <c r="AA188" s="341"/>
    </row>
    <row r="189" spans="1:27" ht="24" hidden="1" customHeight="1" x14ac:dyDescent="0.2">
      <c r="A189" s="79">
        <v>28</v>
      </c>
      <c r="B189" s="481"/>
      <c r="C189" s="27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>
        <f t="shared" si="70"/>
        <v>0</v>
      </c>
      <c r="S189" s="142"/>
      <c r="T189" s="142"/>
      <c r="U189" s="142"/>
      <c r="W189" s="142"/>
      <c r="X189" s="148">
        <f t="shared" si="67"/>
        <v>0</v>
      </c>
      <c r="Y189" s="226">
        <f t="shared" si="71"/>
        <v>0</v>
      </c>
      <c r="Z189" s="142"/>
      <c r="AA189" s="341"/>
    </row>
    <row r="190" spans="1:27" ht="24" hidden="1" customHeight="1" x14ac:dyDescent="0.2">
      <c r="A190" s="79">
        <v>29</v>
      </c>
      <c r="B190" s="481"/>
      <c r="C190" s="27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>
        <f t="shared" si="70"/>
        <v>0</v>
      </c>
      <c r="S190" s="142"/>
      <c r="T190" s="142"/>
      <c r="U190" s="142"/>
      <c r="W190" s="142"/>
      <c r="X190" s="148">
        <f t="shared" si="67"/>
        <v>0</v>
      </c>
      <c r="Y190" s="226">
        <f t="shared" si="71"/>
        <v>0</v>
      </c>
      <c r="Z190" s="142"/>
      <c r="AA190" s="341"/>
    </row>
    <row r="191" spans="1:27" ht="24" hidden="1" customHeight="1" x14ac:dyDescent="0.2">
      <c r="A191" s="79">
        <v>30</v>
      </c>
      <c r="B191" s="481"/>
      <c r="C191" s="27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>
        <f t="shared" si="70"/>
        <v>0</v>
      </c>
      <c r="S191" s="142"/>
      <c r="T191" s="142"/>
      <c r="U191" s="142"/>
      <c r="W191" s="142"/>
      <c r="X191" s="148">
        <f t="shared" si="67"/>
        <v>0</v>
      </c>
      <c r="Y191" s="226">
        <f t="shared" si="71"/>
        <v>0</v>
      </c>
      <c r="Z191" s="142"/>
      <c r="AA191" s="341"/>
    </row>
    <row r="192" spans="1:27" ht="24" hidden="1" customHeight="1" x14ac:dyDescent="0.2">
      <c r="A192" s="79">
        <v>31</v>
      </c>
      <c r="B192" s="481"/>
      <c r="C192" s="40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>
        <f t="shared" si="70"/>
        <v>0</v>
      </c>
      <c r="S192" s="142"/>
      <c r="T192" s="142"/>
      <c r="U192" s="142"/>
      <c r="W192" s="142"/>
      <c r="X192" s="148">
        <f t="shared" si="67"/>
        <v>0</v>
      </c>
      <c r="Y192" s="226">
        <f t="shared" si="71"/>
        <v>0</v>
      </c>
      <c r="Z192" s="142"/>
      <c r="AA192" s="341"/>
    </row>
    <row r="193" spans="1:27" ht="24" hidden="1" customHeight="1" x14ac:dyDescent="0.2">
      <c r="A193" s="79">
        <v>32</v>
      </c>
      <c r="B193" s="481"/>
      <c r="C193" s="27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>
        <f t="shared" si="70"/>
        <v>0</v>
      </c>
      <c r="S193" s="142"/>
      <c r="T193" s="142"/>
      <c r="U193" s="142"/>
      <c r="W193" s="142"/>
      <c r="X193" s="148">
        <f t="shared" si="67"/>
        <v>0</v>
      </c>
      <c r="Y193" s="226">
        <f t="shared" si="71"/>
        <v>0</v>
      </c>
      <c r="Z193" s="142"/>
      <c r="AA193" s="341"/>
    </row>
    <row r="194" spans="1:27" ht="24" hidden="1" customHeight="1" x14ac:dyDescent="0.2">
      <c r="A194" s="79">
        <v>33</v>
      </c>
      <c r="B194" s="481"/>
      <c r="C194" s="27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>
        <f t="shared" si="70"/>
        <v>0</v>
      </c>
      <c r="S194" s="142"/>
      <c r="T194" s="142"/>
      <c r="U194" s="142"/>
      <c r="W194" s="142"/>
      <c r="X194" s="148">
        <f t="shared" si="67"/>
        <v>0</v>
      </c>
      <c r="Y194" s="226">
        <f t="shared" si="71"/>
        <v>0</v>
      </c>
      <c r="Z194" s="142"/>
      <c r="AA194" s="341"/>
    </row>
    <row r="195" spans="1:27" ht="24" hidden="1" customHeight="1" x14ac:dyDescent="0.2">
      <c r="A195" s="79">
        <v>34</v>
      </c>
      <c r="B195" s="481"/>
      <c r="C195" s="27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>
        <f t="shared" si="70"/>
        <v>0</v>
      </c>
      <c r="S195" s="142"/>
      <c r="T195" s="147"/>
      <c r="U195" s="147"/>
      <c r="W195" s="142"/>
      <c r="X195" s="148">
        <f t="shared" si="67"/>
        <v>0</v>
      </c>
      <c r="Y195" s="226">
        <f t="shared" si="71"/>
        <v>0</v>
      </c>
      <c r="Z195" s="147"/>
      <c r="AA195" s="341"/>
    </row>
    <row r="196" spans="1:27" ht="24" hidden="1" customHeight="1" x14ac:dyDescent="0.2">
      <c r="A196" s="79">
        <v>35</v>
      </c>
      <c r="B196" s="481"/>
      <c r="C196" s="40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>
        <f t="shared" si="70"/>
        <v>0</v>
      </c>
      <c r="S196" s="142"/>
      <c r="T196" s="142"/>
      <c r="U196" s="142"/>
      <c r="V196" s="142"/>
      <c r="W196" s="142"/>
      <c r="X196" s="148">
        <f t="shared" si="67"/>
        <v>0</v>
      </c>
      <c r="Y196" s="226">
        <f t="shared" si="71"/>
        <v>0</v>
      </c>
      <c r="Z196" s="316"/>
      <c r="AA196" s="341"/>
    </row>
    <row r="197" spans="1:27" ht="24" hidden="1" customHeight="1" x14ac:dyDescent="0.2">
      <c r="A197" s="79">
        <v>36</v>
      </c>
      <c r="B197" s="481"/>
      <c r="C197" s="27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>
        <f t="shared" si="70"/>
        <v>0</v>
      </c>
      <c r="S197" s="142"/>
      <c r="T197" s="142"/>
      <c r="U197" s="142"/>
      <c r="V197" s="142"/>
      <c r="W197" s="142"/>
      <c r="X197" s="148">
        <f t="shared" si="67"/>
        <v>0</v>
      </c>
      <c r="Y197" s="226">
        <f t="shared" si="71"/>
        <v>0</v>
      </c>
      <c r="Z197" s="316"/>
      <c r="AA197" s="341"/>
    </row>
    <row r="198" spans="1:27" ht="24" hidden="1" customHeight="1" x14ac:dyDescent="0.2">
      <c r="A198" s="79">
        <v>37</v>
      </c>
      <c r="B198" s="481"/>
      <c r="C198" s="27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>
        <f t="shared" si="70"/>
        <v>0</v>
      </c>
      <c r="S198" s="142"/>
      <c r="T198" s="142"/>
      <c r="U198" s="142"/>
      <c r="V198" s="142"/>
      <c r="W198" s="142"/>
      <c r="X198" s="148">
        <f t="shared" si="67"/>
        <v>0</v>
      </c>
      <c r="Y198" s="226">
        <f t="shared" si="71"/>
        <v>0</v>
      </c>
      <c r="Z198" s="316"/>
      <c r="AA198" s="341"/>
    </row>
    <row r="199" spans="1:27" ht="24" hidden="1" customHeight="1" x14ac:dyDescent="0.2">
      <c r="A199" s="79"/>
      <c r="B199" s="472"/>
      <c r="C199" s="27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>
        <f t="shared" si="70"/>
        <v>0</v>
      </c>
      <c r="S199" s="142"/>
      <c r="T199" s="142"/>
      <c r="U199" s="142"/>
      <c r="V199" s="142"/>
      <c r="W199" s="142"/>
      <c r="X199" s="148">
        <f t="shared" si="67"/>
        <v>0</v>
      </c>
      <c r="Y199" s="480">
        <f t="shared" si="71"/>
        <v>0</v>
      </c>
      <c r="Z199" s="316"/>
      <c r="AA199" s="341"/>
    </row>
    <row r="200" spans="1:27" ht="24" hidden="1" customHeight="1" x14ac:dyDescent="0.2">
      <c r="A200" s="79"/>
      <c r="B200" s="472"/>
      <c r="C200" s="40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>
        <f t="shared" si="70"/>
        <v>0</v>
      </c>
      <c r="S200" s="142"/>
      <c r="T200" s="142"/>
      <c r="U200" s="142"/>
      <c r="V200" s="142"/>
      <c r="W200" s="142"/>
      <c r="X200" s="148">
        <f t="shared" si="67"/>
        <v>0</v>
      </c>
      <c r="Y200" s="226">
        <f t="shared" si="71"/>
        <v>0</v>
      </c>
      <c r="Z200" s="316"/>
      <c r="AA200" s="341"/>
    </row>
    <row r="201" spans="1:27" ht="24" hidden="1" customHeight="1" x14ac:dyDescent="0.2">
      <c r="A201" s="79"/>
      <c r="B201" s="473"/>
      <c r="C201" s="27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>
        <f t="shared" si="70"/>
        <v>0</v>
      </c>
      <c r="S201" s="142"/>
      <c r="T201" s="142"/>
      <c r="U201" s="142"/>
      <c r="V201" s="142"/>
      <c r="W201" s="142"/>
      <c r="X201" s="148">
        <f t="shared" si="67"/>
        <v>0</v>
      </c>
      <c r="Y201" s="226">
        <f t="shared" si="71"/>
        <v>0</v>
      </c>
      <c r="Z201" s="316"/>
      <c r="AA201" s="341"/>
    </row>
    <row r="202" spans="1:27" ht="24" hidden="1" customHeight="1" x14ac:dyDescent="0.2">
      <c r="A202" s="79"/>
      <c r="B202" s="473"/>
      <c r="C202" s="3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>
        <f t="shared" si="70"/>
        <v>0</v>
      </c>
      <c r="S202" s="142"/>
      <c r="T202" s="142"/>
      <c r="U202" s="142"/>
      <c r="V202" s="142"/>
      <c r="W202" s="142"/>
      <c r="X202" s="148">
        <f t="shared" si="67"/>
        <v>0</v>
      </c>
      <c r="Y202" s="226">
        <f t="shared" si="71"/>
        <v>0</v>
      </c>
      <c r="Z202" s="316"/>
      <c r="AA202" s="341"/>
    </row>
    <row r="203" spans="1:27" ht="24" hidden="1" customHeight="1" x14ac:dyDescent="0.2">
      <c r="A203" s="79"/>
      <c r="B203" s="473"/>
      <c r="C203" s="40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>
        <f t="shared" si="70"/>
        <v>0</v>
      </c>
      <c r="S203" s="142"/>
      <c r="T203" s="142"/>
      <c r="U203" s="142"/>
      <c r="V203" s="142"/>
      <c r="W203" s="142"/>
      <c r="X203" s="148">
        <f t="shared" si="67"/>
        <v>0</v>
      </c>
      <c r="Y203" s="226">
        <f t="shared" si="71"/>
        <v>0</v>
      </c>
      <c r="Z203" s="316"/>
      <c r="AA203" s="341"/>
    </row>
    <row r="204" spans="1:27" ht="24" hidden="1" customHeight="1" x14ac:dyDescent="0.2">
      <c r="A204" s="79"/>
      <c r="B204" s="472"/>
      <c r="C204" s="40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>
        <f t="shared" si="70"/>
        <v>0</v>
      </c>
      <c r="S204" s="142"/>
      <c r="T204" s="142"/>
      <c r="U204" s="142"/>
      <c r="V204" s="142"/>
      <c r="W204" s="142"/>
      <c r="X204" s="148">
        <f t="shared" si="67"/>
        <v>0</v>
      </c>
      <c r="Y204" s="226">
        <f t="shared" si="71"/>
        <v>0</v>
      </c>
      <c r="Z204" s="316"/>
      <c r="AA204" s="341"/>
    </row>
    <row r="205" spans="1:27" ht="24" hidden="1" customHeight="1" x14ac:dyDescent="0.2">
      <c r="A205" s="79"/>
      <c r="B205" s="472"/>
      <c r="C205" s="27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>
        <f t="shared" si="70"/>
        <v>0</v>
      </c>
      <c r="S205" s="142"/>
      <c r="T205" s="142"/>
      <c r="U205" s="142"/>
      <c r="V205" s="142"/>
      <c r="W205" s="142"/>
      <c r="X205" s="148">
        <f t="shared" si="67"/>
        <v>0</v>
      </c>
      <c r="Y205" s="226">
        <f t="shared" si="71"/>
        <v>0</v>
      </c>
      <c r="Z205" s="316"/>
      <c r="AA205" s="341"/>
    </row>
    <row r="206" spans="1:27" ht="24" hidden="1" customHeight="1" x14ac:dyDescent="0.2">
      <c r="A206" s="79"/>
      <c r="B206" s="472"/>
      <c r="C206" s="27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>
        <f t="shared" si="70"/>
        <v>0</v>
      </c>
      <c r="S206" s="142"/>
      <c r="T206" s="147"/>
      <c r="U206" s="147"/>
      <c r="V206" s="147"/>
      <c r="W206" s="142"/>
      <c r="X206" s="148">
        <f t="shared" si="67"/>
        <v>0</v>
      </c>
      <c r="Y206" s="226">
        <f t="shared" si="71"/>
        <v>0</v>
      </c>
      <c r="Z206" s="316"/>
      <c r="AA206" s="341"/>
    </row>
    <row r="207" spans="1:27" ht="24" hidden="1" customHeight="1" x14ac:dyDescent="0.2">
      <c r="A207" s="79"/>
      <c r="B207" s="472"/>
      <c r="C207" s="40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>
        <f t="shared" si="70"/>
        <v>0</v>
      </c>
      <c r="S207" s="142"/>
      <c r="T207" s="142"/>
      <c r="U207" s="142"/>
      <c r="V207" s="142"/>
      <c r="W207" s="142"/>
      <c r="X207" s="148">
        <f t="shared" si="67"/>
        <v>0</v>
      </c>
      <c r="Y207" s="226">
        <f t="shared" si="71"/>
        <v>0</v>
      </c>
      <c r="Z207" s="316"/>
      <c r="AA207" s="341"/>
    </row>
    <row r="208" spans="1:27" ht="24" hidden="1" customHeight="1" x14ac:dyDescent="0.2">
      <c r="A208" s="79"/>
      <c r="B208" s="472"/>
      <c r="C208" s="40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>
        <f t="shared" si="70"/>
        <v>0</v>
      </c>
      <c r="S208" s="142"/>
      <c r="T208" s="142"/>
      <c r="U208" s="142"/>
      <c r="V208" s="142"/>
      <c r="W208" s="142"/>
      <c r="X208" s="148">
        <f t="shared" si="67"/>
        <v>0</v>
      </c>
      <c r="Y208" s="226">
        <f t="shared" si="71"/>
        <v>0</v>
      </c>
      <c r="Z208" s="316"/>
      <c r="AA208" s="341"/>
    </row>
    <row r="209" spans="1:27" ht="24" hidden="1" customHeight="1" x14ac:dyDescent="0.2">
      <c r="A209" s="79"/>
      <c r="B209" s="472"/>
      <c r="C209" s="27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>
        <f t="shared" si="70"/>
        <v>0</v>
      </c>
      <c r="S209" s="142"/>
      <c r="T209" s="142"/>
      <c r="U209" s="142"/>
      <c r="V209" s="142"/>
      <c r="W209" s="142"/>
      <c r="X209" s="148">
        <f t="shared" si="67"/>
        <v>0</v>
      </c>
      <c r="Y209" s="226">
        <f t="shared" si="71"/>
        <v>0</v>
      </c>
      <c r="Z209" s="316"/>
      <c r="AA209" s="341"/>
    </row>
    <row r="210" spans="1:27" ht="24" hidden="1" customHeight="1" x14ac:dyDescent="0.2">
      <c r="A210" s="79"/>
      <c r="B210" s="472"/>
      <c r="C210" s="27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>
        <f t="shared" si="70"/>
        <v>0</v>
      </c>
      <c r="S210" s="142"/>
      <c r="T210" s="147"/>
      <c r="U210" s="147"/>
      <c r="V210" s="147"/>
      <c r="W210" s="142"/>
      <c r="X210" s="148">
        <f t="shared" si="67"/>
        <v>0</v>
      </c>
      <c r="Y210" s="226">
        <f t="shared" si="71"/>
        <v>0</v>
      </c>
      <c r="Z210" s="316"/>
      <c r="AA210" s="341"/>
    </row>
    <row r="211" spans="1:27" ht="24" hidden="1" customHeight="1" x14ac:dyDescent="0.2">
      <c r="A211" s="79"/>
      <c r="B211" s="472"/>
      <c r="C211" s="27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>
        <f t="shared" si="70"/>
        <v>0</v>
      </c>
      <c r="S211" s="142"/>
      <c r="T211" s="142"/>
      <c r="U211" s="142"/>
      <c r="V211" s="142"/>
      <c r="W211" s="142"/>
      <c r="X211" s="148">
        <f t="shared" si="67"/>
        <v>0</v>
      </c>
      <c r="Y211" s="226">
        <f t="shared" si="71"/>
        <v>0</v>
      </c>
      <c r="Z211" s="316"/>
      <c r="AA211" s="341"/>
    </row>
    <row r="212" spans="1:27" ht="24" hidden="1" customHeight="1" x14ac:dyDescent="0.2">
      <c r="A212" s="79"/>
      <c r="B212" s="472"/>
      <c r="C212" s="40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>
        <f t="shared" si="70"/>
        <v>0</v>
      </c>
      <c r="S212" s="142"/>
      <c r="T212" s="147"/>
      <c r="U212" s="147"/>
      <c r="V212" s="147"/>
      <c r="W212" s="142"/>
      <c r="X212" s="148">
        <f t="shared" si="67"/>
        <v>0</v>
      </c>
      <c r="Y212" s="226">
        <f t="shared" si="71"/>
        <v>0</v>
      </c>
      <c r="Z212" s="316"/>
      <c r="AA212" s="341"/>
    </row>
    <row r="213" spans="1:27" ht="24" hidden="1" customHeight="1" x14ac:dyDescent="0.2">
      <c r="A213" s="79"/>
      <c r="B213" s="472"/>
      <c r="C213" s="27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>
        <f t="shared" si="70"/>
        <v>0</v>
      </c>
      <c r="S213" s="142"/>
      <c r="T213" s="142"/>
      <c r="U213" s="142"/>
      <c r="V213" s="142"/>
      <c r="W213" s="142"/>
      <c r="X213" s="148">
        <f t="shared" si="67"/>
        <v>0</v>
      </c>
      <c r="Y213" s="226">
        <f t="shared" si="71"/>
        <v>0</v>
      </c>
      <c r="Z213" s="316"/>
      <c r="AA213" s="341"/>
    </row>
    <row r="214" spans="1:27" ht="24" hidden="1" customHeight="1" x14ac:dyDescent="0.2">
      <c r="A214" s="79"/>
      <c r="B214" s="473"/>
      <c r="C214" s="3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>
        <f t="shared" si="70"/>
        <v>0</v>
      </c>
      <c r="S214" s="142"/>
      <c r="T214" s="142"/>
      <c r="U214" s="142"/>
      <c r="V214" s="142"/>
      <c r="W214" s="142"/>
      <c r="X214" s="148">
        <f t="shared" si="67"/>
        <v>0</v>
      </c>
      <c r="Y214" s="226">
        <f t="shared" si="71"/>
        <v>0</v>
      </c>
      <c r="Z214" s="316"/>
      <c r="AA214" s="341"/>
    </row>
    <row r="215" spans="1:27" ht="24" hidden="1" customHeight="1" x14ac:dyDescent="0.2">
      <c r="A215" s="214"/>
      <c r="B215" s="219"/>
      <c r="C215" s="27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>
        <f t="shared" si="70"/>
        <v>0</v>
      </c>
      <c r="S215" s="142"/>
      <c r="T215" s="142"/>
      <c r="U215" s="142"/>
      <c r="V215" s="142"/>
      <c r="W215" s="142"/>
      <c r="X215" s="148">
        <f t="shared" si="67"/>
        <v>0</v>
      </c>
      <c r="Y215" s="226">
        <f t="shared" si="71"/>
        <v>0</v>
      </c>
      <c r="Z215" s="316"/>
      <c r="AA215" s="341"/>
    </row>
    <row r="216" spans="1:27" ht="24" hidden="1" customHeight="1" x14ac:dyDescent="0.2">
      <c r="A216" s="214"/>
      <c r="B216" s="219"/>
      <c r="C216" s="27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>
        <f t="shared" si="70"/>
        <v>0</v>
      </c>
      <c r="S216" s="142"/>
      <c r="T216" s="142"/>
      <c r="U216" s="142"/>
      <c r="V216" s="142"/>
      <c r="W216" s="142"/>
      <c r="X216" s="148">
        <f t="shared" si="67"/>
        <v>0</v>
      </c>
      <c r="Y216" s="226">
        <f t="shared" si="71"/>
        <v>0</v>
      </c>
      <c r="Z216" s="316"/>
      <c r="AA216" s="341"/>
    </row>
    <row r="217" spans="1:27" ht="24" hidden="1" customHeight="1" x14ac:dyDescent="0.2">
      <c r="A217" s="79"/>
      <c r="B217" s="44"/>
      <c r="C217" s="3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>
        <f t="shared" si="70"/>
        <v>0</v>
      </c>
      <c r="S217" s="142"/>
      <c r="T217" s="142"/>
      <c r="U217" s="142"/>
      <c r="V217" s="142"/>
      <c r="W217" s="142"/>
      <c r="X217" s="148">
        <f t="shared" si="67"/>
        <v>0</v>
      </c>
      <c r="Y217" s="226">
        <f t="shared" si="71"/>
        <v>0</v>
      </c>
      <c r="Z217" s="316"/>
      <c r="AA217" s="341"/>
    </row>
    <row r="218" spans="1:27" ht="24" hidden="1" customHeight="1" x14ac:dyDescent="0.2">
      <c r="A218" s="79"/>
      <c r="B218" s="44"/>
      <c r="C218" s="3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>
        <f t="shared" si="70"/>
        <v>0</v>
      </c>
      <c r="S218" s="142"/>
      <c r="T218" s="142"/>
      <c r="U218" s="142"/>
      <c r="V218" s="142"/>
      <c r="W218" s="142"/>
      <c r="X218" s="148">
        <f t="shared" si="67"/>
        <v>0</v>
      </c>
      <c r="Y218" s="226">
        <f t="shared" si="71"/>
        <v>0</v>
      </c>
      <c r="Z218" s="316"/>
      <c r="AA218" s="341"/>
    </row>
    <row r="219" spans="1:27" ht="24" hidden="1" customHeight="1" x14ac:dyDescent="0.2">
      <c r="A219" s="79"/>
      <c r="B219" s="44"/>
      <c r="C219" s="27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>
        <f t="shared" si="70"/>
        <v>0</v>
      </c>
      <c r="S219" s="142"/>
      <c r="T219" s="142"/>
      <c r="U219" s="142"/>
      <c r="V219" s="142"/>
      <c r="W219" s="142"/>
      <c r="X219" s="148">
        <f t="shared" si="67"/>
        <v>0</v>
      </c>
      <c r="Y219" s="226">
        <f t="shared" si="71"/>
        <v>0</v>
      </c>
      <c r="Z219" s="316"/>
      <c r="AA219" s="341"/>
    </row>
    <row r="220" spans="1:27" ht="24" hidden="1" customHeight="1" x14ac:dyDescent="0.2">
      <c r="A220" s="79"/>
      <c r="B220" s="31"/>
      <c r="C220" s="33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>
        <f t="shared" si="70"/>
        <v>0</v>
      </c>
      <c r="S220" s="142"/>
      <c r="T220" s="142"/>
      <c r="U220" s="142"/>
      <c r="V220" s="142"/>
      <c r="W220" s="142"/>
      <c r="X220" s="148">
        <f t="shared" si="67"/>
        <v>0</v>
      </c>
      <c r="Y220" s="226">
        <f t="shared" si="71"/>
        <v>0</v>
      </c>
      <c r="Z220" s="316"/>
      <c r="AA220" s="341"/>
    </row>
    <row r="221" spans="1:27" ht="24" hidden="1" customHeight="1" x14ac:dyDescent="0.2">
      <c r="A221" s="79"/>
      <c r="B221" s="31"/>
      <c r="C221" s="33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>
        <f t="shared" si="70"/>
        <v>0</v>
      </c>
      <c r="S221" s="142"/>
      <c r="T221" s="142"/>
      <c r="U221" s="142"/>
      <c r="V221" s="142"/>
      <c r="W221" s="142"/>
      <c r="X221" s="148">
        <f t="shared" si="67"/>
        <v>0</v>
      </c>
      <c r="Y221" s="226">
        <f t="shared" si="71"/>
        <v>0</v>
      </c>
      <c r="Z221" s="316"/>
      <c r="AA221" s="341"/>
    </row>
    <row r="222" spans="1:27" ht="24" hidden="1" customHeight="1" x14ac:dyDescent="0.2">
      <c r="A222" s="79"/>
      <c r="B222" s="31"/>
      <c r="C222" s="33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>
        <f t="shared" si="70"/>
        <v>0</v>
      </c>
      <c r="S222" s="142"/>
      <c r="T222" s="142"/>
      <c r="U222" s="142"/>
      <c r="V222" s="142"/>
      <c r="W222" s="142"/>
      <c r="X222" s="148">
        <f t="shared" si="67"/>
        <v>0</v>
      </c>
      <c r="Y222" s="226">
        <f t="shared" si="71"/>
        <v>0</v>
      </c>
      <c r="Z222" s="316"/>
      <c r="AA222" s="341"/>
    </row>
    <row r="223" spans="1:27" ht="24" hidden="1" customHeight="1" x14ac:dyDescent="0.2">
      <c r="A223" s="79"/>
      <c r="B223" s="31"/>
      <c r="C223" s="33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>
        <f t="shared" si="70"/>
        <v>0</v>
      </c>
      <c r="S223" s="142"/>
      <c r="T223" s="142"/>
      <c r="U223" s="142"/>
      <c r="V223" s="142"/>
      <c r="W223" s="142"/>
      <c r="X223" s="148">
        <f t="shared" si="67"/>
        <v>0</v>
      </c>
      <c r="Y223" s="226">
        <f t="shared" si="71"/>
        <v>0</v>
      </c>
      <c r="Z223" s="316"/>
      <c r="AA223" s="341"/>
    </row>
    <row r="224" spans="1:27" ht="24" hidden="1" customHeight="1" x14ac:dyDescent="0.2">
      <c r="A224" s="79"/>
      <c r="B224" s="30"/>
      <c r="C224" s="40"/>
      <c r="D224" s="147"/>
      <c r="E224" s="147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>
        <f t="shared" si="70"/>
        <v>0</v>
      </c>
      <c r="S224" s="142"/>
      <c r="T224" s="142"/>
      <c r="U224" s="142"/>
      <c r="V224" s="142"/>
      <c r="W224" s="142"/>
      <c r="X224" s="148">
        <f t="shared" si="67"/>
        <v>0</v>
      </c>
      <c r="Y224" s="226">
        <f t="shared" si="71"/>
        <v>0</v>
      </c>
      <c r="Z224" s="316"/>
      <c r="AA224" s="341"/>
    </row>
    <row r="225" spans="1:27" ht="24" hidden="1" customHeight="1" x14ac:dyDescent="0.2">
      <c r="A225" s="79"/>
      <c r="B225" s="30"/>
      <c r="C225" s="40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>
        <f t="shared" si="70"/>
        <v>0</v>
      </c>
      <c r="S225" s="142"/>
      <c r="T225" s="142"/>
      <c r="U225" s="142"/>
      <c r="V225" s="142"/>
      <c r="W225" s="142"/>
      <c r="X225" s="148">
        <f t="shared" si="67"/>
        <v>0</v>
      </c>
      <c r="Y225" s="226">
        <f t="shared" si="71"/>
        <v>0</v>
      </c>
      <c r="Z225" s="316"/>
      <c r="AA225" s="341"/>
    </row>
    <row r="226" spans="1:27" ht="24" hidden="1" customHeight="1" x14ac:dyDescent="0.2">
      <c r="A226" s="79"/>
      <c r="B226" s="30"/>
      <c r="C226" s="40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>
        <f t="shared" si="70"/>
        <v>0</v>
      </c>
      <c r="S226" s="142"/>
      <c r="T226" s="142"/>
      <c r="U226" s="142"/>
      <c r="V226" s="142"/>
      <c r="W226" s="142"/>
      <c r="X226" s="148">
        <f t="shared" si="67"/>
        <v>0</v>
      </c>
      <c r="Y226" s="226">
        <f t="shared" si="71"/>
        <v>0</v>
      </c>
      <c r="Z226" s="316"/>
      <c r="AA226" s="341"/>
    </row>
    <row r="227" spans="1:27" ht="24" hidden="1" customHeight="1" x14ac:dyDescent="0.2">
      <c r="A227" s="79"/>
      <c r="B227" s="30"/>
      <c r="C227" s="40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>
        <f t="shared" si="70"/>
        <v>0</v>
      </c>
      <c r="S227" s="142"/>
      <c r="T227" s="142"/>
      <c r="U227" s="142"/>
      <c r="V227" s="142"/>
      <c r="W227" s="142"/>
      <c r="X227" s="148">
        <f t="shared" si="67"/>
        <v>0</v>
      </c>
      <c r="Y227" s="226">
        <f t="shared" si="71"/>
        <v>0</v>
      </c>
      <c r="Z227" s="316"/>
      <c r="AA227" s="341"/>
    </row>
    <row r="228" spans="1:27" ht="24" hidden="1" customHeight="1" x14ac:dyDescent="0.2">
      <c r="A228" s="79"/>
      <c r="B228" s="101"/>
      <c r="C228" s="27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>
        <f t="shared" si="70"/>
        <v>0</v>
      </c>
      <c r="S228" s="142"/>
      <c r="T228" s="142"/>
      <c r="U228" s="142"/>
      <c r="V228" s="142"/>
      <c r="W228" s="142"/>
      <c r="X228" s="148">
        <f t="shared" si="67"/>
        <v>0</v>
      </c>
      <c r="Y228" s="226">
        <f t="shared" si="71"/>
        <v>0</v>
      </c>
      <c r="Z228" s="316"/>
      <c r="AA228" s="341"/>
    </row>
    <row r="229" spans="1:27" ht="24" hidden="1" customHeight="1" x14ac:dyDescent="0.2">
      <c r="A229" s="79"/>
      <c r="B229" s="81"/>
      <c r="C229" s="40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>
        <f t="shared" si="70"/>
        <v>0</v>
      </c>
      <c r="S229" s="142"/>
      <c r="T229" s="142"/>
      <c r="U229" s="142"/>
      <c r="V229" s="142"/>
      <c r="W229" s="142"/>
      <c r="X229" s="148">
        <f t="shared" si="67"/>
        <v>0</v>
      </c>
      <c r="Y229" s="226">
        <f t="shared" si="71"/>
        <v>0</v>
      </c>
      <c r="Z229" s="316"/>
      <c r="AA229" s="341"/>
    </row>
    <row r="230" spans="1:27" ht="24" hidden="1" customHeight="1" x14ac:dyDescent="0.2">
      <c r="A230" s="79"/>
      <c r="B230" s="30"/>
      <c r="C230" s="40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>
        <f t="shared" si="70"/>
        <v>0</v>
      </c>
      <c r="S230" s="142"/>
      <c r="T230" s="142"/>
      <c r="U230" s="142"/>
      <c r="V230" s="142"/>
      <c r="W230" s="142"/>
      <c r="X230" s="148">
        <f t="shared" si="67"/>
        <v>0</v>
      </c>
      <c r="Y230" s="226">
        <f t="shared" si="71"/>
        <v>0</v>
      </c>
      <c r="Z230" s="316"/>
      <c r="AA230" s="341"/>
    </row>
    <row r="231" spans="1:27" ht="24" hidden="1" customHeight="1" x14ac:dyDescent="0.2">
      <c r="A231" s="79"/>
      <c r="B231" s="30"/>
      <c r="C231" s="40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>
        <f t="shared" si="70"/>
        <v>0</v>
      </c>
      <c r="S231" s="142"/>
      <c r="T231" s="142"/>
      <c r="U231" s="142"/>
      <c r="V231" s="142"/>
      <c r="W231" s="142"/>
      <c r="X231" s="148">
        <f t="shared" si="67"/>
        <v>0</v>
      </c>
      <c r="Y231" s="226">
        <f t="shared" si="71"/>
        <v>0</v>
      </c>
      <c r="Z231" s="316"/>
      <c r="AA231" s="341"/>
    </row>
    <row r="232" spans="1:27" ht="24" hidden="1" customHeight="1" x14ac:dyDescent="0.2">
      <c r="A232" s="79"/>
      <c r="B232" s="30"/>
      <c r="C232" s="40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>
        <f t="shared" si="70"/>
        <v>0</v>
      </c>
      <c r="S232" s="142"/>
      <c r="T232" s="142"/>
      <c r="U232" s="142"/>
      <c r="V232" s="142"/>
      <c r="W232" s="142"/>
      <c r="X232" s="148">
        <f t="shared" si="67"/>
        <v>0</v>
      </c>
      <c r="Y232" s="226">
        <f t="shared" si="71"/>
        <v>0</v>
      </c>
      <c r="Z232" s="316"/>
      <c r="AA232" s="341"/>
    </row>
    <row r="233" spans="1:27" ht="24" hidden="1" customHeight="1" x14ac:dyDescent="0.2">
      <c r="A233" s="79"/>
      <c r="B233" s="29"/>
      <c r="C233" s="27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>
        <f t="shared" si="70"/>
        <v>0</v>
      </c>
      <c r="S233" s="142"/>
      <c r="T233" s="142"/>
      <c r="U233" s="142"/>
      <c r="V233" s="142"/>
      <c r="W233" s="142"/>
      <c r="X233" s="148">
        <f t="shared" si="67"/>
        <v>0</v>
      </c>
      <c r="Y233" s="226">
        <f t="shared" si="71"/>
        <v>0</v>
      </c>
      <c r="Z233" s="316"/>
      <c r="AA233" s="341"/>
    </row>
    <row r="234" spans="1:27" ht="24" hidden="1" customHeight="1" x14ac:dyDescent="0.2">
      <c r="A234" s="113"/>
      <c r="B234" s="101"/>
      <c r="C234" s="102"/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>
        <f t="shared" si="70"/>
        <v>0</v>
      </c>
      <c r="S234" s="151"/>
      <c r="T234" s="151"/>
      <c r="U234" s="151"/>
      <c r="V234" s="151"/>
      <c r="W234" s="151"/>
      <c r="X234" s="456">
        <f t="shared" si="67"/>
        <v>0</v>
      </c>
      <c r="Y234" s="354">
        <f t="shared" si="71"/>
        <v>0</v>
      </c>
      <c r="Z234" s="367"/>
      <c r="AA234" s="341"/>
    </row>
    <row r="235" spans="1:27" ht="24" hidden="1" customHeight="1" x14ac:dyDescent="0.2">
      <c r="A235" s="79"/>
      <c r="B235" s="81"/>
      <c r="C235" s="40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>
        <f t="shared" si="70"/>
        <v>0</v>
      </c>
      <c r="S235" s="142"/>
      <c r="T235" s="142"/>
      <c r="U235" s="142"/>
      <c r="V235" s="142"/>
      <c r="W235" s="142"/>
      <c r="X235" s="148">
        <f t="shared" si="67"/>
        <v>0</v>
      </c>
      <c r="Y235" s="226">
        <f t="shared" si="71"/>
        <v>0</v>
      </c>
      <c r="Z235" s="316"/>
      <c r="AA235" s="341"/>
    </row>
    <row r="236" spans="1:27" ht="24" hidden="1" customHeight="1" x14ac:dyDescent="0.2">
      <c r="A236" s="79"/>
      <c r="B236" s="30"/>
      <c r="C236" s="40" t="s">
        <v>57</v>
      </c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>
        <f t="shared" si="70"/>
        <v>0</v>
      </c>
      <c r="S236" s="142"/>
      <c r="T236" s="142"/>
      <c r="U236" s="142"/>
      <c r="V236" s="142"/>
      <c r="W236" s="142"/>
      <c r="X236" s="148">
        <f t="shared" ref="X236:X346" si="74">SUM(T236:W236)</f>
        <v>0</v>
      </c>
      <c r="Y236" s="226">
        <f t="shared" ref="Y236:Y346" si="75">R236+X236</f>
        <v>0</v>
      </c>
      <c r="Z236" s="316"/>
      <c r="AA236" s="341"/>
    </row>
    <row r="237" spans="1:27" ht="17.25" hidden="1" customHeight="1" thickBot="1" x14ac:dyDescent="0.25">
      <c r="A237" s="79"/>
      <c r="B237" s="101"/>
      <c r="C237" s="102"/>
      <c r="D237" s="103"/>
      <c r="E237" s="103"/>
      <c r="F237" s="71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>
        <f t="shared" si="70"/>
        <v>0</v>
      </c>
      <c r="S237" s="103"/>
      <c r="T237" s="103"/>
      <c r="U237" s="103"/>
      <c r="V237" s="103"/>
      <c r="W237" s="103"/>
      <c r="X237" s="104">
        <f t="shared" si="74"/>
        <v>0</v>
      </c>
      <c r="Y237" s="355">
        <f t="shared" si="75"/>
        <v>0</v>
      </c>
      <c r="Z237" s="368"/>
      <c r="AA237" s="333"/>
    </row>
    <row r="238" spans="1:27" ht="24" hidden="1" customHeight="1" thickTop="1" thickBot="1" x14ac:dyDescent="0.25">
      <c r="A238" s="41"/>
      <c r="B238" s="106" t="s">
        <v>161</v>
      </c>
      <c r="C238" s="43" t="s">
        <v>19</v>
      </c>
      <c r="D238" s="477">
        <f t="shared" ref="D238:Q238" si="76">SUM(D162:D237)</f>
        <v>0</v>
      </c>
      <c r="E238" s="477">
        <f t="shared" si="76"/>
        <v>0</v>
      </c>
      <c r="F238" s="477">
        <f t="shared" si="76"/>
        <v>0</v>
      </c>
      <c r="G238" s="477">
        <f t="shared" si="76"/>
        <v>0</v>
      </c>
      <c r="H238" s="477">
        <f t="shared" si="76"/>
        <v>0</v>
      </c>
      <c r="I238" s="477">
        <f t="shared" si="76"/>
        <v>0</v>
      </c>
      <c r="J238" s="477">
        <f t="shared" si="76"/>
        <v>0</v>
      </c>
      <c r="K238" s="477">
        <f t="shared" si="76"/>
        <v>0</v>
      </c>
      <c r="L238" s="477">
        <f t="shared" si="76"/>
        <v>0</v>
      </c>
      <c r="M238" s="477">
        <f t="shared" si="76"/>
        <v>0</v>
      </c>
      <c r="N238" s="477">
        <f t="shared" si="76"/>
        <v>0</v>
      </c>
      <c r="O238" s="477">
        <f t="shared" si="76"/>
        <v>0</v>
      </c>
      <c r="P238" s="477">
        <f t="shared" si="76"/>
        <v>0</v>
      </c>
      <c r="Q238" s="477">
        <f t="shared" si="76"/>
        <v>0</v>
      </c>
      <c r="R238" s="477">
        <f t="shared" si="70"/>
        <v>0</v>
      </c>
      <c r="S238" s="477"/>
      <c r="T238" s="477">
        <f>SUM(T162:T237)</f>
        <v>0</v>
      </c>
      <c r="U238" s="477">
        <f>SUM(U162:U237)</f>
        <v>0</v>
      </c>
      <c r="V238" s="477">
        <f>SUM(V162:V237)</f>
        <v>0</v>
      </c>
      <c r="W238" s="477">
        <f>SUM(W162:W237)</f>
        <v>0</v>
      </c>
      <c r="X238" s="478">
        <f t="shared" si="74"/>
        <v>0</v>
      </c>
      <c r="Y238" s="478">
        <f t="shared" si="75"/>
        <v>0</v>
      </c>
      <c r="Z238" s="479">
        <f>SUM(Z162:Z237)</f>
        <v>0</v>
      </c>
      <c r="AA238" s="342"/>
    </row>
    <row r="239" spans="1:27" ht="16.5" hidden="1" customHeight="1" thickTop="1" x14ac:dyDescent="0.2">
      <c r="A239" s="79"/>
      <c r="B239" s="30"/>
      <c r="C239" s="40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>
        <f t="shared" si="70"/>
        <v>0</v>
      </c>
      <c r="S239" s="142"/>
      <c r="T239" s="142"/>
      <c r="U239" s="142"/>
      <c r="V239" s="142"/>
      <c r="W239" s="142"/>
      <c r="X239" s="148">
        <f t="shared" si="74"/>
        <v>0</v>
      </c>
      <c r="Y239" s="226">
        <f t="shared" si="75"/>
        <v>0</v>
      </c>
      <c r="Z239" s="316"/>
      <c r="AA239" s="341"/>
    </row>
    <row r="240" spans="1:27" ht="16.5" hidden="1" customHeight="1" x14ac:dyDescent="0.2">
      <c r="A240" s="79"/>
      <c r="B240" s="31"/>
      <c r="C240" s="40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>
        <f t="shared" si="70"/>
        <v>0</v>
      </c>
      <c r="S240" s="142"/>
      <c r="T240" s="142"/>
      <c r="U240" s="142"/>
      <c r="V240" s="142"/>
      <c r="W240" s="142"/>
      <c r="X240" s="148">
        <f t="shared" si="74"/>
        <v>0</v>
      </c>
      <c r="Y240" s="226">
        <f t="shared" si="75"/>
        <v>0</v>
      </c>
      <c r="Z240" s="316"/>
      <c r="AA240" s="341"/>
    </row>
    <row r="241" spans="1:28" ht="16.5" hidden="1" customHeight="1" x14ac:dyDescent="0.2">
      <c r="A241" s="79"/>
      <c r="B241" s="30"/>
      <c r="C241" s="40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>
        <f t="shared" si="70"/>
        <v>0</v>
      </c>
      <c r="S241" s="142"/>
      <c r="T241" s="142"/>
      <c r="U241" s="142"/>
      <c r="V241" s="142"/>
      <c r="W241" s="142"/>
      <c r="X241" s="148">
        <f t="shared" si="74"/>
        <v>0</v>
      </c>
      <c r="Y241" s="226">
        <f t="shared" si="75"/>
        <v>0</v>
      </c>
      <c r="Z241" s="316"/>
      <c r="AA241" s="341"/>
    </row>
    <row r="242" spans="1:28" ht="16.5" hidden="1" customHeight="1" x14ac:dyDescent="0.2">
      <c r="A242" s="79"/>
      <c r="B242" s="30"/>
      <c r="C242" s="40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>
        <f t="shared" si="70"/>
        <v>0</v>
      </c>
      <c r="S242" s="142"/>
      <c r="T242" s="142"/>
      <c r="U242" s="142"/>
      <c r="V242" s="142"/>
      <c r="W242" s="142"/>
      <c r="X242" s="148">
        <f t="shared" si="74"/>
        <v>0</v>
      </c>
      <c r="Y242" s="226">
        <f t="shared" si="75"/>
        <v>0</v>
      </c>
      <c r="Z242" s="316"/>
      <c r="AA242" s="341"/>
    </row>
    <row r="243" spans="1:28" ht="16.5" hidden="1" customHeight="1" x14ac:dyDescent="0.2">
      <c r="A243" s="79"/>
      <c r="B243" s="31"/>
      <c r="C243" s="40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>
        <f t="shared" ref="R243:R346" si="77">SUM(D243:Q243)</f>
        <v>0</v>
      </c>
      <c r="S243" s="142"/>
      <c r="T243" s="142"/>
      <c r="U243" s="142"/>
      <c r="V243" s="142"/>
      <c r="W243" s="142"/>
      <c r="X243" s="148">
        <f t="shared" si="74"/>
        <v>0</v>
      </c>
      <c r="Y243" s="226">
        <f t="shared" si="75"/>
        <v>0</v>
      </c>
      <c r="Z243" s="316"/>
      <c r="AA243" s="341"/>
    </row>
    <row r="244" spans="1:28" ht="16.5" hidden="1" customHeight="1" x14ac:dyDescent="0.2">
      <c r="A244" s="79"/>
      <c r="B244" s="30"/>
      <c r="C244" s="40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>
        <f t="shared" si="77"/>
        <v>0</v>
      </c>
      <c r="S244" s="142"/>
      <c r="T244" s="142"/>
      <c r="U244" s="142"/>
      <c r="V244" s="142"/>
      <c r="W244" s="142"/>
      <c r="X244" s="148">
        <f t="shared" si="74"/>
        <v>0</v>
      </c>
      <c r="Y244" s="226">
        <f t="shared" si="75"/>
        <v>0</v>
      </c>
      <c r="Z244" s="316"/>
      <c r="AA244" s="341"/>
    </row>
    <row r="245" spans="1:28" ht="16.5" hidden="1" customHeight="1" x14ac:dyDescent="0.2">
      <c r="A245" s="79"/>
      <c r="B245" s="30"/>
      <c r="C245" s="40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>
        <f t="shared" si="77"/>
        <v>0</v>
      </c>
      <c r="S245" s="142"/>
      <c r="T245" s="142"/>
      <c r="U245" s="142"/>
      <c r="V245" s="142"/>
      <c r="W245" s="142"/>
      <c r="X245" s="148">
        <f t="shared" si="74"/>
        <v>0</v>
      </c>
      <c r="Y245" s="226">
        <f t="shared" si="75"/>
        <v>0</v>
      </c>
      <c r="Z245" s="316"/>
      <c r="AA245" s="341"/>
    </row>
    <row r="246" spans="1:28" ht="17.25" hidden="1" customHeight="1" thickBot="1" x14ac:dyDescent="0.25">
      <c r="A246" s="79"/>
      <c r="B246" s="30"/>
      <c r="C246" s="40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>
        <f t="shared" si="77"/>
        <v>0</v>
      </c>
      <c r="S246" s="142"/>
      <c r="T246" s="142"/>
      <c r="U246" s="142"/>
      <c r="V246" s="142"/>
      <c r="W246" s="142"/>
      <c r="X246" s="148">
        <f t="shared" si="74"/>
        <v>0</v>
      </c>
      <c r="Y246" s="226">
        <f t="shared" si="75"/>
        <v>0</v>
      </c>
      <c r="Z246" s="316"/>
      <c r="AA246" s="341"/>
    </row>
    <row r="247" spans="1:28" ht="18.75" hidden="1" customHeight="1" thickTop="1" thickBot="1" x14ac:dyDescent="0.25">
      <c r="A247" s="105"/>
      <c r="B247" s="107" t="s">
        <v>53</v>
      </c>
      <c r="C247" s="43"/>
      <c r="D247" s="149">
        <f t="shared" ref="D247:I247" si="78">SUM(D239:D243)</f>
        <v>0</v>
      </c>
      <c r="E247" s="149">
        <f t="shared" si="78"/>
        <v>0</v>
      </c>
      <c r="F247" s="149">
        <f t="shared" si="78"/>
        <v>0</v>
      </c>
      <c r="G247" s="149">
        <f t="shared" si="78"/>
        <v>0</v>
      </c>
      <c r="H247" s="149">
        <f t="shared" si="78"/>
        <v>0</v>
      </c>
      <c r="I247" s="149">
        <f t="shared" si="78"/>
        <v>0</v>
      </c>
      <c r="J247" s="149">
        <f>SUM(J239:J243)</f>
        <v>0</v>
      </c>
      <c r="K247" s="149">
        <f t="shared" ref="K247:W247" si="79">SUM(K239:K243)</f>
        <v>0</v>
      </c>
      <c r="L247" s="149">
        <f t="shared" si="79"/>
        <v>0</v>
      </c>
      <c r="M247" s="149">
        <f t="shared" si="79"/>
        <v>0</v>
      </c>
      <c r="N247" s="149">
        <f t="shared" si="79"/>
        <v>0</v>
      </c>
      <c r="O247" s="149">
        <f t="shared" si="79"/>
        <v>0</v>
      </c>
      <c r="P247" s="149">
        <f t="shared" si="79"/>
        <v>0</v>
      </c>
      <c r="Q247" s="149">
        <f t="shared" si="79"/>
        <v>0</v>
      </c>
      <c r="R247" s="149">
        <f t="shared" si="77"/>
        <v>0</v>
      </c>
      <c r="S247" s="149"/>
      <c r="T247" s="149">
        <f t="shared" si="79"/>
        <v>0</v>
      </c>
      <c r="U247" s="149">
        <f>SUM(U239:U243)</f>
        <v>0</v>
      </c>
      <c r="V247" s="149">
        <f>SUM(V239:V243)</f>
        <v>0</v>
      </c>
      <c r="W247" s="149">
        <f t="shared" si="79"/>
        <v>0</v>
      </c>
      <c r="X247" s="152">
        <f t="shared" si="74"/>
        <v>0</v>
      </c>
      <c r="Y247" s="152">
        <f t="shared" si="75"/>
        <v>0</v>
      </c>
      <c r="Z247" s="258">
        <f>SUM(Z239:Z243)</f>
        <v>0</v>
      </c>
      <c r="AA247" s="342"/>
    </row>
    <row r="248" spans="1:28" ht="24" hidden="1" customHeight="1" thickTop="1" thickBot="1" x14ac:dyDescent="0.25">
      <c r="A248" s="41"/>
      <c r="B248" s="313" t="s">
        <v>162</v>
      </c>
      <c r="C248" s="43" t="s">
        <v>136</v>
      </c>
      <c r="D248" s="245">
        <f t="shared" ref="D248:Q248" si="80">D161+D238+D247</f>
        <v>156420</v>
      </c>
      <c r="E248" s="245">
        <f t="shared" si="80"/>
        <v>32345</v>
      </c>
      <c r="F248" s="245">
        <f t="shared" si="80"/>
        <v>5395172.7810000004</v>
      </c>
      <c r="G248" s="245">
        <f t="shared" si="80"/>
        <v>224581</v>
      </c>
      <c r="H248" s="245">
        <f t="shared" si="80"/>
        <v>308609</v>
      </c>
      <c r="I248" s="245">
        <f t="shared" si="80"/>
        <v>68671</v>
      </c>
      <c r="J248" s="245">
        <f t="shared" si="80"/>
        <v>996636</v>
      </c>
      <c r="K248" s="245">
        <f t="shared" si="80"/>
        <v>2633912</v>
      </c>
      <c r="L248" s="245">
        <f t="shared" si="80"/>
        <v>10187135</v>
      </c>
      <c r="M248" s="245">
        <f t="shared" si="80"/>
        <v>490047</v>
      </c>
      <c r="N248" s="245">
        <f t="shared" si="80"/>
        <v>100000</v>
      </c>
      <c r="O248" s="245">
        <f t="shared" si="80"/>
        <v>3000</v>
      </c>
      <c r="P248" s="245">
        <f t="shared" si="80"/>
        <v>0</v>
      </c>
      <c r="Q248" s="245">
        <f t="shared" si="80"/>
        <v>634136</v>
      </c>
      <c r="R248" s="245">
        <f t="shared" si="77"/>
        <v>21230664.780999999</v>
      </c>
      <c r="S248" s="245"/>
      <c r="T248" s="245">
        <f>T161+T238+T247</f>
        <v>0</v>
      </c>
      <c r="U248" s="245">
        <f>U161+U238+U247</f>
        <v>0</v>
      </c>
      <c r="V248" s="245">
        <f>V161+V238+V247</f>
        <v>56742</v>
      </c>
      <c r="W248" s="245">
        <f>W161+W238+W247</f>
        <v>0</v>
      </c>
      <c r="X248" s="245">
        <f t="shared" si="74"/>
        <v>56742</v>
      </c>
      <c r="Y248" s="245">
        <f t="shared" si="75"/>
        <v>21287406.780999999</v>
      </c>
      <c r="Z248" s="222">
        <f>Z161+Z238+Z247</f>
        <v>8879594.9979999997</v>
      </c>
      <c r="AA248" s="340"/>
      <c r="AB248" s="82">
        <f>Y248+Z248</f>
        <v>30167001.778999999</v>
      </c>
    </row>
    <row r="249" spans="1:28" ht="24.95" hidden="1" customHeight="1" thickTop="1" x14ac:dyDescent="0.2">
      <c r="A249" s="170"/>
      <c r="B249" s="171" t="s">
        <v>165</v>
      </c>
      <c r="C249" s="119" t="s">
        <v>18</v>
      </c>
      <c r="D249" s="223">
        <f t="shared" ref="D249:W249" si="81">D248</f>
        <v>156420</v>
      </c>
      <c r="E249" s="223">
        <f t="shared" si="81"/>
        <v>32345</v>
      </c>
      <c r="F249" s="223">
        <f t="shared" si="81"/>
        <v>5395172.7810000004</v>
      </c>
      <c r="G249" s="223">
        <f t="shared" si="81"/>
        <v>224581</v>
      </c>
      <c r="H249" s="223">
        <f t="shared" si="81"/>
        <v>308609</v>
      </c>
      <c r="I249" s="223">
        <f t="shared" si="81"/>
        <v>68671</v>
      </c>
      <c r="J249" s="223">
        <f t="shared" si="81"/>
        <v>996636</v>
      </c>
      <c r="K249" s="223">
        <f t="shared" si="81"/>
        <v>2633912</v>
      </c>
      <c r="L249" s="223">
        <f t="shared" si="81"/>
        <v>10187135</v>
      </c>
      <c r="M249" s="223">
        <f t="shared" si="81"/>
        <v>490047</v>
      </c>
      <c r="N249" s="223">
        <f t="shared" si="81"/>
        <v>100000</v>
      </c>
      <c r="O249" s="223">
        <f t="shared" si="81"/>
        <v>3000</v>
      </c>
      <c r="P249" s="223">
        <f t="shared" si="81"/>
        <v>0</v>
      </c>
      <c r="Q249" s="223">
        <f t="shared" si="81"/>
        <v>634136</v>
      </c>
      <c r="R249" s="223">
        <f t="shared" si="77"/>
        <v>21230664.780999999</v>
      </c>
      <c r="S249" s="223"/>
      <c r="T249" s="223">
        <f t="shared" si="81"/>
        <v>0</v>
      </c>
      <c r="U249" s="223">
        <f t="shared" si="81"/>
        <v>0</v>
      </c>
      <c r="V249" s="223">
        <f t="shared" si="81"/>
        <v>56742</v>
      </c>
      <c r="W249" s="223">
        <f t="shared" si="81"/>
        <v>0</v>
      </c>
      <c r="X249" s="471">
        <f t="shared" si="74"/>
        <v>56742</v>
      </c>
      <c r="Y249" s="356">
        <f t="shared" si="75"/>
        <v>21287406.780999999</v>
      </c>
      <c r="Z249" s="369">
        <f>Z248</f>
        <v>8879594.9979999997</v>
      </c>
      <c r="AA249" s="334"/>
    </row>
    <row r="250" spans="1:28" ht="24.95" hidden="1" customHeight="1" x14ac:dyDescent="0.2">
      <c r="A250" s="79">
        <v>1</v>
      </c>
      <c r="B250" s="108"/>
      <c r="C250" s="27"/>
      <c r="D250" s="147"/>
      <c r="E250" s="147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>
        <f t="shared" si="77"/>
        <v>0</v>
      </c>
      <c r="S250" s="142"/>
      <c r="T250" s="142"/>
      <c r="U250" s="142"/>
      <c r="V250" s="142"/>
      <c r="W250" s="142"/>
      <c r="X250" s="148">
        <f t="shared" si="74"/>
        <v>0</v>
      </c>
      <c r="Y250" s="226">
        <f t="shared" si="75"/>
        <v>0</v>
      </c>
      <c r="Z250" s="316"/>
      <c r="AA250" s="341"/>
    </row>
    <row r="251" spans="1:28" ht="24.95" hidden="1" customHeight="1" x14ac:dyDescent="0.2">
      <c r="A251" s="79">
        <v>2</v>
      </c>
      <c r="B251" s="108"/>
      <c r="C251" s="27"/>
      <c r="D251" s="147"/>
      <c r="E251" s="147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>
        <f t="shared" si="77"/>
        <v>0</v>
      </c>
      <c r="S251" s="142"/>
      <c r="T251" s="142"/>
      <c r="U251" s="142"/>
      <c r="V251" s="142"/>
      <c r="W251" s="142"/>
      <c r="X251" s="148">
        <f t="shared" si="74"/>
        <v>0</v>
      </c>
      <c r="Y251" s="226">
        <f t="shared" si="75"/>
        <v>0</v>
      </c>
      <c r="Z251" s="316"/>
      <c r="AA251" s="341"/>
    </row>
    <row r="252" spans="1:28" ht="24.95" hidden="1" customHeight="1" x14ac:dyDescent="0.2">
      <c r="A252" s="79">
        <v>3</v>
      </c>
      <c r="B252" s="108"/>
      <c r="C252" s="27"/>
      <c r="D252" s="147"/>
      <c r="E252" s="147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>
        <f t="shared" si="77"/>
        <v>0</v>
      </c>
      <c r="S252" s="142"/>
      <c r="T252" s="142"/>
      <c r="U252" s="142"/>
      <c r="V252" s="142"/>
      <c r="W252" s="142"/>
      <c r="X252" s="148">
        <f t="shared" si="74"/>
        <v>0</v>
      </c>
      <c r="Y252" s="226">
        <f t="shared" si="75"/>
        <v>0</v>
      </c>
      <c r="Z252" s="316"/>
      <c r="AA252" s="341"/>
    </row>
    <row r="253" spans="1:28" ht="24.95" hidden="1" customHeight="1" x14ac:dyDescent="0.2">
      <c r="A253" s="79">
        <v>4</v>
      </c>
      <c r="B253" s="108"/>
      <c r="C253" s="27"/>
      <c r="D253" s="147"/>
      <c r="E253" s="147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>
        <f t="shared" si="77"/>
        <v>0</v>
      </c>
      <c r="S253" s="142"/>
      <c r="T253" s="142"/>
      <c r="U253" s="142"/>
      <c r="V253" s="142"/>
      <c r="W253" s="142"/>
      <c r="X253" s="148">
        <f t="shared" si="74"/>
        <v>0</v>
      </c>
      <c r="Y253" s="226">
        <f t="shared" si="75"/>
        <v>0</v>
      </c>
      <c r="Z253" s="316"/>
      <c r="AA253" s="341"/>
    </row>
    <row r="254" spans="1:28" ht="24.95" hidden="1" customHeight="1" x14ac:dyDescent="0.2">
      <c r="A254" s="79">
        <v>5</v>
      </c>
      <c r="B254" s="108"/>
      <c r="C254" s="27"/>
      <c r="D254" s="147"/>
      <c r="E254" s="147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>
        <f t="shared" si="77"/>
        <v>0</v>
      </c>
      <c r="S254" s="142"/>
      <c r="T254" s="142"/>
      <c r="U254" s="142"/>
      <c r="V254" s="142"/>
      <c r="W254" s="142"/>
      <c r="X254" s="148">
        <f t="shared" si="74"/>
        <v>0</v>
      </c>
      <c r="Y254" s="226">
        <f t="shared" si="75"/>
        <v>0</v>
      </c>
      <c r="Z254" s="316"/>
      <c r="AA254" s="341"/>
    </row>
    <row r="255" spans="1:28" ht="24.95" hidden="1" customHeight="1" x14ac:dyDescent="0.2">
      <c r="A255" s="79">
        <v>6</v>
      </c>
      <c r="B255" s="26"/>
      <c r="C255" s="27"/>
      <c r="D255" s="147"/>
      <c r="E255" s="147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>
        <f t="shared" si="77"/>
        <v>0</v>
      </c>
      <c r="S255" s="142"/>
      <c r="T255" s="142"/>
      <c r="U255" s="142"/>
      <c r="V255" s="142"/>
      <c r="W255" s="142"/>
      <c r="X255" s="148">
        <f t="shared" si="74"/>
        <v>0</v>
      </c>
      <c r="Y255" s="226">
        <f t="shared" si="75"/>
        <v>0</v>
      </c>
      <c r="Z255" s="316"/>
      <c r="AA255" s="341"/>
    </row>
    <row r="256" spans="1:28" ht="24.95" hidden="1" customHeight="1" x14ac:dyDescent="0.2">
      <c r="A256" s="79">
        <v>7</v>
      </c>
      <c r="B256" s="26"/>
      <c r="C256" s="27"/>
      <c r="D256" s="147"/>
      <c r="E256" s="147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>
        <f t="shared" si="77"/>
        <v>0</v>
      </c>
      <c r="S256" s="142"/>
      <c r="T256" s="142"/>
      <c r="U256" s="142"/>
      <c r="V256" s="142"/>
      <c r="W256" s="142"/>
      <c r="X256" s="148">
        <f t="shared" si="74"/>
        <v>0</v>
      </c>
      <c r="Y256" s="226">
        <f t="shared" si="75"/>
        <v>0</v>
      </c>
      <c r="Z256" s="316"/>
      <c r="AA256" s="341"/>
    </row>
    <row r="257" spans="1:27" ht="24.95" hidden="1" customHeight="1" x14ac:dyDescent="0.2">
      <c r="A257" s="79">
        <v>8</v>
      </c>
      <c r="B257" s="26"/>
      <c r="C257" s="27"/>
      <c r="D257" s="147"/>
      <c r="E257" s="147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>
        <f t="shared" si="77"/>
        <v>0</v>
      </c>
      <c r="S257" s="142"/>
      <c r="T257" s="142"/>
      <c r="U257" s="142"/>
      <c r="V257" s="142"/>
      <c r="W257" s="142"/>
      <c r="X257" s="148">
        <f t="shared" si="74"/>
        <v>0</v>
      </c>
      <c r="Y257" s="226">
        <f t="shared" si="75"/>
        <v>0</v>
      </c>
      <c r="Z257" s="316"/>
      <c r="AA257" s="341"/>
    </row>
    <row r="258" spans="1:27" ht="24.95" hidden="1" customHeight="1" x14ac:dyDescent="0.2">
      <c r="A258" s="79">
        <v>9</v>
      </c>
      <c r="B258" s="29"/>
      <c r="C258" s="27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>
        <f t="shared" si="77"/>
        <v>0</v>
      </c>
      <c r="S258" s="142"/>
      <c r="T258" s="142"/>
      <c r="U258" s="142"/>
      <c r="V258" s="142"/>
      <c r="W258" s="142"/>
      <c r="X258" s="148">
        <f t="shared" si="74"/>
        <v>0</v>
      </c>
      <c r="Y258" s="226">
        <f t="shared" si="75"/>
        <v>0</v>
      </c>
      <c r="Z258" s="316"/>
      <c r="AA258" s="341"/>
    </row>
    <row r="259" spans="1:27" ht="24.95" hidden="1" customHeight="1" x14ac:dyDescent="0.2">
      <c r="A259" s="79">
        <v>10</v>
      </c>
      <c r="B259" s="29"/>
      <c r="C259" s="85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>
        <f t="shared" si="77"/>
        <v>0</v>
      </c>
      <c r="S259" s="142"/>
      <c r="T259" s="142"/>
      <c r="U259" s="142"/>
      <c r="V259" s="142"/>
      <c r="W259" s="142"/>
      <c r="X259" s="148">
        <f t="shared" si="74"/>
        <v>0</v>
      </c>
      <c r="Y259" s="226">
        <f t="shared" si="75"/>
        <v>0</v>
      </c>
      <c r="Z259" s="316"/>
      <c r="AA259" s="341"/>
    </row>
    <row r="260" spans="1:27" ht="24.95" hidden="1" customHeight="1" x14ac:dyDescent="0.2">
      <c r="A260" s="79">
        <v>11</v>
      </c>
      <c r="B260" s="29"/>
      <c r="C260" s="27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>
        <f t="shared" si="77"/>
        <v>0</v>
      </c>
      <c r="S260" s="142"/>
      <c r="T260" s="142"/>
      <c r="U260" s="142"/>
      <c r="V260" s="142"/>
      <c r="W260" s="142"/>
      <c r="X260" s="148">
        <f t="shared" si="74"/>
        <v>0</v>
      </c>
      <c r="Y260" s="226">
        <f t="shared" si="75"/>
        <v>0</v>
      </c>
      <c r="Z260" s="316"/>
      <c r="AA260" s="341"/>
    </row>
    <row r="261" spans="1:27" ht="24.95" hidden="1" customHeight="1" x14ac:dyDescent="0.2">
      <c r="A261" s="79">
        <v>12</v>
      </c>
      <c r="B261" s="29"/>
      <c r="C261" s="27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>
        <f t="shared" si="77"/>
        <v>0</v>
      </c>
      <c r="S261" s="142"/>
      <c r="T261" s="142"/>
      <c r="U261" s="142"/>
      <c r="V261" s="142"/>
      <c r="W261" s="142"/>
      <c r="X261" s="148">
        <f t="shared" si="74"/>
        <v>0</v>
      </c>
      <c r="Y261" s="226">
        <f t="shared" si="75"/>
        <v>0</v>
      </c>
      <c r="Z261" s="316"/>
      <c r="AA261" s="341"/>
    </row>
    <row r="262" spans="1:27" ht="24.95" hidden="1" customHeight="1" x14ac:dyDescent="0.2">
      <c r="A262" s="79">
        <v>13</v>
      </c>
      <c r="B262" s="44"/>
      <c r="C262" s="85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>
        <f t="shared" si="77"/>
        <v>0</v>
      </c>
      <c r="S262" s="142"/>
      <c r="T262" s="142"/>
      <c r="U262" s="142"/>
      <c r="V262" s="142"/>
      <c r="W262" s="142"/>
      <c r="X262" s="148">
        <f t="shared" si="74"/>
        <v>0</v>
      </c>
      <c r="Y262" s="226">
        <f t="shared" si="75"/>
        <v>0</v>
      </c>
      <c r="Z262" s="316"/>
      <c r="AA262" s="341"/>
    </row>
    <row r="263" spans="1:27" ht="24.95" hidden="1" customHeight="1" x14ac:dyDescent="0.2">
      <c r="A263" s="79">
        <v>14</v>
      </c>
      <c r="B263" s="44"/>
      <c r="C263" s="27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>
        <f t="shared" si="77"/>
        <v>0</v>
      </c>
      <c r="S263" s="142"/>
      <c r="T263" s="142"/>
      <c r="U263" s="142"/>
      <c r="V263" s="142"/>
      <c r="W263" s="142"/>
      <c r="X263" s="148">
        <f t="shared" si="74"/>
        <v>0</v>
      </c>
      <c r="Y263" s="226">
        <f t="shared" si="75"/>
        <v>0</v>
      </c>
      <c r="Z263" s="316"/>
      <c r="AA263" s="341"/>
    </row>
    <row r="264" spans="1:27" ht="24.95" hidden="1" customHeight="1" x14ac:dyDescent="0.2">
      <c r="A264" s="79">
        <v>15</v>
      </c>
      <c r="B264" s="44"/>
      <c r="C264" s="27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>
        <f t="shared" si="77"/>
        <v>0</v>
      </c>
      <c r="S264" s="142"/>
      <c r="T264" s="142"/>
      <c r="U264" s="142"/>
      <c r="V264" s="142"/>
      <c r="W264" s="142"/>
      <c r="X264" s="148">
        <f t="shared" si="74"/>
        <v>0</v>
      </c>
      <c r="Y264" s="226">
        <f t="shared" si="75"/>
        <v>0</v>
      </c>
      <c r="Z264" s="316"/>
      <c r="AA264" s="341"/>
    </row>
    <row r="265" spans="1:27" ht="24.95" hidden="1" customHeight="1" x14ac:dyDescent="0.2">
      <c r="A265" s="79">
        <v>16</v>
      </c>
      <c r="B265" s="44"/>
      <c r="C265" s="27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>
        <f t="shared" si="77"/>
        <v>0</v>
      </c>
      <c r="S265" s="142"/>
      <c r="T265" s="142"/>
      <c r="U265" s="142"/>
      <c r="V265" s="142"/>
      <c r="W265" s="142"/>
      <c r="X265" s="148">
        <f t="shared" si="74"/>
        <v>0</v>
      </c>
      <c r="Y265" s="226">
        <f t="shared" si="75"/>
        <v>0</v>
      </c>
      <c r="Z265" s="316"/>
      <c r="AA265" s="341"/>
    </row>
    <row r="266" spans="1:27" ht="24.95" hidden="1" customHeight="1" x14ac:dyDescent="0.2">
      <c r="A266" s="79">
        <v>17</v>
      </c>
      <c r="B266" s="44"/>
      <c r="C266" s="3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>
        <f t="shared" si="77"/>
        <v>0</v>
      </c>
      <c r="S266" s="142"/>
      <c r="T266" s="142"/>
      <c r="U266" s="142"/>
      <c r="V266" s="142"/>
      <c r="W266" s="142"/>
      <c r="X266" s="148">
        <f t="shared" si="74"/>
        <v>0</v>
      </c>
      <c r="Y266" s="226">
        <f t="shared" si="75"/>
        <v>0</v>
      </c>
      <c r="Z266" s="316"/>
      <c r="AA266" s="341"/>
    </row>
    <row r="267" spans="1:27" ht="24.95" hidden="1" customHeight="1" x14ac:dyDescent="0.2">
      <c r="A267" s="79">
        <v>18</v>
      </c>
      <c r="B267" s="44"/>
      <c r="C267" s="27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>
        <f t="shared" si="77"/>
        <v>0</v>
      </c>
      <c r="S267" s="142"/>
      <c r="T267" s="142"/>
      <c r="U267" s="142"/>
      <c r="V267" s="142"/>
      <c r="W267" s="142"/>
      <c r="X267" s="148">
        <f t="shared" si="74"/>
        <v>0</v>
      </c>
      <c r="Y267" s="226">
        <f t="shared" si="75"/>
        <v>0</v>
      </c>
      <c r="Z267" s="316"/>
      <c r="AA267" s="341"/>
    </row>
    <row r="268" spans="1:27" ht="24.95" hidden="1" customHeight="1" x14ac:dyDescent="0.2">
      <c r="A268" s="79">
        <v>19</v>
      </c>
      <c r="B268" s="44"/>
      <c r="C268" s="3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>
        <f t="shared" si="77"/>
        <v>0</v>
      </c>
      <c r="S268" s="142"/>
      <c r="T268" s="142"/>
      <c r="U268" s="142"/>
      <c r="V268" s="142"/>
      <c r="W268" s="142"/>
      <c r="X268" s="148">
        <f t="shared" si="74"/>
        <v>0</v>
      </c>
      <c r="Y268" s="226">
        <f t="shared" si="75"/>
        <v>0</v>
      </c>
      <c r="Z268" s="316"/>
      <c r="AA268" s="341"/>
    </row>
    <row r="269" spans="1:27" ht="24.95" hidden="1" customHeight="1" x14ac:dyDescent="0.2">
      <c r="A269" s="79">
        <v>20</v>
      </c>
      <c r="B269" s="44"/>
      <c r="C269" s="32"/>
      <c r="D269" s="142"/>
      <c r="E269" s="142"/>
      <c r="F269" s="142"/>
      <c r="G269" s="142"/>
      <c r="H269" s="142"/>
      <c r="I269" s="142"/>
      <c r="K269" s="142"/>
      <c r="L269" s="142"/>
      <c r="M269" s="142"/>
      <c r="N269" s="142"/>
      <c r="P269" s="142"/>
      <c r="Q269" s="142"/>
      <c r="R269" s="142">
        <f>SUM(D269:Q269)</f>
        <v>0</v>
      </c>
      <c r="S269" s="142"/>
      <c r="T269" s="142"/>
      <c r="U269" s="142"/>
      <c r="V269" s="142"/>
      <c r="W269" s="142"/>
      <c r="X269" s="148">
        <f t="shared" si="74"/>
        <v>0</v>
      </c>
      <c r="Y269" s="226">
        <f t="shared" si="75"/>
        <v>0</v>
      </c>
      <c r="Z269" s="316"/>
      <c r="AA269" s="341"/>
    </row>
    <row r="270" spans="1:27" ht="24.95" hidden="1" customHeight="1" x14ac:dyDescent="0.2">
      <c r="A270" s="79">
        <v>21</v>
      </c>
      <c r="B270" s="44"/>
      <c r="C270" s="27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>
        <f t="shared" si="77"/>
        <v>0</v>
      </c>
      <c r="S270" s="142"/>
      <c r="T270" s="142"/>
      <c r="U270" s="142"/>
      <c r="V270" s="142"/>
      <c r="W270" s="142"/>
      <c r="X270" s="148">
        <f t="shared" si="74"/>
        <v>0</v>
      </c>
      <c r="Y270" s="226">
        <f t="shared" si="75"/>
        <v>0</v>
      </c>
      <c r="Z270" s="316"/>
      <c r="AA270" s="341"/>
    </row>
    <row r="271" spans="1:27" ht="24.95" hidden="1" customHeight="1" x14ac:dyDescent="0.2">
      <c r="A271" s="79">
        <v>22</v>
      </c>
      <c r="B271" s="44"/>
      <c r="C271" s="27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>
        <f t="shared" si="77"/>
        <v>0</v>
      </c>
      <c r="S271" s="142"/>
      <c r="T271" s="142"/>
      <c r="U271" s="142"/>
      <c r="V271" s="142"/>
      <c r="W271" s="142"/>
      <c r="X271" s="148">
        <f t="shared" si="74"/>
        <v>0</v>
      </c>
      <c r="Y271" s="226">
        <f t="shared" si="75"/>
        <v>0</v>
      </c>
      <c r="Z271" s="316"/>
      <c r="AA271" s="341"/>
    </row>
    <row r="272" spans="1:27" ht="24.95" hidden="1" customHeight="1" x14ac:dyDescent="0.2">
      <c r="A272" s="79">
        <v>23</v>
      </c>
      <c r="B272" s="44"/>
      <c r="C272" s="3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>
        <f t="shared" si="77"/>
        <v>0</v>
      </c>
      <c r="S272" s="142"/>
      <c r="T272" s="142"/>
      <c r="U272" s="142"/>
      <c r="V272" s="142"/>
      <c r="W272" s="142"/>
      <c r="X272" s="148">
        <f t="shared" si="74"/>
        <v>0</v>
      </c>
      <c r="Y272" s="226">
        <f t="shared" si="75"/>
        <v>0</v>
      </c>
      <c r="Z272" s="316"/>
      <c r="AA272" s="341"/>
    </row>
    <row r="273" spans="1:27" ht="24.95" hidden="1" customHeight="1" x14ac:dyDescent="0.2">
      <c r="A273" s="79">
        <v>24</v>
      </c>
      <c r="B273" s="44"/>
      <c r="C273" s="3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>
        <f t="shared" si="77"/>
        <v>0</v>
      </c>
      <c r="S273" s="142"/>
      <c r="T273" s="142"/>
      <c r="U273" s="142"/>
      <c r="V273" s="142"/>
      <c r="W273" s="142"/>
      <c r="X273" s="148">
        <f t="shared" si="74"/>
        <v>0</v>
      </c>
      <c r="Y273" s="226">
        <f t="shared" si="75"/>
        <v>0</v>
      </c>
      <c r="Z273" s="316"/>
      <c r="AA273" s="341"/>
    </row>
    <row r="274" spans="1:27" ht="24.95" hidden="1" customHeight="1" x14ac:dyDescent="0.2">
      <c r="A274" s="79">
        <v>25</v>
      </c>
      <c r="B274" s="514"/>
      <c r="C274" s="27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>
        <f t="shared" si="77"/>
        <v>0</v>
      </c>
      <c r="S274" s="142"/>
      <c r="T274" s="142"/>
      <c r="U274" s="142"/>
      <c r="V274" s="142"/>
      <c r="W274" s="142"/>
      <c r="X274" s="148">
        <f t="shared" si="74"/>
        <v>0</v>
      </c>
      <c r="Y274" s="226">
        <f t="shared" si="75"/>
        <v>0</v>
      </c>
      <c r="Z274" s="316"/>
      <c r="AA274" s="341"/>
    </row>
    <row r="275" spans="1:27" ht="24.95" hidden="1" customHeight="1" x14ac:dyDescent="0.2">
      <c r="A275" s="79">
        <v>26</v>
      </c>
      <c r="B275" s="44"/>
      <c r="C275" s="3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>
        <f t="shared" si="77"/>
        <v>0</v>
      </c>
      <c r="S275" s="142"/>
      <c r="T275" s="142"/>
      <c r="U275" s="142"/>
      <c r="V275" s="142"/>
      <c r="W275" s="142"/>
      <c r="X275" s="148">
        <f t="shared" si="74"/>
        <v>0</v>
      </c>
      <c r="Y275" s="226">
        <f t="shared" si="75"/>
        <v>0</v>
      </c>
      <c r="Z275" s="316"/>
      <c r="AA275" s="341"/>
    </row>
    <row r="276" spans="1:27" ht="24.95" hidden="1" customHeight="1" x14ac:dyDescent="0.2">
      <c r="A276" s="79">
        <v>27</v>
      </c>
      <c r="B276" s="29"/>
      <c r="C276" s="27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>
        <f t="shared" si="77"/>
        <v>0</v>
      </c>
      <c r="S276" s="142"/>
      <c r="T276" s="142"/>
      <c r="U276" s="142"/>
      <c r="V276" s="142"/>
      <c r="W276" s="142"/>
      <c r="X276" s="148">
        <f t="shared" si="74"/>
        <v>0</v>
      </c>
      <c r="Y276" s="226">
        <f t="shared" si="75"/>
        <v>0</v>
      </c>
      <c r="Z276" s="316"/>
      <c r="AA276" s="341"/>
    </row>
    <row r="277" spans="1:27" ht="24.95" hidden="1" customHeight="1" x14ac:dyDescent="0.2">
      <c r="A277" s="79">
        <v>28</v>
      </c>
      <c r="B277" s="44"/>
      <c r="C277" s="27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>
        <f t="shared" si="77"/>
        <v>0</v>
      </c>
      <c r="S277" s="142"/>
      <c r="T277" s="142"/>
      <c r="U277" s="142"/>
      <c r="V277" s="142"/>
      <c r="W277" s="142"/>
      <c r="X277" s="148">
        <f t="shared" si="74"/>
        <v>0</v>
      </c>
      <c r="Y277" s="226">
        <f t="shared" si="75"/>
        <v>0</v>
      </c>
      <c r="Z277" s="316"/>
      <c r="AA277" s="341"/>
    </row>
    <row r="278" spans="1:27" ht="24.95" hidden="1" customHeight="1" x14ac:dyDescent="0.2">
      <c r="A278" s="79">
        <v>29</v>
      </c>
      <c r="B278" s="44"/>
      <c r="C278" s="27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>
        <f t="shared" si="77"/>
        <v>0</v>
      </c>
      <c r="S278" s="142"/>
      <c r="T278" s="142"/>
      <c r="U278" s="142"/>
      <c r="V278" s="142"/>
      <c r="W278" s="142"/>
      <c r="X278" s="148">
        <f t="shared" si="74"/>
        <v>0</v>
      </c>
      <c r="Y278" s="226">
        <f t="shared" si="75"/>
        <v>0</v>
      </c>
      <c r="Z278" s="316"/>
      <c r="AA278" s="341"/>
    </row>
    <row r="279" spans="1:27" ht="24.95" hidden="1" customHeight="1" x14ac:dyDescent="0.2">
      <c r="A279" s="79">
        <v>30</v>
      </c>
      <c r="B279" s="217"/>
      <c r="C279" s="27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>
        <f t="shared" si="77"/>
        <v>0</v>
      </c>
      <c r="S279" s="142"/>
      <c r="T279" s="142"/>
      <c r="U279" s="142"/>
      <c r="V279" s="142"/>
      <c r="W279" s="142"/>
      <c r="X279" s="148">
        <f t="shared" si="74"/>
        <v>0</v>
      </c>
      <c r="Y279" s="226">
        <f t="shared" si="75"/>
        <v>0</v>
      </c>
      <c r="Z279" s="316"/>
      <c r="AA279" s="341"/>
    </row>
    <row r="280" spans="1:27" ht="24.95" hidden="1" customHeight="1" x14ac:dyDescent="0.2">
      <c r="A280" s="79">
        <v>31</v>
      </c>
      <c r="B280" s="217"/>
      <c r="C280" s="27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>
        <f t="shared" si="77"/>
        <v>0</v>
      </c>
      <c r="S280" s="142"/>
      <c r="T280" s="142"/>
      <c r="U280" s="142"/>
      <c r="V280" s="142"/>
      <c r="W280" s="142"/>
      <c r="X280" s="148">
        <f t="shared" si="74"/>
        <v>0</v>
      </c>
      <c r="Y280" s="226">
        <f t="shared" si="75"/>
        <v>0</v>
      </c>
      <c r="Z280" s="316"/>
      <c r="AA280" s="341"/>
    </row>
    <row r="281" spans="1:27" ht="24.95" hidden="1" customHeight="1" x14ac:dyDescent="0.2">
      <c r="A281" s="79">
        <v>32</v>
      </c>
      <c r="B281" s="29"/>
      <c r="C281" s="85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>
        <f t="shared" si="77"/>
        <v>0</v>
      </c>
      <c r="S281" s="142"/>
      <c r="T281" s="142"/>
      <c r="U281" s="142"/>
      <c r="V281" s="142"/>
      <c r="W281" s="142"/>
      <c r="X281" s="148">
        <f t="shared" si="74"/>
        <v>0</v>
      </c>
      <c r="Y281" s="226">
        <f t="shared" si="75"/>
        <v>0</v>
      </c>
      <c r="Z281" s="316"/>
      <c r="AA281" s="341"/>
    </row>
    <row r="282" spans="1:27" ht="24.95" hidden="1" customHeight="1" x14ac:dyDescent="0.2">
      <c r="A282" s="79">
        <v>33</v>
      </c>
      <c r="B282" s="29"/>
      <c r="C282" s="27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>
        <f t="shared" si="77"/>
        <v>0</v>
      </c>
      <c r="S282" s="142"/>
      <c r="T282" s="142"/>
      <c r="U282" s="142"/>
      <c r="V282" s="142"/>
      <c r="W282" s="142"/>
      <c r="X282" s="148">
        <f t="shared" si="74"/>
        <v>0</v>
      </c>
      <c r="Y282" s="226">
        <f t="shared" si="75"/>
        <v>0</v>
      </c>
      <c r="Z282" s="316"/>
      <c r="AA282" s="341"/>
    </row>
    <row r="283" spans="1:27" ht="24.95" hidden="1" customHeight="1" x14ac:dyDescent="0.2">
      <c r="A283" s="79">
        <v>34</v>
      </c>
      <c r="B283" s="217"/>
      <c r="C283" s="27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>
        <f t="shared" si="77"/>
        <v>0</v>
      </c>
      <c r="S283" s="142"/>
      <c r="T283" s="142"/>
      <c r="U283" s="142"/>
      <c r="V283" s="142"/>
      <c r="W283" s="142"/>
      <c r="X283" s="148">
        <f t="shared" si="74"/>
        <v>0</v>
      </c>
      <c r="Y283" s="226">
        <f t="shared" si="75"/>
        <v>0</v>
      </c>
      <c r="Z283" s="316"/>
      <c r="AA283" s="341"/>
    </row>
    <row r="284" spans="1:27" ht="24.95" hidden="1" customHeight="1" x14ac:dyDescent="0.2">
      <c r="A284" s="79">
        <v>35</v>
      </c>
      <c r="B284" s="29"/>
      <c r="C284" s="27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>
        <f t="shared" si="77"/>
        <v>0</v>
      </c>
      <c r="S284" s="142"/>
      <c r="T284" s="142"/>
      <c r="U284" s="142"/>
      <c r="V284" s="142"/>
      <c r="W284" s="142"/>
      <c r="X284" s="148">
        <f t="shared" si="74"/>
        <v>0</v>
      </c>
      <c r="Y284" s="226">
        <f t="shared" si="75"/>
        <v>0</v>
      </c>
      <c r="Z284" s="316"/>
      <c r="AA284" s="341"/>
    </row>
    <row r="285" spans="1:27" ht="24.95" hidden="1" customHeight="1" x14ac:dyDescent="0.2">
      <c r="A285" s="79">
        <v>36</v>
      </c>
      <c r="B285" s="29"/>
      <c r="C285" s="27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>
        <f t="shared" si="77"/>
        <v>0</v>
      </c>
      <c r="S285" s="142"/>
      <c r="T285" s="142"/>
      <c r="U285" s="142"/>
      <c r="V285" s="142"/>
      <c r="W285" s="142"/>
      <c r="X285" s="148">
        <f t="shared" si="74"/>
        <v>0</v>
      </c>
      <c r="Y285" s="226">
        <f t="shared" si="75"/>
        <v>0</v>
      </c>
      <c r="Z285" s="316"/>
      <c r="AA285" s="341"/>
    </row>
    <row r="286" spans="1:27" ht="24.95" hidden="1" customHeight="1" x14ac:dyDescent="0.2">
      <c r="A286" s="79">
        <v>37</v>
      </c>
      <c r="B286" s="29"/>
      <c r="C286" s="27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>
        <f t="shared" si="77"/>
        <v>0</v>
      </c>
      <c r="S286" s="142"/>
      <c r="T286" s="142"/>
      <c r="U286" s="142"/>
      <c r="V286" s="142"/>
      <c r="W286" s="142"/>
      <c r="X286" s="148">
        <f t="shared" si="74"/>
        <v>0</v>
      </c>
      <c r="Y286" s="226">
        <f t="shared" si="75"/>
        <v>0</v>
      </c>
      <c r="Z286" s="316"/>
      <c r="AA286" s="341"/>
    </row>
    <row r="287" spans="1:27" ht="24.95" hidden="1" customHeight="1" x14ac:dyDescent="0.2">
      <c r="A287" s="79">
        <v>38</v>
      </c>
      <c r="B287" s="29"/>
      <c r="C287" s="27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>
        <f t="shared" si="77"/>
        <v>0</v>
      </c>
      <c r="S287" s="142"/>
      <c r="T287" s="142"/>
      <c r="U287" s="142"/>
      <c r="V287" s="142"/>
      <c r="W287" s="142"/>
      <c r="X287" s="148">
        <f t="shared" si="74"/>
        <v>0</v>
      </c>
      <c r="Y287" s="226">
        <f t="shared" si="75"/>
        <v>0</v>
      </c>
      <c r="Z287" s="316"/>
      <c r="AA287" s="341"/>
    </row>
    <row r="288" spans="1:27" ht="24.95" hidden="1" customHeight="1" x14ac:dyDescent="0.2">
      <c r="A288" s="79">
        <v>39</v>
      </c>
      <c r="B288" s="29"/>
      <c r="C288" s="27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>
        <f t="shared" si="77"/>
        <v>0</v>
      </c>
      <c r="S288" s="142"/>
      <c r="T288" s="142"/>
      <c r="U288" s="142"/>
      <c r="V288" s="142"/>
      <c r="W288" s="142"/>
      <c r="X288" s="148">
        <f t="shared" si="74"/>
        <v>0</v>
      </c>
      <c r="Y288" s="226">
        <f t="shared" si="75"/>
        <v>0</v>
      </c>
      <c r="Z288" s="316"/>
      <c r="AA288" s="341"/>
    </row>
    <row r="289" spans="1:27" ht="24.95" hidden="1" customHeight="1" x14ac:dyDescent="0.2">
      <c r="A289" s="79">
        <v>40</v>
      </c>
      <c r="B289" s="29"/>
      <c r="C289" s="27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>
        <f t="shared" si="77"/>
        <v>0</v>
      </c>
      <c r="S289" s="142"/>
      <c r="T289" s="142"/>
      <c r="U289" s="142"/>
      <c r="V289" s="142"/>
      <c r="W289" s="142"/>
      <c r="X289" s="148">
        <f t="shared" si="74"/>
        <v>0</v>
      </c>
      <c r="Y289" s="226">
        <f t="shared" si="75"/>
        <v>0</v>
      </c>
      <c r="Z289" s="316"/>
      <c r="AA289" s="341"/>
    </row>
    <row r="290" spans="1:27" ht="24.95" hidden="1" customHeight="1" x14ac:dyDescent="0.2">
      <c r="A290" s="79">
        <v>41</v>
      </c>
      <c r="B290" s="217"/>
      <c r="C290" s="27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>
        <f t="shared" si="77"/>
        <v>0</v>
      </c>
      <c r="S290" s="142"/>
      <c r="T290" s="142"/>
      <c r="U290" s="142"/>
      <c r="V290" s="142"/>
      <c r="W290" s="142"/>
      <c r="X290" s="148">
        <f t="shared" si="74"/>
        <v>0</v>
      </c>
      <c r="Y290" s="226">
        <f t="shared" si="75"/>
        <v>0</v>
      </c>
      <c r="Z290" s="316"/>
      <c r="AA290" s="341"/>
    </row>
    <row r="291" spans="1:27" ht="24.95" hidden="1" customHeight="1" x14ac:dyDescent="0.2">
      <c r="A291" s="79">
        <v>42</v>
      </c>
      <c r="B291" s="29"/>
      <c r="C291" s="27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>
        <f t="shared" si="77"/>
        <v>0</v>
      </c>
      <c r="S291" s="142"/>
      <c r="T291" s="142"/>
      <c r="U291" s="142"/>
      <c r="V291" s="142"/>
      <c r="W291" s="142"/>
      <c r="X291" s="148">
        <f t="shared" si="74"/>
        <v>0</v>
      </c>
      <c r="Y291" s="226">
        <f t="shared" si="75"/>
        <v>0</v>
      </c>
      <c r="Z291" s="316"/>
      <c r="AA291" s="341"/>
    </row>
    <row r="292" spans="1:27" ht="24.95" hidden="1" customHeight="1" x14ac:dyDescent="0.2">
      <c r="A292" s="79">
        <v>43</v>
      </c>
      <c r="B292" s="515"/>
      <c r="C292" s="27"/>
      <c r="D292" s="142"/>
      <c r="E292" s="142"/>
      <c r="F292" s="142"/>
      <c r="G292" s="142"/>
      <c r="H292" s="142"/>
      <c r="I292" s="142"/>
      <c r="J292" s="343"/>
      <c r="K292" s="142"/>
      <c r="L292" s="142"/>
      <c r="M292" s="142"/>
      <c r="N292" s="142"/>
      <c r="O292" s="142"/>
      <c r="P292" s="142"/>
      <c r="Q292" s="142"/>
      <c r="R292" s="142">
        <f t="shared" si="77"/>
        <v>0</v>
      </c>
      <c r="S292" s="142"/>
      <c r="T292" s="142"/>
      <c r="U292" s="142"/>
      <c r="V292" s="142"/>
      <c r="W292" s="142"/>
      <c r="X292" s="148">
        <f t="shared" si="74"/>
        <v>0</v>
      </c>
      <c r="Y292" s="226">
        <f t="shared" si="75"/>
        <v>0</v>
      </c>
      <c r="Z292" s="316"/>
      <c r="AA292" s="341"/>
    </row>
    <row r="293" spans="1:27" ht="24.95" hidden="1" customHeight="1" x14ac:dyDescent="0.2">
      <c r="A293" s="79">
        <v>44</v>
      </c>
      <c r="B293" s="29"/>
      <c r="C293" s="27"/>
      <c r="D293" s="142"/>
      <c r="E293" s="142"/>
      <c r="F293" s="142"/>
      <c r="G293" s="142"/>
      <c r="H293" s="142"/>
      <c r="I293" s="142"/>
      <c r="K293" s="142"/>
      <c r="L293" s="142"/>
      <c r="M293" s="142"/>
      <c r="N293" s="142"/>
      <c r="O293" s="142"/>
      <c r="P293" s="142"/>
      <c r="Q293" s="142"/>
      <c r="R293" s="142">
        <f t="shared" si="77"/>
        <v>0</v>
      </c>
      <c r="S293" s="142"/>
      <c r="T293" s="142"/>
      <c r="U293" s="142"/>
      <c r="V293" s="142"/>
      <c r="W293" s="142"/>
      <c r="X293" s="148">
        <f t="shared" si="74"/>
        <v>0</v>
      </c>
      <c r="Y293" s="226">
        <f t="shared" si="75"/>
        <v>0</v>
      </c>
      <c r="Z293" s="316"/>
      <c r="AA293" s="341"/>
    </row>
    <row r="294" spans="1:27" ht="24.95" hidden="1" customHeight="1" x14ac:dyDescent="0.2">
      <c r="A294" s="79">
        <v>45</v>
      </c>
      <c r="B294" s="29"/>
      <c r="C294" s="27"/>
      <c r="D294" s="142"/>
      <c r="E294" s="142"/>
      <c r="F294" s="142"/>
      <c r="G294" s="142"/>
      <c r="H294" s="142"/>
      <c r="I294" s="142"/>
      <c r="K294" s="142"/>
      <c r="L294" s="142"/>
      <c r="M294" s="142"/>
      <c r="N294" s="142"/>
      <c r="O294" s="142"/>
      <c r="P294" s="142"/>
      <c r="Q294" s="142"/>
      <c r="R294" s="142">
        <f t="shared" si="77"/>
        <v>0</v>
      </c>
      <c r="S294" s="142"/>
      <c r="T294" s="142"/>
      <c r="U294" s="142"/>
      <c r="V294" s="142"/>
      <c r="W294" s="142"/>
      <c r="X294" s="148">
        <f t="shared" si="74"/>
        <v>0</v>
      </c>
      <c r="Y294" s="226">
        <f t="shared" si="75"/>
        <v>0</v>
      </c>
      <c r="Z294" s="316"/>
      <c r="AA294" s="341"/>
    </row>
    <row r="295" spans="1:27" ht="24.95" hidden="1" customHeight="1" x14ac:dyDescent="0.2">
      <c r="A295" s="79">
        <v>46</v>
      </c>
      <c r="B295" s="29"/>
      <c r="C295" s="27"/>
      <c r="D295" s="142"/>
      <c r="E295" s="142"/>
      <c r="F295" s="142"/>
      <c r="G295" s="142"/>
      <c r="H295" s="142"/>
      <c r="I295" s="142"/>
      <c r="K295" s="142"/>
      <c r="L295" s="142"/>
      <c r="M295" s="142"/>
      <c r="N295" s="142"/>
      <c r="O295" s="142"/>
      <c r="P295" s="142"/>
      <c r="Q295" s="142"/>
      <c r="R295" s="142">
        <f t="shared" si="77"/>
        <v>0</v>
      </c>
      <c r="S295" s="142"/>
      <c r="T295" s="142"/>
      <c r="U295" s="142"/>
      <c r="V295" s="142"/>
      <c r="W295" s="142"/>
      <c r="X295" s="148">
        <f t="shared" si="74"/>
        <v>0</v>
      </c>
      <c r="Y295" s="226">
        <f t="shared" si="75"/>
        <v>0</v>
      </c>
      <c r="Z295" s="316"/>
      <c r="AA295" s="341"/>
    </row>
    <row r="296" spans="1:27" ht="24.95" hidden="1" customHeight="1" x14ac:dyDescent="0.2">
      <c r="A296" s="79">
        <v>47</v>
      </c>
      <c r="B296" s="29"/>
      <c r="C296" s="27"/>
      <c r="D296" s="142"/>
      <c r="E296" s="142"/>
      <c r="F296" s="142"/>
      <c r="G296" s="142"/>
      <c r="H296" s="142"/>
      <c r="I296" s="142"/>
      <c r="K296" s="142"/>
      <c r="L296" s="142"/>
      <c r="M296" s="142"/>
      <c r="N296" s="142"/>
      <c r="O296" s="142"/>
      <c r="P296" s="142"/>
      <c r="Q296" s="142"/>
      <c r="R296" s="142">
        <f t="shared" si="77"/>
        <v>0</v>
      </c>
      <c r="S296" s="142"/>
      <c r="T296" s="142"/>
      <c r="U296" s="142"/>
      <c r="V296" s="142"/>
      <c r="W296" s="142"/>
      <c r="X296" s="148">
        <f t="shared" si="74"/>
        <v>0</v>
      </c>
      <c r="Y296" s="226">
        <f t="shared" si="75"/>
        <v>0</v>
      </c>
      <c r="Z296" s="316"/>
      <c r="AA296" s="341"/>
    </row>
    <row r="297" spans="1:27" ht="24.95" hidden="1" customHeight="1" x14ac:dyDescent="0.2">
      <c r="A297" s="79">
        <v>48</v>
      </c>
      <c r="B297" s="29"/>
      <c r="C297" s="27"/>
      <c r="D297" s="142"/>
      <c r="E297" s="142"/>
      <c r="F297" s="142"/>
      <c r="G297" s="142"/>
      <c r="H297" s="142"/>
      <c r="I297" s="142"/>
      <c r="K297" s="142"/>
      <c r="L297" s="142"/>
      <c r="M297" s="142"/>
      <c r="N297" s="142"/>
      <c r="O297" s="142"/>
      <c r="P297" s="142"/>
      <c r="Q297" s="142"/>
      <c r="R297" s="142">
        <f t="shared" si="77"/>
        <v>0</v>
      </c>
      <c r="S297" s="142"/>
      <c r="T297" s="142"/>
      <c r="U297" s="142"/>
      <c r="V297" s="142"/>
      <c r="W297" s="142"/>
      <c r="X297" s="148">
        <f t="shared" si="74"/>
        <v>0</v>
      </c>
      <c r="Y297" s="226">
        <f t="shared" si="75"/>
        <v>0</v>
      </c>
      <c r="Z297" s="316"/>
      <c r="AA297" s="341"/>
    </row>
    <row r="298" spans="1:27" ht="24.95" hidden="1" customHeight="1" x14ac:dyDescent="0.2">
      <c r="A298" s="79">
        <v>49</v>
      </c>
      <c r="B298" s="29"/>
      <c r="C298" s="27"/>
      <c r="D298" s="142"/>
      <c r="E298" s="142"/>
      <c r="F298" s="142"/>
      <c r="G298" s="142"/>
      <c r="H298" s="142"/>
      <c r="I298" s="142"/>
      <c r="K298" s="142"/>
      <c r="L298" s="142"/>
      <c r="M298" s="142"/>
      <c r="N298" s="142"/>
      <c r="O298" s="142"/>
      <c r="P298" s="142"/>
      <c r="Q298" s="142"/>
      <c r="R298" s="142">
        <f t="shared" si="77"/>
        <v>0</v>
      </c>
      <c r="S298" s="142"/>
      <c r="T298" s="142"/>
      <c r="U298" s="142"/>
      <c r="V298" s="142"/>
      <c r="W298" s="142"/>
      <c r="X298" s="148">
        <f t="shared" si="74"/>
        <v>0</v>
      </c>
      <c r="Y298" s="226">
        <f t="shared" si="75"/>
        <v>0</v>
      </c>
      <c r="Z298" s="316"/>
      <c r="AA298" s="341"/>
    </row>
    <row r="299" spans="1:27" ht="24.95" hidden="1" customHeight="1" x14ac:dyDescent="0.2">
      <c r="A299" s="79">
        <v>50</v>
      </c>
      <c r="B299" s="29"/>
      <c r="C299" s="27"/>
      <c r="D299" s="142"/>
      <c r="E299" s="142"/>
      <c r="F299" s="142"/>
      <c r="G299" s="142"/>
      <c r="H299" s="142"/>
      <c r="I299" s="142"/>
      <c r="K299" s="142"/>
      <c r="L299" s="142"/>
      <c r="M299" s="142"/>
      <c r="N299" s="142"/>
      <c r="O299" s="142"/>
      <c r="P299" s="142"/>
      <c r="Q299" s="142"/>
      <c r="R299" s="142">
        <f t="shared" si="77"/>
        <v>0</v>
      </c>
      <c r="S299" s="142"/>
      <c r="T299" s="142"/>
      <c r="U299" s="142"/>
      <c r="V299" s="142"/>
      <c r="W299" s="142"/>
      <c r="X299" s="148">
        <f t="shared" si="74"/>
        <v>0</v>
      </c>
      <c r="Y299" s="226">
        <f t="shared" si="75"/>
        <v>0</v>
      </c>
      <c r="Z299" s="316"/>
      <c r="AA299" s="341"/>
    </row>
    <row r="300" spans="1:27" ht="24.95" hidden="1" customHeight="1" x14ac:dyDescent="0.2">
      <c r="A300" s="79">
        <v>51</v>
      </c>
      <c r="B300" s="515"/>
      <c r="C300" s="27"/>
      <c r="D300" s="142"/>
      <c r="E300" s="142"/>
      <c r="F300" s="142"/>
      <c r="G300" s="142"/>
      <c r="H300" s="142"/>
      <c r="I300" s="142"/>
      <c r="K300" s="142"/>
      <c r="L300" s="142"/>
      <c r="M300" s="142"/>
      <c r="N300" s="142"/>
      <c r="O300" s="142"/>
      <c r="P300" s="142"/>
      <c r="Q300" s="142"/>
      <c r="R300" s="142">
        <f t="shared" si="77"/>
        <v>0</v>
      </c>
      <c r="S300" s="142"/>
      <c r="T300" s="142"/>
      <c r="U300" s="142"/>
      <c r="V300" s="142"/>
      <c r="W300" s="142"/>
      <c r="X300" s="148">
        <f>SUM(T300:W300)</f>
        <v>0</v>
      </c>
      <c r="Y300" s="226">
        <f>R300+X300</f>
        <v>0</v>
      </c>
      <c r="Z300" s="316"/>
      <c r="AA300" s="341"/>
    </row>
    <row r="301" spans="1:27" ht="24.95" hidden="1" customHeight="1" x14ac:dyDescent="0.2">
      <c r="A301" s="79">
        <v>52</v>
      </c>
      <c r="B301" s="29"/>
      <c r="C301" s="27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>
        <f t="shared" si="77"/>
        <v>0</v>
      </c>
      <c r="S301" s="142"/>
      <c r="T301" s="142"/>
      <c r="U301" s="142"/>
      <c r="V301" s="142"/>
      <c r="W301" s="142"/>
      <c r="X301" s="148">
        <f t="shared" si="74"/>
        <v>0</v>
      </c>
      <c r="Y301" s="226">
        <f t="shared" si="75"/>
        <v>0</v>
      </c>
      <c r="Z301" s="316"/>
      <c r="AA301" s="341"/>
    </row>
    <row r="302" spans="1:27" ht="24.95" hidden="1" customHeight="1" x14ac:dyDescent="0.2">
      <c r="A302" s="79">
        <v>53</v>
      </c>
      <c r="B302" s="29"/>
      <c r="C302" s="27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>
        <f t="shared" si="77"/>
        <v>0</v>
      </c>
      <c r="S302" s="142"/>
      <c r="T302" s="142"/>
      <c r="U302" s="142"/>
      <c r="V302" s="142"/>
      <c r="W302" s="142"/>
      <c r="X302" s="148">
        <f t="shared" si="74"/>
        <v>0</v>
      </c>
      <c r="Y302" s="226">
        <f t="shared" si="75"/>
        <v>0</v>
      </c>
      <c r="Z302" s="316"/>
      <c r="AA302" s="341"/>
    </row>
    <row r="303" spans="1:27" ht="24.95" hidden="1" customHeight="1" x14ac:dyDescent="0.2">
      <c r="A303" s="79">
        <v>54</v>
      </c>
      <c r="B303" s="29"/>
      <c r="C303" s="27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>
        <f t="shared" si="77"/>
        <v>0</v>
      </c>
      <c r="S303" s="142"/>
      <c r="T303" s="142"/>
      <c r="U303" s="142"/>
      <c r="V303" s="142"/>
      <c r="W303" s="142"/>
      <c r="X303" s="148">
        <f t="shared" si="74"/>
        <v>0</v>
      </c>
      <c r="Y303" s="226">
        <f t="shared" si="75"/>
        <v>0</v>
      </c>
      <c r="Z303" s="316"/>
      <c r="AA303" s="341"/>
    </row>
    <row r="304" spans="1:27" ht="24.95" hidden="1" customHeight="1" x14ac:dyDescent="0.2">
      <c r="A304" s="79">
        <v>55</v>
      </c>
      <c r="B304" s="29"/>
      <c r="C304" s="27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>
        <f t="shared" si="77"/>
        <v>0</v>
      </c>
      <c r="S304" s="142"/>
      <c r="T304" s="142"/>
      <c r="U304" s="142"/>
      <c r="V304" s="142"/>
      <c r="W304" s="142"/>
      <c r="X304" s="148">
        <f t="shared" si="74"/>
        <v>0</v>
      </c>
      <c r="Y304" s="226">
        <f t="shared" si="75"/>
        <v>0</v>
      </c>
      <c r="Z304" s="316"/>
      <c r="AA304" s="341"/>
    </row>
    <row r="305" spans="1:27" ht="24.95" hidden="1" customHeight="1" x14ac:dyDescent="0.2">
      <c r="A305" s="79">
        <v>56</v>
      </c>
      <c r="B305" s="29"/>
      <c r="C305" s="27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>
        <f t="shared" si="77"/>
        <v>0</v>
      </c>
      <c r="S305" s="142"/>
      <c r="T305" s="142"/>
      <c r="U305" s="142"/>
      <c r="V305" s="142"/>
      <c r="W305" s="142"/>
      <c r="X305" s="148">
        <f t="shared" si="74"/>
        <v>0</v>
      </c>
      <c r="Y305" s="226">
        <f t="shared" si="75"/>
        <v>0</v>
      </c>
      <c r="Z305" s="316"/>
      <c r="AA305" s="341"/>
    </row>
    <row r="306" spans="1:27" ht="24.95" hidden="1" customHeight="1" x14ac:dyDescent="0.2">
      <c r="A306" s="79">
        <v>57</v>
      </c>
      <c r="B306" s="29"/>
      <c r="C306" s="27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>
        <f t="shared" si="77"/>
        <v>0</v>
      </c>
      <c r="S306" s="142"/>
      <c r="T306" s="142"/>
      <c r="U306" s="142"/>
      <c r="V306" s="142"/>
      <c r="W306" s="142"/>
      <c r="X306" s="148">
        <f t="shared" si="74"/>
        <v>0</v>
      </c>
      <c r="Y306" s="226">
        <f t="shared" si="75"/>
        <v>0</v>
      </c>
      <c r="Z306" s="316"/>
      <c r="AA306" s="341"/>
    </row>
    <row r="307" spans="1:27" ht="24.95" hidden="1" customHeight="1" x14ac:dyDescent="0.2">
      <c r="A307" s="79">
        <v>58</v>
      </c>
      <c r="B307" s="29"/>
      <c r="C307" s="27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>
        <f t="shared" si="77"/>
        <v>0</v>
      </c>
      <c r="S307" s="142"/>
      <c r="T307" s="142"/>
      <c r="U307" s="142"/>
      <c r="V307" s="142"/>
      <c r="W307" s="142"/>
      <c r="X307" s="148">
        <f t="shared" si="74"/>
        <v>0</v>
      </c>
      <c r="Y307" s="226">
        <f t="shared" si="75"/>
        <v>0</v>
      </c>
      <c r="Z307" s="316"/>
      <c r="AA307" s="341"/>
    </row>
    <row r="308" spans="1:27" ht="24.95" hidden="1" customHeight="1" x14ac:dyDescent="0.2">
      <c r="A308" s="79">
        <v>59</v>
      </c>
      <c r="B308" s="29"/>
      <c r="C308" s="27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>
        <f t="shared" si="77"/>
        <v>0</v>
      </c>
      <c r="S308" s="142"/>
      <c r="T308" s="142"/>
      <c r="U308" s="142"/>
      <c r="V308" s="142"/>
      <c r="W308" s="142"/>
      <c r="X308" s="148">
        <f t="shared" si="74"/>
        <v>0</v>
      </c>
      <c r="Y308" s="226">
        <f t="shared" si="75"/>
        <v>0</v>
      </c>
      <c r="Z308" s="316"/>
      <c r="AA308" s="341"/>
    </row>
    <row r="309" spans="1:27" ht="24.95" hidden="1" customHeight="1" x14ac:dyDescent="0.2">
      <c r="A309" s="79">
        <v>60</v>
      </c>
      <c r="B309" s="29"/>
      <c r="C309" s="27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>
        <f t="shared" si="77"/>
        <v>0</v>
      </c>
      <c r="S309" s="142"/>
      <c r="T309" s="142"/>
      <c r="U309" s="142"/>
      <c r="V309" s="142"/>
      <c r="W309" s="142"/>
      <c r="X309" s="148">
        <f t="shared" si="74"/>
        <v>0</v>
      </c>
      <c r="Y309" s="226">
        <f t="shared" si="75"/>
        <v>0</v>
      </c>
      <c r="Z309" s="316"/>
      <c r="AA309" s="341"/>
    </row>
    <row r="310" spans="1:27" ht="24.95" hidden="1" customHeight="1" x14ac:dyDescent="0.2">
      <c r="A310" s="79">
        <v>61</v>
      </c>
      <c r="B310" s="29"/>
      <c r="C310" s="27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>
        <f t="shared" si="77"/>
        <v>0</v>
      </c>
      <c r="S310" s="142"/>
      <c r="T310" s="142"/>
      <c r="U310" s="142"/>
      <c r="V310" s="142"/>
      <c r="W310" s="142"/>
      <c r="X310" s="148">
        <f t="shared" si="74"/>
        <v>0</v>
      </c>
      <c r="Y310" s="226">
        <f t="shared" si="75"/>
        <v>0</v>
      </c>
      <c r="Z310" s="316"/>
      <c r="AA310" s="341"/>
    </row>
    <row r="311" spans="1:27" ht="24.95" hidden="1" customHeight="1" x14ac:dyDescent="0.2">
      <c r="A311" s="79">
        <v>62</v>
      </c>
      <c r="B311" s="29"/>
      <c r="C311" s="27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>
        <f t="shared" si="77"/>
        <v>0</v>
      </c>
      <c r="S311" s="142"/>
      <c r="T311" s="142"/>
      <c r="U311" s="142"/>
      <c r="V311" s="142"/>
      <c r="W311" s="142"/>
      <c r="X311" s="148">
        <f t="shared" si="74"/>
        <v>0</v>
      </c>
      <c r="Y311" s="226">
        <f t="shared" si="75"/>
        <v>0</v>
      </c>
      <c r="Z311" s="316"/>
      <c r="AA311" s="341"/>
    </row>
    <row r="312" spans="1:27" ht="24.95" hidden="1" customHeight="1" x14ac:dyDescent="0.2">
      <c r="A312" s="79">
        <v>63</v>
      </c>
      <c r="B312" s="29"/>
      <c r="C312" s="27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>
        <f t="shared" si="77"/>
        <v>0</v>
      </c>
      <c r="S312" s="142"/>
      <c r="T312" s="142"/>
      <c r="U312" s="142"/>
      <c r="V312" s="142"/>
      <c r="W312" s="142"/>
      <c r="X312" s="148">
        <f t="shared" si="74"/>
        <v>0</v>
      </c>
      <c r="Y312" s="226">
        <f t="shared" si="75"/>
        <v>0</v>
      </c>
      <c r="Z312" s="316"/>
      <c r="AA312" s="341"/>
    </row>
    <row r="313" spans="1:27" ht="24.95" hidden="1" customHeight="1" x14ac:dyDescent="0.2">
      <c r="A313" s="79">
        <v>64</v>
      </c>
      <c r="B313" s="29"/>
      <c r="C313" s="27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>
        <f t="shared" si="77"/>
        <v>0</v>
      </c>
      <c r="S313" s="142"/>
      <c r="T313" s="142"/>
      <c r="U313" s="142"/>
      <c r="V313" s="142"/>
      <c r="W313" s="142"/>
      <c r="X313" s="148">
        <f>SUM(T313:W313)</f>
        <v>0</v>
      </c>
      <c r="Y313" s="226">
        <f>R313+X313</f>
        <v>0</v>
      </c>
      <c r="Z313" s="316"/>
      <c r="AA313" s="341"/>
    </row>
    <row r="314" spans="1:27" ht="24.95" hidden="1" customHeight="1" x14ac:dyDescent="0.2">
      <c r="A314" s="79">
        <v>65</v>
      </c>
      <c r="B314" s="29"/>
      <c r="C314" s="27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>
        <f t="shared" si="77"/>
        <v>0</v>
      </c>
      <c r="S314" s="142"/>
      <c r="T314" s="142"/>
      <c r="U314" s="142"/>
      <c r="V314" s="142"/>
      <c r="W314" s="142"/>
      <c r="X314" s="148">
        <f>SUM(T314:W314)</f>
        <v>0</v>
      </c>
      <c r="Y314" s="226">
        <f>R314+X314</f>
        <v>0</v>
      </c>
      <c r="Z314" s="316"/>
      <c r="AA314" s="341"/>
    </row>
    <row r="315" spans="1:27" ht="24.95" hidden="1" customHeight="1" x14ac:dyDescent="0.2">
      <c r="A315" s="79">
        <v>66</v>
      </c>
      <c r="B315" s="29"/>
      <c r="C315" s="27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>
        <f t="shared" si="77"/>
        <v>0</v>
      </c>
      <c r="S315" s="142"/>
      <c r="T315" s="142"/>
      <c r="U315" s="142"/>
      <c r="V315" s="142"/>
      <c r="W315" s="142"/>
      <c r="X315" s="148">
        <f>SUM(T315:W315)</f>
        <v>0</v>
      </c>
      <c r="Y315" s="226">
        <f>R315+X315</f>
        <v>0</v>
      </c>
      <c r="Z315" s="316"/>
      <c r="AA315" s="341"/>
    </row>
    <row r="316" spans="1:27" ht="24.95" hidden="1" customHeight="1" x14ac:dyDescent="0.2">
      <c r="A316" s="79">
        <v>67</v>
      </c>
      <c r="B316" s="29"/>
      <c r="C316" s="27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>
        <f t="shared" si="77"/>
        <v>0</v>
      </c>
      <c r="S316" s="142"/>
      <c r="T316" s="142"/>
      <c r="U316" s="142"/>
      <c r="V316" s="142"/>
      <c r="W316" s="142"/>
      <c r="X316" s="148">
        <f t="shared" si="74"/>
        <v>0</v>
      </c>
      <c r="Y316" s="226">
        <f t="shared" si="75"/>
        <v>0</v>
      </c>
      <c r="Z316" s="316"/>
      <c r="AA316" s="341"/>
    </row>
    <row r="317" spans="1:27" ht="24.95" hidden="1" customHeight="1" x14ac:dyDescent="0.2">
      <c r="A317" s="79">
        <v>68</v>
      </c>
      <c r="B317" s="29"/>
      <c r="C317" s="27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>
        <f t="shared" si="77"/>
        <v>0</v>
      </c>
      <c r="S317" s="142"/>
      <c r="T317" s="142"/>
      <c r="U317" s="142"/>
      <c r="V317" s="142"/>
      <c r="W317" s="142"/>
      <c r="X317" s="148">
        <f t="shared" si="74"/>
        <v>0</v>
      </c>
      <c r="Y317" s="226">
        <f t="shared" si="75"/>
        <v>0</v>
      </c>
      <c r="Z317" s="316"/>
      <c r="AA317" s="341"/>
    </row>
    <row r="318" spans="1:27" ht="24.95" hidden="1" customHeight="1" x14ac:dyDescent="0.2">
      <c r="A318" s="79">
        <v>69</v>
      </c>
      <c r="B318" s="29"/>
      <c r="C318" s="27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>
        <f t="shared" si="77"/>
        <v>0</v>
      </c>
      <c r="S318" s="142"/>
      <c r="T318" s="142"/>
      <c r="U318" s="142"/>
      <c r="V318" s="142"/>
      <c r="W318" s="142"/>
      <c r="X318" s="148">
        <f t="shared" si="74"/>
        <v>0</v>
      </c>
      <c r="Y318" s="226">
        <f t="shared" si="75"/>
        <v>0</v>
      </c>
      <c r="Z318" s="316"/>
      <c r="AA318" s="341"/>
    </row>
    <row r="319" spans="1:27" ht="24.95" hidden="1" customHeight="1" x14ac:dyDescent="0.2">
      <c r="A319" s="79">
        <v>70</v>
      </c>
      <c r="B319" s="29"/>
      <c r="C319" s="27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>
        <f t="shared" si="77"/>
        <v>0</v>
      </c>
      <c r="S319" s="142"/>
      <c r="T319" s="142"/>
      <c r="U319" s="142"/>
      <c r="V319" s="142"/>
      <c r="W319" s="142"/>
      <c r="X319" s="148">
        <f t="shared" si="74"/>
        <v>0</v>
      </c>
      <c r="Y319" s="226">
        <f t="shared" si="75"/>
        <v>0</v>
      </c>
      <c r="Z319" s="316"/>
      <c r="AA319" s="341"/>
    </row>
    <row r="320" spans="1:27" ht="24.95" hidden="1" customHeight="1" x14ac:dyDescent="0.2">
      <c r="A320" s="79">
        <v>71</v>
      </c>
      <c r="B320" s="29"/>
      <c r="C320" s="27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>
        <f t="shared" si="77"/>
        <v>0</v>
      </c>
      <c r="S320" s="142"/>
      <c r="T320" s="142"/>
      <c r="U320" s="142"/>
      <c r="V320" s="142"/>
      <c r="W320" s="142"/>
      <c r="X320" s="148">
        <f t="shared" si="74"/>
        <v>0</v>
      </c>
      <c r="Y320" s="226">
        <f t="shared" si="75"/>
        <v>0</v>
      </c>
      <c r="Z320" s="316"/>
      <c r="AA320" s="341"/>
    </row>
    <row r="321" spans="1:27" ht="24.95" hidden="1" customHeight="1" x14ac:dyDescent="0.2">
      <c r="A321" s="79">
        <v>72</v>
      </c>
      <c r="B321" s="29"/>
      <c r="C321" s="27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>
        <f t="shared" si="77"/>
        <v>0</v>
      </c>
      <c r="S321" s="142"/>
      <c r="T321" s="142"/>
      <c r="U321" s="142"/>
      <c r="V321" s="142"/>
      <c r="W321" s="142"/>
      <c r="X321" s="148">
        <f t="shared" si="74"/>
        <v>0</v>
      </c>
      <c r="Y321" s="226">
        <f t="shared" si="75"/>
        <v>0</v>
      </c>
      <c r="Z321" s="316"/>
      <c r="AA321" s="341"/>
    </row>
    <row r="322" spans="1:27" ht="24.95" hidden="1" customHeight="1" x14ac:dyDescent="0.2">
      <c r="A322" s="79">
        <v>73</v>
      </c>
      <c r="B322" s="29"/>
      <c r="C322" s="27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>
        <f t="shared" si="77"/>
        <v>0</v>
      </c>
      <c r="S322" s="142"/>
      <c r="T322" s="142"/>
      <c r="U322" s="142"/>
      <c r="V322" s="142"/>
      <c r="W322" s="142"/>
      <c r="X322" s="148">
        <f t="shared" si="74"/>
        <v>0</v>
      </c>
      <c r="Y322" s="226">
        <f t="shared" si="75"/>
        <v>0</v>
      </c>
      <c r="Z322" s="316"/>
      <c r="AA322" s="341"/>
    </row>
    <row r="323" spans="1:27" ht="24.95" hidden="1" customHeight="1" x14ac:dyDescent="0.2">
      <c r="A323" s="79">
        <v>74</v>
      </c>
      <c r="B323" s="29"/>
      <c r="C323" s="27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>
        <f t="shared" si="77"/>
        <v>0</v>
      </c>
      <c r="S323" s="142"/>
      <c r="T323" s="142"/>
      <c r="U323" s="142"/>
      <c r="V323" s="142"/>
      <c r="W323" s="142"/>
      <c r="X323" s="148">
        <f t="shared" si="74"/>
        <v>0</v>
      </c>
      <c r="Y323" s="226">
        <f t="shared" si="75"/>
        <v>0</v>
      </c>
      <c r="Z323" s="316"/>
      <c r="AA323" s="341"/>
    </row>
    <row r="324" spans="1:27" ht="24.95" hidden="1" customHeight="1" x14ac:dyDescent="0.2">
      <c r="A324" s="79">
        <v>75</v>
      </c>
      <c r="B324" s="29"/>
      <c r="C324" s="27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>
        <f t="shared" si="77"/>
        <v>0</v>
      </c>
      <c r="S324" s="142"/>
      <c r="T324" s="142"/>
      <c r="U324" s="142"/>
      <c r="V324" s="142"/>
      <c r="W324" s="142"/>
      <c r="X324" s="148">
        <f>SUM(T324:W324)</f>
        <v>0</v>
      </c>
      <c r="Y324" s="226">
        <f>R324+X324</f>
        <v>0</v>
      </c>
      <c r="Z324" s="316"/>
      <c r="AA324" s="341"/>
    </row>
    <row r="325" spans="1:27" ht="24.95" hidden="1" customHeight="1" x14ac:dyDescent="0.2">
      <c r="A325" s="79">
        <v>76</v>
      </c>
      <c r="B325" s="217"/>
      <c r="C325" s="27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>
        <f t="shared" si="77"/>
        <v>0</v>
      </c>
      <c r="S325" s="142"/>
      <c r="T325" s="142"/>
      <c r="U325" s="142"/>
      <c r="V325" s="142"/>
      <c r="W325" s="142"/>
      <c r="X325" s="148">
        <f>SUM(T325:W325)</f>
        <v>0</v>
      </c>
      <c r="Y325" s="226">
        <f>R325+X325</f>
        <v>0</v>
      </c>
      <c r="Z325" s="316"/>
      <c r="AA325" s="341"/>
    </row>
    <row r="326" spans="1:27" ht="24.95" hidden="1" customHeight="1" x14ac:dyDescent="0.2">
      <c r="A326" s="79">
        <v>77</v>
      </c>
      <c r="B326" s="217"/>
      <c r="C326" s="27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>
        <f t="shared" si="77"/>
        <v>0</v>
      </c>
      <c r="S326" s="142"/>
      <c r="T326" s="142"/>
      <c r="U326" s="142"/>
      <c r="V326" s="142"/>
      <c r="W326" s="142"/>
      <c r="X326" s="148">
        <f t="shared" ref="X326:X333" si="82">SUM(T326:W326)</f>
        <v>0</v>
      </c>
      <c r="Y326" s="226">
        <f t="shared" ref="Y326:Y333" si="83">R326+X326</f>
        <v>0</v>
      </c>
      <c r="Z326" s="316"/>
      <c r="AA326" s="341"/>
    </row>
    <row r="327" spans="1:27" ht="24.95" hidden="1" customHeight="1" x14ac:dyDescent="0.2">
      <c r="A327" s="79">
        <v>78</v>
      </c>
      <c r="B327" s="217"/>
      <c r="C327" s="27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>
        <f t="shared" si="77"/>
        <v>0</v>
      </c>
      <c r="S327" s="142"/>
      <c r="T327" s="142"/>
      <c r="U327" s="142"/>
      <c r="V327" s="142"/>
      <c r="W327" s="142"/>
      <c r="X327" s="148">
        <f t="shared" si="82"/>
        <v>0</v>
      </c>
      <c r="Y327" s="226">
        <f t="shared" si="83"/>
        <v>0</v>
      </c>
      <c r="Z327" s="316"/>
      <c r="AA327" s="341"/>
    </row>
    <row r="328" spans="1:27" ht="24.95" hidden="1" customHeight="1" x14ac:dyDescent="0.2">
      <c r="A328" s="79">
        <v>79</v>
      </c>
      <c r="B328" s="217"/>
      <c r="C328" s="27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>
        <f t="shared" si="77"/>
        <v>0</v>
      </c>
      <c r="S328" s="142"/>
      <c r="T328" s="142"/>
      <c r="U328" s="142"/>
      <c r="V328" s="142"/>
      <c r="W328" s="142"/>
      <c r="X328" s="148">
        <f t="shared" si="82"/>
        <v>0</v>
      </c>
      <c r="Y328" s="226">
        <f t="shared" si="83"/>
        <v>0</v>
      </c>
      <c r="Z328" s="316"/>
      <c r="AA328" s="341"/>
    </row>
    <row r="329" spans="1:27" ht="24.95" hidden="1" customHeight="1" x14ac:dyDescent="0.2">
      <c r="A329" s="79">
        <v>80</v>
      </c>
      <c r="B329" s="217"/>
      <c r="C329" s="27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>
        <f t="shared" si="77"/>
        <v>0</v>
      </c>
      <c r="S329" s="142"/>
      <c r="T329" s="142"/>
      <c r="U329" s="142"/>
      <c r="V329" s="142"/>
      <c r="W329" s="142"/>
      <c r="X329" s="148">
        <f t="shared" si="82"/>
        <v>0</v>
      </c>
      <c r="Y329" s="226">
        <f t="shared" si="83"/>
        <v>0</v>
      </c>
      <c r="Z329" s="316"/>
      <c r="AA329" s="341"/>
    </row>
    <row r="330" spans="1:27" ht="24.95" hidden="1" customHeight="1" x14ac:dyDescent="0.2">
      <c r="A330" s="79">
        <v>81</v>
      </c>
      <c r="B330" s="217"/>
      <c r="C330" s="27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>
        <f t="shared" si="77"/>
        <v>0</v>
      </c>
      <c r="S330" s="142"/>
      <c r="T330" s="142"/>
      <c r="U330" s="142"/>
      <c r="V330" s="142"/>
      <c r="W330" s="142"/>
      <c r="X330" s="148">
        <f t="shared" si="82"/>
        <v>0</v>
      </c>
      <c r="Y330" s="226">
        <f t="shared" si="83"/>
        <v>0</v>
      </c>
      <c r="Z330" s="316"/>
      <c r="AA330" s="341"/>
    </row>
    <row r="331" spans="1:27" ht="24.95" hidden="1" customHeight="1" x14ac:dyDescent="0.2">
      <c r="A331" s="79">
        <v>82</v>
      </c>
      <c r="B331" s="217"/>
      <c r="C331" s="27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>
        <f t="shared" si="77"/>
        <v>0</v>
      </c>
      <c r="S331" s="142"/>
      <c r="T331" s="142"/>
      <c r="U331" s="142"/>
      <c r="V331" s="142"/>
      <c r="W331" s="142"/>
      <c r="X331" s="148">
        <f t="shared" si="82"/>
        <v>0</v>
      </c>
      <c r="Y331" s="226">
        <f t="shared" si="83"/>
        <v>0</v>
      </c>
      <c r="Z331" s="316"/>
      <c r="AA331" s="341"/>
    </row>
    <row r="332" spans="1:27" ht="24.95" hidden="1" customHeight="1" x14ac:dyDescent="0.2">
      <c r="A332" s="79">
        <v>83</v>
      </c>
      <c r="B332" s="217"/>
      <c r="C332" s="27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>
        <f t="shared" si="77"/>
        <v>0</v>
      </c>
      <c r="S332" s="142"/>
      <c r="T332" s="142"/>
      <c r="U332" s="142"/>
      <c r="V332" s="142"/>
      <c r="W332" s="142"/>
      <c r="X332" s="148">
        <f t="shared" si="82"/>
        <v>0</v>
      </c>
      <c r="Y332" s="226">
        <f t="shared" si="83"/>
        <v>0</v>
      </c>
      <c r="Z332" s="316"/>
      <c r="AA332" s="341"/>
    </row>
    <row r="333" spans="1:27" ht="24.95" hidden="1" customHeight="1" x14ac:dyDescent="0.2">
      <c r="A333" s="79">
        <v>84</v>
      </c>
      <c r="B333" s="217"/>
      <c r="C333" s="27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>
        <f t="shared" si="77"/>
        <v>0</v>
      </c>
      <c r="S333" s="142"/>
      <c r="T333" s="142"/>
      <c r="U333" s="142"/>
      <c r="V333" s="142"/>
      <c r="W333" s="142"/>
      <c r="X333" s="148">
        <f t="shared" si="82"/>
        <v>0</v>
      </c>
      <c r="Y333" s="226">
        <f t="shared" si="83"/>
        <v>0</v>
      </c>
      <c r="Z333" s="316"/>
      <c r="AA333" s="341"/>
    </row>
    <row r="334" spans="1:27" ht="24.95" hidden="1" customHeight="1" x14ac:dyDescent="0.2">
      <c r="A334" s="79">
        <v>85</v>
      </c>
      <c r="B334" s="29"/>
      <c r="C334" s="27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>
        <f t="shared" si="77"/>
        <v>0</v>
      </c>
      <c r="S334" s="142"/>
      <c r="T334" s="142"/>
      <c r="U334" s="142"/>
      <c r="V334" s="142"/>
      <c r="W334" s="142"/>
      <c r="X334" s="148">
        <f t="shared" ref="X334:X343" si="84">SUM(T334:W334)</f>
        <v>0</v>
      </c>
      <c r="Y334" s="226">
        <f t="shared" ref="Y334:Y343" si="85">R334+X334</f>
        <v>0</v>
      </c>
      <c r="Z334" s="316"/>
      <c r="AA334" s="341"/>
    </row>
    <row r="335" spans="1:27" ht="24.95" hidden="1" customHeight="1" x14ac:dyDescent="0.2">
      <c r="A335" s="79">
        <v>86</v>
      </c>
      <c r="B335" s="29"/>
      <c r="C335" s="27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>
        <f t="shared" si="77"/>
        <v>0</v>
      </c>
      <c r="S335" s="142"/>
      <c r="T335" s="142"/>
      <c r="U335" s="142"/>
      <c r="V335" s="142"/>
      <c r="W335" s="142"/>
      <c r="X335" s="148">
        <f t="shared" si="84"/>
        <v>0</v>
      </c>
      <c r="Y335" s="226">
        <f t="shared" si="85"/>
        <v>0</v>
      </c>
      <c r="Z335" s="316"/>
      <c r="AA335" s="341"/>
    </row>
    <row r="336" spans="1:27" ht="24.95" hidden="1" customHeight="1" x14ac:dyDescent="0.2">
      <c r="A336" s="79">
        <v>87</v>
      </c>
      <c r="B336" s="29"/>
      <c r="C336" s="27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>
        <f t="shared" si="77"/>
        <v>0</v>
      </c>
      <c r="S336" s="142"/>
      <c r="T336" s="142"/>
      <c r="U336" s="142"/>
      <c r="V336" s="142"/>
      <c r="W336" s="142"/>
      <c r="X336" s="148">
        <f t="shared" si="84"/>
        <v>0</v>
      </c>
      <c r="Y336" s="226">
        <f t="shared" si="85"/>
        <v>0</v>
      </c>
      <c r="Z336" s="316"/>
      <c r="AA336" s="341"/>
    </row>
    <row r="337" spans="1:27" ht="24.95" hidden="1" customHeight="1" x14ac:dyDescent="0.2">
      <c r="A337" s="79">
        <v>88</v>
      </c>
      <c r="B337" s="29"/>
      <c r="C337" s="27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>
        <f>SUM(D337:Q337)</f>
        <v>0</v>
      </c>
      <c r="S337" s="142"/>
      <c r="T337" s="142"/>
      <c r="U337" s="142"/>
      <c r="V337" s="142"/>
      <c r="W337" s="142"/>
      <c r="X337" s="148">
        <f t="shared" si="84"/>
        <v>0</v>
      </c>
      <c r="Y337" s="226">
        <f t="shared" si="85"/>
        <v>0</v>
      </c>
      <c r="Z337" s="316"/>
      <c r="AA337" s="341"/>
    </row>
    <row r="338" spans="1:27" ht="24.95" hidden="1" customHeight="1" x14ac:dyDescent="0.2">
      <c r="A338" s="79">
        <v>89</v>
      </c>
      <c r="B338" s="29"/>
      <c r="C338" s="27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>
        <f>SUM(D338:Q338)</f>
        <v>0</v>
      </c>
      <c r="S338" s="142"/>
      <c r="T338" s="142"/>
      <c r="U338" s="142"/>
      <c r="V338" s="142"/>
      <c r="W338" s="142"/>
      <c r="X338" s="148">
        <f t="shared" si="84"/>
        <v>0</v>
      </c>
      <c r="Y338" s="226">
        <f t="shared" si="85"/>
        <v>0</v>
      </c>
      <c r="Z338" s="316"/>
      <c r="AA338" s="341"/>
    </row>
    <row r="339" spans="1:27" ht="24.95" hidden="1" customHeight="1" x14ac:dyDescent="0.2">
      <c r="A339" s="79">
        <v>90</v>
      </c>
      <c r="B339" s="29"/>
      <c r="C339" s="27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>
        <f>SUM(D339:Q339)</f>
        <v>0</v>
      </c>
      <c r="S339" s="142"/>
      <c r="T339" s="142"/>
      <c r="U339" s="142"/>
      <c r="V339" s="142"/>
      <c r="W339" s="142"/>
      <c r="X339" s="148">
        <f t="shared" si="84"/>
        <v>0</v>
      </c>
      <c r="Y339" s="226">
        <f>R339+X339</f>
        <v>0</v>
      </c>
      <c r="Z339" s="316"/>
      <c r="AA339" s="341"/>
    </row>
    <row r="340" spans="1:27" ht="24.95" hidden="1" customHeight="1" x14ac:dyDescent="0.2">
      <c r="A340" s="79">
        <v>91</v>
      </c>
      <c r="B340" s="29"/>
      <c r="C340" s="27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>
        <f>SUM(D340:Q340)</f>
        <v>0</v>
      </c>
      <c r="S340" s="142"/>
      <c r="T340" s="142"/>
      <c r="U340" s="142"/>
      <c r="V340" s="142"/>
      <c r="W340" s="142"/>
      <c r="X340" s="148">
        <f t="shared" si="84"/>
        <v>0</v>
      </c>
      <c r="Y340" s="226">
        <f t="shared" si="85"/>
        <v>0</v>
      </c>
      <c r="Z340" s="316"/>
      <c r="AA340" s="341"/>
    </row>
    <row r="341" spans="1:27" ht="24.95" hidden="1" customHeight="1" x14ac:dyDescent="0.2">
      <c r="A341" s="79">
        <v>92</v>
      </c>
      <c r="B341" s="29"/>
      <c r="C341" s="27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>
        <f t="shared" si="77"/>
        <v>0</v>
      </c>
      <c r="S341" s="142"/>
      <c r="T341" s="142"/>
      <c r="U341" s="142"/>
      <c r="V341" s="142"/>
      <c r="W341" s="142"/>
      <c r="X341" s="148">
        <f t="shared" si="84"/>
        <v>0</v>
      </c>
      <c r="Y341" s="226">
        <f t="shared" si="85"/>
        <v>0</v>
      </c>
      <c r="Z341" s="316"/>
      <c r="AA341" s="341"/>
    </row>
    <row r="342" spans="1:27" ht="24.95" hidden="1" customHeight="1" x14ac:dyDescent="0.2">
      <c r="A342" s="79">
        <v>93</v>
      </c>
      <c r="B342" s="29"/>
      <c r="C342" s="27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>
        <f t="shared" si="77"/>
        <v>0</v>
      </c>
      <c r="S342" s="142"/>
      <c r="T342" s="142"/>
      <c r="U342" s="142"/>
      <c r="V342" s="142"/>
      <c r="W342" s="142"/>
      <c r="X342" s="148">
        <f t="shared" si="84"/>
        <v>0</v>
      </c>
      <c r="Y342" s="226">
        <f t="shared" si="85"/>
        <v>0</v>
      </c>
      <c r="Z342" s="316"/>
      <c r="AA342" s="341"/>
    </row>
    <row r="343" spans="1:27" ht="24.95" hidden="1" customHeight="1" x14ac:dyDescent="0.2">
      <c r="A343" s="79"/>
      <c r="B343" s="29"/>
      <c r="C343" s="27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>
        <f t="shared" si="77"/>
        <v>0</v>
      </c>
      <c r="S343" s="142"/>
      <c r="T343" s="142"/>
      <c r="U343" s="142"/>
      <c r="V343" s="142"/>
      <c r="W343" s="142"/>
      <c r="X343" s="148">
        <f t="shared" si="84"/>
        <v>0</v>
      </c>
      <c r="Y343" s="226">
        <f t="shared" si="85"/>
        <v>0</v>
      </c>
      <c r="Z343" s="316"/>
      <c r="AA343" s="341"/>
    </row>
    <row r="344" spans="1:27" ht="24.95" hidden="1" customHeight="1" x14ac:dyDescent="0.2">
      <c r="A344" s="79"/>
      <c r="B344" s="495"/>
      <c r="C344" s="40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8"/>
      <c r="Y344" s="226"/>
      <c r="Z344" s="316"/>
      <c r="AA344" s="341"/>
    </row>
    <row r="345" spans="1:27" ht="17.25" hidden="1" customHeight="1" thickBot="1" x14ac:dyDescent="0.25">
      <c r="A345" s="79"/>
      <c r="B345" s="86"/>
      <c r="C345" s="40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>
        <f t="shared" si="77"/>
        <v>0</v>
      </c>
      <c r="S345" s="71"/>
      <c r="T345" s="71"/>
      <c r="U345" s="71"/>
      <c r="V345" s="71"/>
      <c r="W345" s="71"/>
      <c r="X345" s="148"/>
      <c r="Y345" s="226"/>
      <c r="Z345" s="316"/>
      <c r="AA345" s="333"/>
    </row>
    <row r="346" spans="1:27" ht="24.95" hidden="1" customHeight="1" thickTop="1" thickBot="1" x14ac:dyDescent="0.25">
      <c r="A346" s="247"/>
      <c r="B346" s="41" t="s">
        <v>165</v>
      </c>
      <c r="C346" s="43" t="s">
        <v>19</v>
      </c>
      <c r="D346" s="83">
        <f t="shared" ref="D346:Q346" si="86">SUM(D250:D345)</f>
        <v>0</v>
      </c>
      <c r="E346" s="83">
        <f t="shared" si="86"/>
        <v>0</v>
      </c>
      <c r="F346" s="83">
        <f t="shared" si="86"/>
        <v>0</v>
      </c>
      <c r="G346" s="83">
        <f t="shared" si="86"/>
        <v>0</v>
      </c>
      <c r="H346" s="83">
        <f t="shared" si="86"/>
        <v>0</v>
      </c>
      <c r="I346" s="83">
        <f t="shared" si="86"/>
        <v>0</v>
      </c>
      <c r="J346" s="83">
        <f t="shared" si="86"/>
        <v>0</v>
      </c>
      <c r="K346" s="83">
        <f t="shared" si="86"/>
        <v>0</v>
      </c>
      <c r="L346" s="83">
        <f t="shared" si="86"/>
        <v>0</v>
      </c>
      <c r="M346" s="83">
        <f t="shared" si="86"/>
        <v>0</v>
      </c>
      <c r="N346" s="83">
        <f t="shared" si="86"/>
        <v>0</v>
      </c>
      <c r="O346" s="83">
        <f t="shared" si="86"/>
        <v>0</v>
      </c>
      <c r="P346" s="83">
        <f t="shared" si="86"/>
        <v>0</v>
      </c>
      <c r="Q346" s="83">
        <f t="shared" si="86"/>
        <v>0</v>
      </c>
      <c r="R346" s="83">
        <f t="shared" si="77"/>
        <v>0</v>
      </c>
      <c r="S346" s="83"/>
      <c r="T346" s="83">
        <f>SUM(T250:T345)</f>
        <v>0</v>
      </c>
      <c r="U346" s="83">
        <f>SUM(U250:U345)</f>
        <v>0</v>
      </c>
      <c r="V346" s="83">
        <f>SUM(V250:V345)</f>
        <v>0</v>
      </c>
      <c r="W346" s="83">
        <f>SUM(W250:W345)</f>
        <v>0</v>
      </c>
      <c r="X346" s="84">
        <f t="shared" si="74"/>
        <v>0</v>
      </c>
      <c r="Y346" s="84">
        <f t="shared" si="75"/>
        <v>0</v>
      </c>
      <c r="Z346" s="256">
        <f>SUM(Z250:Z345)</f>
        <v>0</v>
      </c>
      <c r="AA346" s="334"/>
    </row>
    <row r="347" spans="1:27" ht="24.95" hidden="1" customHeight="1" thickTop="1" x14ac:dyDescent="0.2">
      <c r="A347" s="196"/>
      <c r="B347" s="211"/>
      <c r="C347" s="212"/>
      <c r="D347" s="248"/>
      <c r="E347" s="248"/>
      <c r="F347" s="248"/>
      <c r="G347" s="248"/>
      <c r="H347" s="248"/>
      <c r="I347" s="248"/>
      <c r="J347" s="248"/>
      <c r="K347" s="248"/>
      <c r="L347" s="248"/>
      <c r="M347" s="248"/>
      <c r="N347" s="248"/>
      <c r="O347" s="248"/>
      <c r="P347" s="248"/>
      <c r="Q347" s="248"/>
      <c r="R347" s="248">
        <f t="shared" ref="R347:R363" si="87">SUM(D347:Q347)</f>
        <v>0</v>
      </c>
      <c r="S347" s="248"/>
      <c r="T347" s="248"/>
      <c r="U347" s="248"/>
      <c r="V347" s="248"/>
      <c r="W347" s="248"/>
      <c r="X347" s="249">
        <f t="shared" ref="X347:X356" si="88">SUM(T347:W347)</f>
        <v>0</v>
      </c>
      <c r="Y347" s="357"/>
      <c r="Z347" s="322"/>
      <c r="AA347" s="334"/>
    </row>
    <row r="348" spans="1:27" ht="16.5" hidden="1" customHeight="1" x14ac:dyDescent="0.2">
      <c r="A348" s="196"/>
      <c r="B348" s="73"/>
      <c r="C348" s="40" t="s">
        <v>167</v>
      </c>
      <c r="D348" s="153"/>
      <c r="E348" s="153"/>
      <c r="F348" s="142"/>
      <c r="G348" s="153"/>
      <c r="H348" s="153"/>
      <c r="I348" s="153"/>
      <c r="J348" s="153"/>
      <c r="K348" s="142"/>
      <c r="L348" s="142"/>
      <c r="M348" s="153"/>
      <c r="N348" s="153"/>
      <c r="O348" s="153"/>
      <c r="P348" s="153"/>
      <c r="Q348" s="153"/>
      <c r="R348" s="153">
        <f t="shared" si="87"/>
        <v>0</v>
      </c>
      <c r="S348" s="153"/>
      <c r="T348" s="153"/>
      <c r="U348" s="153"/>
      <c r="V348" s="153"/>
      <c r="W348" s="153"/>
      <c r="X348" s="154">
        <f t="shared" si="88"/>
        <v>0</v>
      </c>
      <c r="Y348" s="226">
        <f t="shared" ref="Y348:Y356" si="89">R348+X348</f>
        <v>0</v>
      </c>
      <c r="Z348" s="371"/>
      <c r="AA348" s="341"/>
    </row>
    <row r="349" spans="1:27" ht="16.5" hidden="1" customHeight="1" x14ac:dyDescent="0.2">
      <c r="A349" s="196"/>
      <c r="B349" s="541"/>
      <c r="C349" s="40" t="s">
        <v>163</v>
      </c>
      <c r="D349" s="153"/>
      <c r="E349" s="153"/>
      <c r="G349" s="153"/>
      <c r="H349" s="153"/>
      <c r="I349" s="153"/>
      <c r="J349" s="153"/>
      <c r="K349" s="142"/>
      <c r="L349" s="153"/>
      <c r="M349" s="153"/>
      <c r="N349" s="153"/>
      <c r="O349" s="153"/>
      <c r="P349" s="153"/>
      <c r="Q349" s="153"/>
      <c r="R349" s="153">
        <f t="shared" si="87"/>
        <v>0</v>
      </c>
      <c r="S349" s="153"/>
      <c r="T349" s="153"/>
      <c r="U349" s="153"/>
      <c r="V349" s="153"/>
      <c r="W349" s="153"/>
      <c r="X349" s="154"/>
      <c r="Y349" s="226">
        <f t="shared" si="89"/>
        <v>0</v>
      </c>
      <c r="Z349" s="371"/>
      <c r="AA349" s="341"/>
    </row>
    <row r="350" spans="1:27" ht="16.5" hidden="1" customHeight="1" x14ac:dyDescent="0.2">
      <c r="A350" s="196"/>
      <c r="B350" s="541"/>
      <c r="C350" s="40" t="s">
        <v>168</v>
      </c>
      <c r="D350" s="153"/>
      <c r="E350" s="153"/>
      <c r="F350" s="142"/>
      <c r="G350" s="153"/>
      <c r="H350" s="153"/>
      <c r="I350" s="153"/>
      <c r="J350" s="153"/>
      <c r="K350" s="142"/>
      <c r="L350" s="153"/>
      <c r="M350" s="153"/>
      <c r="N350" s="153"/>
      <c r="O350" s="153"/>
      <c r="P350" s="153"/>
      <c r="Q350" s="153"/>
      <c r="R350" s="153">
        <f t="shared" si="87"/>
        <v>0</v>
      </c>
      <c r="S350" s="153"/>
      <c r="T350" s="153"/>
      <c r="U350" s="153"/>
      <c r="V350" s="153"/>
      <c r="W350" s="153"/>
      <c r="X350" s="154"/>
      <c r="Y350" s="226">
        <f t="shared" si="89"/>
        <v>0</v>
      </c>
      <c r="Z350" s="371"/>
      <c r="AA350" s="341"/>
    </row>
    <row r="351" spans="1:27" ht="16.5" hidden="1" customHeight="1" x14ac:dyDescent="0.2">
      <c r="A351" s="196"/>
      <c r="B351" s="541"/>
      <c r="C351" s="40"/>
      <c r="D351" s="153"/>
      <c r="E351" s="153"/>
      <c r="F351" s="343"/>
      <c r="G351" s="153"/>
      <c r="H351" s="153"/>
      <c r="I351" s="153"/>
      <c r="J351" s="153"/>
      <c r="K351" s="142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4"/>
      <c r="Y351" s="226"/>
      <c r="Z351" s="371"/>
      <c r="AA351" s="341"/>
    </row>
    <row r="352" spans="1:27" ht="16.5" hidden="1" customHeight="1" x14ac:dyDescent="0.2">
      <c r="A352" s="196"/>
      <c r="B352" s="73" t="s">
        <v>22</v>
      </c>
      <c r="C352" s="38" t="s">
        <v>23</v>
      </c>
      <c r="D352" s="153"/>
      <c r="E352" s="153"/>
      <c r="G352" s="153"/>
      <c r="H352" s="153"/>
      <c r="I352" s="153"/>
      <c r="J352" s="153"/>
      <c r="K352" s="153"/>
      <c r="L352" s="153"/>
      <c r="M352" s="153"/>
      <c r="N352" s="153"/>
      <c r="O352" s="153"/>
      <c r="P352" s="153"/>
      <c r="Q352" s="153"/>
      <c r="R352" s="153">
        <f t="shared" si="87"/>
        <v>0</v>
      </c>
      <c r="S352" s="153"/>
      <c r="T352" s="153"/>
      <c r="U352" s="153"/>
      <c r="V352" s="153"/>
      <c r="W352" s="153"/>
      <c r="X352" s="154"/>
      <c r="Y352" s="226">
        <f t="shared" si="89"/>
        <v>0</v>
      </c>
      <c r="Z352" s="371"/>
      <c r="AA352" s="341"/>
    </row>
    <row r="353" spans="1:27" ht="16.5" hidden="1" customHeight="1" x14ac:dyDescent="0.25">
      <c r="A353" s="196"/>
      <c r="B353" s="88" t="s">
        <v>24</v>
      </c>
      <c r="C353" s="38" t="s">
        <v>23</v>
      </c>
      <c r="D353" s="153"/>
      <c r="E353" s="153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53"/>
      <c r="R353" s="153">
        <f t="shared" si="87"/>
        <v>0</v>
      </c>
      <c r="S353" s="153"/>
      <c r="T353" s="153"/>
      <c r="U353" s="153"/>
      <c r="V353" s="153"/>
      <c r="W353" s="153"/>
      <c r="X353" s="154">
        <f t="shared" si="88"/>
        <v>0</v>
      </c>
      <c r="Y353" s="226">
        <f t="shared" si="89"/>
        <v>0</v>
      </c>
      <c r="Z353" s="371"/>
      <c r="AA353" s="341"/>
    </row>
    <row r="354" spans="1:27" ht="16.5" hidden="1" customHeight="1" x14ac:dyDescent="0.25">
      <c r="A354" s="25"/>
      <c r="B354" s="88" t="s">
        <v>69</v>
      </c>
      <c r="C354" s="38" t="s">
        <v>23</v>
      </c>
      <c r="D354" s="153"/>
      <c r="E354" s="153"/>
      <c r="F354" s="153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53"/>
      <c r="R354" s="153">
        <f t="shared" si="87"/>
        <v>0</v>
      </c>
      <c r="S354" s="153"/>
      <c r="T354" s="153"/>
      <c r="U354" s="153"/>
      <c r="V354" s="153"/>
      <c r="W354" s="153"/>
      <c r="X354" s="154">
        <f t="shared" si="88"/>
        <v>0</v>
      </c>
      <c r="Y354" s="226">
        <f t="shared" si="89"/>
        <v>0</v>
      </c>
      <c r="Z354" s="371"/>
      <c r="AA354" s="341"/>
    </row>
    <row r="355" spans="1:27" ht="16.5" hidden="1" customHeight="1" x14ac:dyDescent="0.25">
      <c r="A355" s="25"/>
      <c r="B355" s="88" t="s">
        <v>70</v>
      </c>
      <c r="C355" s="38" t="s">
        <v>23</v>
      </c>
      <c r="D355" s="153"/>
      <c r="E355" s="153"/>
      <c r="F355" s="153"/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  <c r="Q355" s="153"/>
      <c r="R355" s="153">
        <f t="shared" si="87"/>
        <v>0</v>
      </c>
      <c r="S355" s="153"/>
      <c r="T355" s="153"/>
      <c r="U355" s="153"/>
      <c r="V355" s="153"/>
      <c r="W355" s="153"/>
      <c r="X355" s="154">
        <f t="shared" si="88"/>
        <v>0</v>
      </c>
      <c r="Y355" s="226">
        <f t="shared" si="89"/>
        <v>0</v>
      </c>
      <c r="Z355" s="371"/>
      <c r="AA355" s="341"/>
    </row>
    <row r="356" spans="1:27" ht="16.5" hidden="1" customHeight="1" x14ac:dyDescent="0.25">
      <c r="A356" s="25"/>
      <c r="B356" s="88" t="s">
        <v>26</v>
      </c>
      <c r="C356" s="38" t="s">
        <v>23</v>
      </c>
      <c r="D356" s="153"/>
      <c r="E356" s="153"/>
      <c r="F356" s="153"/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  <c r="Q356" s="153"/>
      <c r="R356" s="153">
        <f t="shared" si="87"/>
        <v>0</v>
      </c>
      <c r="S356" s="153"/>
      <c r="T356" s="153"/>
      <c r="U356" s="153"/>
      <c r="V356" s="153"/>
      <c r="W356" s="153"/>
      <c r="X356" s="154">
        <f t="shared" si="88"/>
        <v>0</v>
      </c>
      <c r="Y356" s="226">
        <f t="shared" si="89"/>
        <v>0</v>
      </c>
      <c r="Z356" s="371"/>
      <c r="AA356" s="341"/>
    </row>
    <row r="357" spans="1:27" ht="16.5" hidden="1" customHeight="1" x14ac:dyDescent="0.25">
      <c r="A357" s="25"/>
      <c r="B357" s="88" t="s">
        <v>60</v>
      </c>
      <c r="C357" s="38" t="s">
        <v>23</v>
      </c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  <c r="Q357" s="153"/>
      <c r="R357" s="153">
        <f t="shared" si="87"/>
        <v>0</v>
      </c>
      <c r="S357" s="153"/>
      <c r="T357" s="153"/>
      <c r="U357" s="153"/>
      <c r="V357" s="153"/>
      <c r="W357" s="153"/>
      <c r="X357" s="154">
        <f t="shared" ref="X357:X427" si="90">SUM(T357:W357)</f>
        <v>0</v>
      </c>
      <c r="Y357" s="226">
        <f t="shared" ref="Y357:Y427" si="91">R357+X357</f>
        <v>0</v>
      </c>
      <c r="Z357" s="371"/>
      <c r="AA357" s="341"/>
    </row>
    <row r="358" spans="1:27" ht="16.5" hidden="1" customHeight="1" x14ac:dyDescent="0.25">
      <c r="A358" s="25"/>
      <c r="B358" s="88" t="s">
        <v>62</v>
      </c>
      <c r="C358" s="38" t="s">
        <v>23</v>
      </c>
      <c r="D358" s="153"/>
      <c r="E358" s="153"/>
      <c r="F358" s="153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>
        <f t="shared" si="87"/>
        <v>0</v>
      </c>
      <c r="S358" s="153"/>
      <c r="T358" s="153"/>
      <c r="U358" s="153"/>
      <c r="V358" s="153"/>
      <c r="W358" s="153"/>
      <c r="X358" s="154">
        <f t="shared" si="90"/>
        <v>0</v>
      </c>
      <c r="Y358" s="226">
        <f t="shared" si="91"/>
        <v>0</v>
      </c>
      <c r="Z358" s="371"/>
      <c r="AA358" s="341"/>
    </row>
    <row r="359" spans="1:27" ht="16.5" hidden="1" customHeight="1" x14ac:dyDescent="0.25">
      <c r="A359" s="25"/>
      <c r="B359" s="88" t="s">
        <v>100</v>
      </c>
      <c r="C359" s="38" t="s">
        <v>23</v>
      </c>
      <c r="D359" s="153"/>
      <c r="E359" s="153"/>
      <c r="F359" s="153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>
        <f t="shared" si="87"/>
        <v>0</v>
      </c>
      <c r="S359" s="153"/>
      <c r="T359" s="153"/>
      <c r="U359" s="153"/>
      <c r="V359" s="153"/>
      <c r="W359" s="153"/>
      <c r="X359" s="154">
        <f t="shared" si="90"/>
        <v>0</v>
      </c>
      <c r="Y359" s="226">
        <f t="shared" si="91"/>
        <v>0</v>
      </c>
      <c r="Z359" s="371"/>
      <c r="AA359" s="341"/>
    </row>
    <row r="360" spans="1:27" ht="16.5" hidden="1" customHeight="1" x14ac:dyDescent="0.25">
      <c r="A360" s="25"/>
      <c r="B360" s="88" t="s">
        <v>28</v>
      </c>
      <c r="C360" s="38" t="s">
        <v>23</v>
      </c>
      <c r="D360" s="153"/>
      <c r="E360" s="153"/>
      <c r="F360" s="153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>
        <f t="shared" si="87"/>
        <v>0</v>
      </c>
      <c r="S360" s="153"/>
      <c r="T360" s="153"/>
      <c r="U360" s="153"/>
      <c r="V360" s="153"/>
      <c r="W360" s="153"/>
      <c r="X360" s="154">
        <f t="shared" si="90"/>
        <v>0</v>
      </c>
      <c r="Y360" s="226">
        <f t="shared" si="91"/>
        <v>0</v>
      </c>
      <c r="Z360" s="371"/>
      <c r="AA360" s="341"/>
    </row>
    <row r="361" spans="1:27" ht="16.5" hidden="1" customHeight="1" x14ac:dyDescent="0.25">
      <c r="A361" s="25"/>
      <c r="B361" s="88" t="s">
        <v>29</v>
      </c>
      <c r="C361" s="38" t="s">
        <v>23</v>
      </c>
      <c r="D361" s="153"/>
      <c r="E361" s="153"/>
      <c r="F361" s="153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>
        <f t="shared" si="87"/>
        <v>0</v>
      </c>
      <c r="S361" s="153"/>
      <c r="T361" s="153"/>
      <c r="U361" s="153"/>
      <c r="V361" s="153"/>
      <c r="W361" s="153"/>
      <c r="X361" s="154">
        <f t="shared" si="90"/>
        <v>0</v>
      </c>
      <c r="Y361" s="226">
        <f t="shared" si="91"/>
        <v>0</v>
      </c>
      <c r="Z361" s="371"/>
      <c r="AA361" s="341"/>
    </row>
    <row r="362" spans="1:27" ht="16.5" hidden="1" customHeight="1" x14ac:dyDescent="0.2">
      <c r="A362" s="25"/>
      <c r="B362" s="73" t="s">
        <v>64</v>
      </c>
      <c r="C362" s="38" t="s">
        <v>23</v>
      </c>
      <c r="D362" s="153"/>
      <c r="E362" s="153"/>
      <c r="F362" s="153"/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>
        <f t="shared" si="87"/>
        <v>0</v>
      </c>
      <c r="S362" s="153"/>
      <c r="T362" s="153"/>
      <c r="U362" s="153"/>
      <c r="V362" s="153"/>
      <c r="W362" s="153"/>
      <c r="X362" s="154">
        <f t="shared" si="90"/>
        <v>0</v>
      </c>
      <c r="Y362" s="226">
        <f t="shared" si="91"/>
        <v>0</v>
      </c>
      <c r="Z362" s="371"/>
      <c r="AA362" s="341"/>
    </row>
    <row r="363" spans="1:27" ht="16.5" hidden="1" customHeight="1" x14ac:dyDescent="0.2">
      <c r="A363" s="25"/>
      <c r="B363" s="73" t="s">
        <v>84</v>
      </c>
      <c r="C363" s="38" t="s">
        <v>23</v>
      </c>
      <c r="D363" s="153"/>
      <c r="E363" s="153"/>
      <c r="F363" s="153"/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>
        <f t="shared" si="87"/>
        <v>0</v>
      </c>
      <c r="S363" s="153"/>
      <c r="T363" s="153"/>
      <c r="U363" s="153"/>
      <c r="V363" s="153"/>
      <c r="W363" s="153"/>
      <c r="X363" s="154">
        <f t="shared" si="90"/>
        <v>0</v>
      </c>
      <c r="Y363" s="226">
        <f t="shared" si="91"/>
        <v>0</v>
      </c>
      <c r="Z363" s="371"/>
      <c r="AA363" s="341"/>
    </row>
    <row r="364" spans="1:27" ht="16.5" hidden="1" customHeight="1" x14ac:dyDescent="0.2">
      <c r="A364" s="25"/>
      <c r="B364" s="73" t="s">
        <v>85</v>
      </c>
      <c r="C364" s="38" t="s">
        <v>23</v>
      </c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>
        <f t="shared" ref="R364:R434" si="92">SUM(D364:Q364)</f>
        <v>0</v>
      </c>
      <c r="S364" s="153"/>
      <c r="T364" s="153"/>
      <c r="U364" s="153"/>
      <c r="V364" s="153"/>
      <c r="W364" s="153"/>
      <c r="X364" s="154">
        <f t="shared" si="90"/>
        <v>0</v>
      </c>
      <c r="Y364" s="226">
        <f t="shared" si="91"/>
        <v>0</v>
      </c>
      <c r="Z364" s="371"/>
      <c r="AA364" s="341"/>
    </row>
    <row r="365" spans="1:27" ht="16.5" hidden="1" customHeight="1" x14ac:dyDescent="0.2">
      <c r="A365" s="25"/>
      <c r="B365" s="73" t="s">
        <v>102</v>
      </c>
      <c r="C365" s="38" t="s">
        <v>23</v>
      </c>
      <c r="D365" s="153"/>
      <c r="E365" s="153"/>
      <c r="F365" s="153"/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>
        <f t="shared" si="92"/>
        <v>0</v>
      </c>
      <c r="S365" s="153"/>
      <c r="T365" s="153"/>
      <c r="U365" s="153"/>
      <c r="V365" s="153"/>
      <c r="W365" s="153"/>
      <c r="X365" s="154">
        <f t="shared" si="90"/>
        <v>0</v>
      </c>
      <c r="Y365" s="226">
        <f t="shared" si="91"/>
        <v>0</v>
      </c>
      <c r="Z365" s="371"/>
      <c r="AA365" s="341"/>
    </row>
    <row r="366" spans="1:27" ht="16.5" hidden="1" customHeight="1" x14ac:dyDescent="0.2">
      <c r="A366" s="25"/>
      <c r="B366" s="373" t="s">
        <v>24</v>
      </c>
      <c r="C366" s="374" t="s">
        <v>103</v>
      </c>
      <c r="D366" s="153"/>
      <c r="E366" s="153"/>
      <c r="F366" s="375"/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>
        <f t="shared" si="92"/>
        <v>0</v>
      </c>
      <c r="S366" s="153"/>
      <c r="T366" s="153"/>
      <c r="U366" s="153"/>
      <c r="V366" s="153"/>
      <c r="W366" s="153"/>
      <c r="X366" s="154">
        <f t="shared" si="90"/>
        <v>0</v>
      </c>
      <c r="Y366" s="378">
        <f t="shared" si="91"/>
        <v>0</v>
      </c>
      <c r="Z366" s="371"/>
      <c r="AA366" s="341"/>
    </row>
    <row r="367" spans="1:27" ht="17.25" hidden="1" customHeight="1" thickBot="1" x14ac:dyDescent="0.25">
      <c r="A367" s="79"/>
      <c r="B367" s="81"/>
      <c r="C367" s="40"/>
      <c r="D367" s="142"/>
      <c r="E367" s="142"/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>
        <f t="shared" si="92"/>
        <v>0</v>
      </c>
      <c r="S367" s="142"/>
      <c r="T367" s="142"/>
      <c r="U367" s="142"/>
      <c r="V367" s="142"/>
      <c r="W367" s="142"/>
      <c r="X367" s="148">
        <f t="shared" si="90"/>
        <v>0</v>
      </c>
      <c r="Y367" s="226">
        <f t="shared" si="91"/>
        <v>0</v>
      </c>
      <c r="Z367" s="316"/>
      <c r="AA367" s="341"/>
    </row>
    <row r="368" spans="1:27" ht="18.75" hidden="1" customHeight="1" thickTop="1" thickBot="1" x14ac:dyDescent="0.25">
      <c r="A368" s="46"/>
      <c r="B368" s="87"/>
      <c r="C368" s="43" t="s">
        <v>31</v>
      </c>
      <c r="D368" s="149">
        <f>SUM(D347:D367)</f>
        <v>0</v>
      </c>
      <c r="E368" s="149">
        <f>SUM(E347:E367)</f>
        <v>0</v>
      </c>
      <c r="F368" s="149">
        <f>SUM(F347:F367)</f>
        <v>0</v>
      </c>
      <c r="G368" s="149">
        <f t="shared" ref="G368:R368" si="93">SUM(G347:G367)</f>
        <v>0</v>
      </c>
      <c r="H368" s="149">
        <f t="shared" si="93"/>
        <v>0</v>
      </c>
      <c r="I368" s="149">
        <f t="shared" si="93"/>
        <v>0</v>
      </c>
      <c r="J368" s="149">
        <f t="shared" si="93"/>
        <v>0</v>
      </c>
      <c r="K368" s="149">
        <f t="shared" si="93"/>
        <v>0</v>
      </c>
      <c r="L368" s="149">
        <f t="shared" si="93"/>
        <v>0</v>
      </c>
      <c r="M368" s="149">
        <f t="shared" si="93"/>
        <v>0</v>
      </c>
      <c r="N368" s="149">
        <f t="shared" si="93"/>
        <v>0</v>
      </c>
      <c r="O368" s="149">
        <f t="shared" si="93"/>
        <v>0</v>
      </c>
      <c r="P368" s="149">
        <f t="shared" si="93"/>
        <v>0</v>
      </c>
      <c r="Q368" s="149">
        <f t="shared" si="93"/>
        <v>0</v>
      </c>
      <c r="R368" s="149">
        <f t="shared" si="93"/>
        <v>0</v>
      </c>
      <c r="S368" s="149"/>
      <c r="T368" s="149">
        <f t="shared" ref="T368:Z368" si="94">SUM(T347:T367)</f>
        <v>0</v>
      </c>
      <c r="U368" s="149">
        <f t="shared" si="94"/>
        <v>0</v>
      </c>
      <c r="V368" s="149">
        <f t="shared" si="94"/>
        <v>0</v>
      </c>
      <c r="W368" s="149">
        <f t="shared" si="94"/>
        <v>0</v>
      </c>
      <c r="X368" s="152">
        <f t="shared" si="94"/>
        <v>0</v>
      </c>
      <c r="Y368" s="152">
        <f t="shared" si="94"/>
        <v>0</v>
      </c>
      <c r="Z368" s="258">
        <f t="shared" si="94"/>
        <v>0</v>
      </c>
      <c r="AA368" s="342"/>
    </row>
    <row r="369" spans="1:28" ht="9.9499999999999993" hidden="1" customHeight="1" thickTop="1" x14ac:dyDescent="0.2">
      <c r="A369" s="175"/>
      <c r="B369" s="176"/>
      <c r="C369" s="177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  <c r="Z369" s="259"/>
      <c r="AA369" s="342"/>
    </row>
    <row r="370" spans="1:28" ht="17.25" hidden="1" customHeight="1" x14ac:dyDescent="0.2">
      <c r="A370" s="180"/>
      <c r="B370" s="181"/>
      <c r="C370" s="189" t="s">
        <v>57</v>
      </c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>
        <f t="shared" si="92"/>
        <v>0</v>
      </c>
      <c r="S370" s="182"/>
      <c r="T370" s="182"/>
      <c r="U370" s="182"/>
      <c r="V370" s="182"/>
      <c r="W370" s="182"/>
      <c r="X370" s="182">
        <f t="shared" si="90"/>
        <v>0</v>
      </c>
      <c r="Y370" s="182">
        <f t="shared" si="91"/>
        <v>0</v>
      </c>
      <c r="Z370" s="260"/>
      <c r="AA370" s="342"/>
    </row>
    <row r="371" spans="1:28" ht="9.9499999999999993" hidden="1" customHeight="1" thickBot="1" x14ac:dyDescent="0.25">
      <c r="A371" s="184"/>
      <c r="B371" s="185"/>
      <c r="C371" s="186"/>
      <c r="D371" s="187"/>
      <c r="E371" s="187"/>
      <c r="F371" s="187"/>
      <c r="G371" s="187"/>
      <c r="H371" s="187"/>
      <c r="I371" s="187"/>
      <c r="J371" s="187"/>
      <c r="K371" s="187"/>
      <c r="L371" s="187"/>
      <c r="M371" s="187"/>
      <c r="N371" s="187"/>
      <c r="O371" s="187"/>
      <c r="P371" s="187"/>
      <c r="Q371" s="187"/>
      <c r="R371" s="187"/>
      <c r="S371" s="187"/>
      <c r="T371" s="187"/>
      <c r="U371" s="187"/>
      <c r="V371" s="187"/>
      <c r="W371" s="187"/>
      <c r="X371" s="187"/>
      <c r="Y371" s="187"/>
      <c r="Z371" s="261"/>
      <c r="AA371" s="342"/>
    </row>
    <row r="372" spans="1:28" ht="24.75" hidden="1" customHeight="1" thickTop="1" thickBot="1" x14ac:dyDescent="0.25">
      <c r="A372" s="89"/>
      <c r="B372" s="111" t="s">
        <v>169</v>
      </c>
      <c r="C372" s="43" t="s">
        <v>136</v>
      </c>
      <c r="D372" s="542">
        <f>D249+D346+D368+D370</f>
        <v>156420</v>
      </c>
      <c r="E372" s="542">
        <f t="shared" ref="E372:Z372" si="95">E249+E346+E368+E370</f>
        <v>32345</v>
      </c>
      <c r="F372" s="542">
        <f t="shared" si="95"/>
        <v>5395172.7810000004</v>
      </c>
      <c r="G372" s="542">
        <f t="shared" si="95"/>
        <v>224581</v>
      </c>
      <c r="H372" s="542">
        <f t="shared" si="95"/>
        <v>308609</v>
      </c>
      <c r="I372" s="542">
        <f t="shared" si="95"/>
        <v>68671</v>
      </c>
      <c r="J372" s="542">
        <f t="shared" si="95"/>
        <v>996636</v>
      </c>
      <c r="K372" s="542">
        <f t="shared" si="95"/>
        <v>2633912</v>
      </c>
      <c r="L372" s="542">
        <f t="shared" si="95"/>
        <v>10187135</v>
      </c>
      <c r="M372" s="542">
        <f t="shared" si="95"/>
        <v>490047</v>
      </c>
      <c r="N372" s="542">
        <f t="shared" si="95"/>
        <v>100000</v>
      </c>
      <c r="O372" s="542">
        <f t="shared" si="95"/>
        <v>3000</v>
      </c>
      <c r="P372" s="542">
        <f t="shared" si="95"/>
        <v>0</v>
      </c>
      <c r="Q372" s="542">
        <f t="shared" si="95"/>
        <v>634136</v>
      </c>
      <c r="R372" s="542">
        <f t="shared" si="95"/>
        <v>21230664.780999999</v>
      </c>
      <c r="S372" s="155"/>
      <c r="T372" s="542">
        <f t="shared" si="95"/>
        <v>0</v>
      </c>
      <c r="U372" s="542">
        <f t="shared" si="95"/>
        <v>0</v>
      </c>
      <c r="V372" s="542">
        <f t="shared" si="95"/>
        <v>56742</v>
      </c>
      <c r="W372" s="542">
        <f t="shared" si="95"/>
        <v>0</v>
      </c>
      <c r="X372" s="543">
        <f t="shared" si="95"/>
        <v>56742</v>
      </c>
      <c r="Y372" s="543">
        <f t="shared" si="95"/>
        <v>21287406.780999999</v>
      </c>
      <c r="Z372" s="544">
        <f t="shared" si="95"/>
        <v>8879594.9979999997</v>
      </c>
      <c r="AA372" s="344"/>
      <c r="AB372" s="117">
        <f>Y372+Z372</f>
        <v>30167001.778999999</v>
      </c>
    </row>
    <row r="373" spans="1:28" ht="24.95" hidden="1" customHeight="1" thickTop="1" x14ac:dyDescent="0.2">
      <c r="A373" s="547"/>
      <c r="B373" s="547" t="s">
        <v>170</v>
      </c>
      <c r="C373" s="551" t="s">
        <v>18</v>
      </c>
      <c r="D373" s="552">
        <f t="shared" ref="D373:Q373" si="96">D372</f>
        <v>156420</v>
      </c>
      <c r="E373" s="552">
        <f t="shared" si="96"/>
        <v>32345</v>
      </c>
      <c r="F373" s="552">
        <f t="shared" si="96"/>
        <v>5395172.7810000004</v>
      </c>
      <c r="G373" s="552">
        <f t="shared" si="96"/>
        <v>224581</v>
      </c>
      <c r="H373" s="552">
        <f t="shared" si="96"/>
        <v>308609</v>
      </c>
      <c r="I373" s="552">
        <f t="shared" si="96"/>
        <v>68671</v>
      </c>
      <c r="J373" s="552">
        <f t="shared" si="96"/>
        <v>996636</v>
      </c>
      <c r="K373" s="552">
        <f t="shared" si="96"/>
        <v>2633912</v>
      </c>
      <c r="L373" s="552">
        <f t="shared" si="96"/>
        <v>10187135</v>
      </c>
      <c r="M373" s="552">
        <f t="shared" si="96"/>
        <v>490047</v>
      </c>
      <c r="N373" s="552">
        <f t="shared" si="96"/>
        <v>100000</v>
      </c>
      <c r="O373" s="552">
        <f t="shared" si="96"/>
        <v>3000</v>
      </c>
      <c r="P373" s="552">
        <f t="shared" si="96"/>
        <v>0</v>
      </c>
      <c r="Q373" s="552">
        <f t="shared" si="96"/>
        <v>634136</v>
      </c>
      <c r="R373" s="552">
        <f t="shared" si="92"/>
        <v>21230664.780999999</v>
      </c>
      <c r="S373" s="552"/>
      <c r="T373" s="552">
        <f>T372</f>
        <v>0</v>
      </c>
      <c r="U373" s="552">
        <f>U372</f>
        <v>0</v>
      </c>
      <c r="V373" s="552">
        <f>V372</f>
        <v>56742</v>
      </c>
      <c r="W373" s="552">
        <f>W372</f>
        <v>0</v>
      </c>
      <c r="X373" s="553">
        <f t="shared" si="90"/>
        <v>56742</v>
      </c>
      <c r="Y373" s="554">
        <f t="shared" si="91"/>
        <v>21287406.780999999</v>
      </c>
      <c r="Z373" s="555">
        <f>Z372</f>
        <v>8879594.9979999997</v>
      </c>
      <c r="AA373" s="334"/>
    </row>
    <row r="374" spans="1:28" ht="20.100000000000001" hidden="1" customHeight="1" x14ac:dyDescent="0.25">
      <c r="A374" s="25">
        <v>1</v>
      </c>
      <c r="B374" s="88"/>
      <c r="C374" s="38"/>
      <c r="D374" s="153"/>
      <c r="E374" s="153"/>
      <c r="F374" s="153"/>
      <c r="G374" s="153"/>
      <c r="H374" s="153"/>
      <c r="I374" s="153"/>
      <c r="J374" s="153"/>
      <c r="K374" s="153"/>
      <c r="L374" s="153"/>
      <c r="M374" s="153"/>
      <c r="N374" s="153"/>
      <c r="O374" s="153"/>
      <c r="P374" s="153"/>
      <c r="Q374" s="153"/>
      <c r="R374" s="153">
        <f t="shared" si="92"/>
        <v>0</v>
      </c>
      <c r="S374" s="153"/>
      <c r="T374" s="153"/>
      <c r="U374" s="153"/>
      <c r="V374" s="153"/>
      <c r="W374" s="153"/>
      <c r="X374" s="154">
        <f t="shared" si="90"/>
        <v>0</v>
      </c>
      <c r="Y374" s="226">
        <f t="shared" si="91"/>
        <v>0</v>
      </c>
      <c r="Z374" s="371"/>
      <c r="AA374" s="341"/>
    </row>
    <row r="375" spans="1:28" ht="20.100000000000001" hidden="1" customHeight="1" x14ac:dyDescent="0.25">
      <c r="A375" s="25">
        <v>2</v>
      </c>
      <c r="B375" s="88"/>
      <c r="C375" s="38"/>
      <c r="D375" s="153"/>
      <c r="E375" s="153"/>
      <c r="F375" s="153"/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  <c r="Q375" s="153"/>
      <c r="R375" s="153">
        <f t="shared" si="92"/>
        <v>0</v>
      </c>
      <c r="S375" s="153"/>
      <c r="T375" s="153"/>
      <c r="U375" s="153"/>
      <c r="V375" s="153"/>
      <c r="W375" s="153"/>
      <c r="X375" s="154">
        <f t="shared" si="90"/>
        <v>0</v>
      </c>
      <c r="Y375" s="226">
        <f t="shared" si="91"/>
        <v>0</v>
      </c>
      <c r="Z375" s="371"/>
      <c r="AA375" s="341"/>
    </row>
    <row r="376" spans="1:28" ht="20.100000000000001" hidden="1" customHeight="1" x14ac:dyDescent="0.25">
      <c r="A376" s="25">
        <v>3</v>
      </c>
      <c r="B376" s="88"/>
      <c r="C376" s="38"/>
      <c r="D376" s="153"/>
      <c r="E376" s="153"/>
      <c r="F376" s="153"/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>
        <f t="shared" si="92"/>
        <v>0</v>
      </c>
      <c r="S376" s="153"/>
      <c r="T376" s="153"/>
      <c r="U376" s="153"/>
      <c r="V376" s="153"/>
      <c r="W376" s="153"/>
      <c r="X376" s="154">
        <f t="shared" si="90"/>
        <v>0</v>
      </c>
      <c r="Y376" s="226">
        <f t="shared" si="91"/>
        <v>0</v>
      </c>
      <c r="Z376" s="371"/>
      <c r="AA376" s="341"/>
    </row>
    <row r="377" spans="1:28" ht="20.100000000000001" hidden="1" customHeight="1" x14ac:dyDescent="0.25">
      <c r="A377" s="25">
        <v>4</v>
      </c>
      <c r="B377" s="88"/>
      <c r="C377" s="38"/>
      <c r="D377" s="153"/>
      <c r="E377" s="153"/>
      <c r="F377" s="153"/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>
        <f>SUM(D377:Q377)</f>
        <v>0</v>
      </c>
      <c r="S377" s="153"/>
      <c r="T377" s="153"/>
      <c r="U377" s="153"/>
      <c r="V377" s="153"/>
      <c r="W377" s="153"/>
      <c r="X377" s="154">
        <f>SUM(T377:W377)</f>
        <v>0</v>
      </c>
      <c r="Y377" s="226">
        <f>R377+X377</f>
        <v>0</v>
      </c>
      <c r="Z377" s="371"/>
      <c r="AA377" s="341"/>
    </row>
    <row r="378" spans="1:28" ht="20.100000000000001" hidden="1" customHeight="1" x14ac:dyDescent="0.2">
      <c r="A378" s="25">
        <v>5</v>
      </c>
      <c r="B378" s="73"/>
      <c r="C378" s="38"/>
      <c r="D378" s="153"/>
      <c r="E378" s="153"/>
      <c r="F378" s="153"/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>
        <f t="shared" si="92"/>
        <v>0</v>
      </c>
      <c r="S378" s="153"/>
      <c r="T378" s="153"/>
      <c r="U378" s="153"/>
      <c r="V378" s="153"/>
      <c r="W378" s="153"/>
      <c r="X378" s="154">
        <f t="shared" si="90"/>
        <v>0</v>
      </c>
      <c r="Y378" s="226">
        <f t="shared" si="91"/>
        <v>0</v>
      </c>
      <c r="Z378" s="371"/>
      <c r="AA378" s="341"/>
    </row>
    <row r="379" spans="1:28" ht="20.100000000000001" hidden="1" customHeight="1" x14ac:dyDescent="0.25">
      <c r="A379" s="25">
        <v>6</v>
      </c>
      <c r="B379" s="88"/>
      <c r="C379" s="38"/>
      <c r="D379" s="153"/>
      <c r="E379" s="153"/>
      <c r="F379" s="153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>
        <f t="shared" si="92"/>
        <v>0</v>
      </c>
      <c r="S379" s="153"/>
      <c r="T379" s="153"/>
      <c r="U379" s="153"/>
      <c r="V379" s="153"/>
      <c r="W379" s="153"/>
      <c r="X379" s="154">
        <f t="shared" si="90"/>
        <v>0</v>
      </c>
      <c r="Y379" s="226">
        <f t="shared" si="91"/>
        <v>0</v>
      </c>
      <c r="Z379" s="371"/>
      <c r="AA379" s="341"/>
    </row>
    <row r="380" spans="1:28" ht="20.100000000000001" hidden="1" customHeight="1" x14ac:dyDescent="0.25">
      <c r="A380" s="25">
        <v>7</v>
      </c>
      <c r="B380" s="88"/>
      <c r="C380" s="38"/>
      <c r="D380" s="153"/>
      <c r="E380" s="153"/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>
        <f t="shared" si="92"/>
        <v>0</v>
      </c>
      <c r="S380" s="153"/>
      <c r="T380" s="153"/>
      <c r="U380" s="153"/>
      <c r="V380" s="153"/>
      <c r="W380" s="153"/>
      <c r="X380" s="154">
        <f t="shared" si="90"/>
        <v>0</v>
      </c>
      <c r="Y380" s="226">
        <f t="shared" si="91"/>
        <v>0</v>
      </c>
      <c r="Z380" s="371"/>
      <c r="AA380" s="341"/>
    </row>
    <row r="381" spans="1:28" ht="20.100000000000001" hidden="1" customHeight="1" x14ac:dyDescent="0.25">
      <c r="A381" s="25">
        <v>8</v>
      </c>
      <c r="B381" s="88"/>
      <c r="C381" s="38"/>
      <c r="D381" s="153"/>
      <c r="E381" s="153"/>
      <c r="F381" s="153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53">
        <f t="shared" si="92"/>
        <v>0</v>
      </c>
      <c r="S381" s="153"/>
      <c r="T381" s="153"/>
      <c r="U381" s="153"/>
      <c r="V381" s="153"/>
      <c r="W381" s="153"/>
      <c r="X381" s="154">
        <f t="shared" si="90"/>
        <v>0</v>
      </c>
      <c r="Y381" s="226">
        <f t="shared" si="91"/>
        <v>0</v>
      </c>
      <c r="Z381" s="371"/>
      <c r="AA381" s="341"/>
    </row>
    <row r="382" spans="1:28" ht="20.100000000000001" hidden="1" customHeight="1" x14ac:dyDescent="0.25">
      <c r="A382" s="25">
        <v>9</v>
      </c>
      <c r="B382" s="88"/>
      <c r="C382" s="38"/>
      <c r="D382" s="153"/>
      <c r="E382" s="153"/>
      <c r="F382" s="153"/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53">
        <f t="shared" si="92"/>
        <v>0</v>
      </c>
      <c r="S382" s="153"/>
      <c r="T382" s="153"/>
      <c r="U382" s="153"/>
      <c r="V382" s="153"/>
      <c r="W382" s="153"/>
      <c r="X382" s="154">
        <f t="shared" si="90"/>
        <v>0</v>
      </c>
      <c r="Y382" s="226">
        <f t="shared" si="91"/>
        <v>0</v>
      </c>
      <c r="Z382" s="371"/>
      <c r="AA382" s="341"/>
    </row>
    <row r="383" spans="1:28" ht="20.100000000000001" hidden="1" customHeight="1" x14ac:dyDescent="0.25">
      <c r="A383" s="25">
        <v>10</v>
      </c>
      <c r="B383" s="88"/>
      <c r="C383" s="38"/>
      <c r="D383" s="153"/>
      <c r="E383" s="153"/>
      <c r="F383" s="153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53">
        <f t="shared" si="92"/>
        <v>0</v>
      </c>
      <c r="S383" s="153"/>
      <c r="T383" s="153"/>
      <c r="U383" s="153"/>
      <c r="V383" s="153"/>
      <c r="W383" s="153"/>
      <c r="X383" s="154">
        <f t="shared" si="90"/>
        <v>0</v>
      </c>
      <c r="Y383" s="226">
        <f t="shared" si="91"/>
        <v>0</v>
      </c>
      <c r="Z383" s="371"/>
      <c r="AA383" s="341"/>
    </row>
    <row r="384" spans="1:28" ht="20.100000000000001" hidden="1" customHeight="1" x14ac:dyDescent="0.25">
      <c r="A384" s="25">
        <v>11</v>
      </c>
      <c r="B384" s="88"/>
      <c r="C384" s="38"/>
      <c r="D384" s="153"/>
      <c r="E384" s="153"/>
      <c r="F384" s="153"/>
      <c r="G384" s="153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53">
        <f t="shared" si="92"/>
        <v>0</v>
      </c>
      <c r="S384" s="153"/>
      <c r="T384" s="153"/>
      <c r="U384" s="153"/>
      <c r="V384" s="153"/>
      <c r="W384" s="153"/>
      <c r="X384" s="154">
        <f t="shared" si="90"/>
        <v>0</v>
      </c>
      <c r="Y384" s="226">
        <f t="shared" si="91"/>
        <v>0</v>
      </c>
      <c r="Z384" s="371"/>
      <c r="AA384" s="341"/>
    </row>
    <row r="385" spans="1:42" ht="20.100000000000001" hidden="1" customHeight="1" x14ac:dyDescent="0.25">
      <c r="A385" s="25">
        <v>12</v>
      </c>
      <c r="B385" s="88"/>
      <c r="C385" s="38"/>
      <c r="D385" s="153"/>
      <c r="E385" s="153"/>
      <c r="F385" s="153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>
        <f t="shared" si="92"/>
        <v>0</v>
      </c>
      <c r="S385" s="153"/>
      <c r="T385" s="153"/>
      <c r="U385" s="153"/>
      <c r="V385" s="153"/>
      <c r="W385" s="153"/>
      <c r="X385" s="154">
        <f t="shared" si="90"/>
        <v>0</v>
      </c>
      <c r="Y385" s="226">
        <f t="shared" si="91"/>
        <v>0</v>
      </c>
      <c r="Z385" s="371"/>
      <c r="AA385" s="341"/>
    </row>
    <row r="386" spans="1:42" ht="20.100000000000001" hidden="1" customHeight="1" x14ac:dyDescent="0.25">
      <c r="A386" s="25">
        <v>13</v>
      </c>
      <c r="B386" s="88"/>
      <c r="C386" s="38"/>
      <c r="D386" s="153"/>
      <c r="E386" s="153"/>
      <c r="F386" s="153"/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  <c r="Q386" s="153"/>
      <c r="R386" s="153">
        <f t="shared" si="92"/>
        <v>0</v>
      </c>
      <c r="S386" s="153"/>
      <c r="T386" s="153"/>
      <c r="U386" s="153"/>
      <c r="V386" s="153"/>
      <c r="W386" s="153"/>
      <c r="X386" s="154">
        <f t="shared" si="90"/>
        <v>0</v>
      </c>
      <c r="Y386" s="226">
        <f t="shared" si="91"/>
        <v>0</v>
      </c>
      <c r="Z386" s="371"/>
      <c r="AA386" s="341"/>
    </row>
    <row r="387" spans="1:42" ht="20.100000000000001" hidden="1" customHeight="1" x14ac:dyDescent="0.25">
      <c r="A387" s="25">
        <v>14</v>
      </c>
      <c r="B387" s="88"/>
      <c r="C387" s="38"/>
      <c r="D387" s="153"/>
      <c r="E387" s="153"/>
      <c r="F387" s="153"/>
      <c r="G387" s="153"/>
      <c r="H387" s="153"/>
      <c r="I387" s="153"/>
      <c r="J387" s="153"/>
      <c r="K387" s="153"/>
      <c r="L387" s="153"/>
      <c r="M387" s="153"/>
      <c r="N387" s="153"/>
      <c r="O387" s="153"/>
      <c r="P387" s="153"/>
      <c r="Q387" s="153"/>
      <c r="R387" s="153">
        <f t="shared" si="92"/>
        <v>0</v>
      </c>
      <c r="S387" s="153"/>
      <c r="T387" s="153"/>
      <c r="U387" s="153"/>
      <c r="V387" s="153"/>
      <c r="W387" s="153"/>
      <c r="X387" s="154">
        <f t="shared" si="90"/>
        <v>0</v>
      </c>
      <c r="Y387" s="226">
        <f t="shared" si="91"/>
        <v>0</v>
      </c>
      <c r="Z387" s="371"/>
      <c r="AA387" s="341"/>
    </row>
    <row r="388" spans="1:42" ht="20.100000000000001" hidden="1" customHeight="1" x14ac:dyDescent="0.25">
      <c r="A388" s="25">
        <v>15</v>
      </c>
      <c r="B388" s="88"/>
      <c r="C388" s="38"/>
      <c r="D388" s="153"/>
      <c r="E388" s="153"/>
      <c r="F388" s="153"/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53">
        <f t="shared" si="92"/>
        <v>0</v>
      </c>
      <c r="S388" s="153"/>
      <c r="T388" s="153"/>
      <c r="U388" s="153"/>
      <c r="V388" s="153"/>
      <c r="W388" s="153"/>
      <c r="X388" s="154">
        <f t="shared" si="90"/>
        <v>0</v>
      </c>
      <c r="Y388" s="226">
        <f t="shared" si="91"/>
        <v>0</v>
      </c>
      <c r="Z388" s="371"/>
      <c r="AA388" s="341"/>
    </row>
    <row r="389" spans="1:42" ht="20.100000000000001" hidden="1" customHeight="1" x14ac:dyDescent="0.25">
      <c r="A389" s="25">
        <v>16</v>
      </c>
      <c r="B389" s="556"/>
      <c r="C389" s="38"/>
      <c r="D389" s="153"/>
      <c r="E389" s="153"/>
      <c r="F389" s="153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>
        <f t="shared" si="92"/>
        <v>0</v>
      </c>
      <c r="S389" s="153"/>
      <c r="T389" s="153"/>
      <c r="U389" s="153"/>
      <c r="V389" s="153"/>
      <c r="W389" s="153"/>
      <c r="X389" s="154">
        <f t="shared" si="90"/>
        <v>0</v>
      </c>
      <c r="Y389" s="226">
        <f t="shared" si="91"/>
        <v>0</v>
      </c>
      <c r="Z389" s="371"/>
      <c r="AA389" s="341"/>
    </row>
    <row r="390" spans="1:42" s="528" customFormat="1" ht="20.100000000000001" hidden="1" customHeight="1" x14ac:dyDescent="0.25">
      <c r="A390" s="25">
        <v>17</v>
      </c>
      <c r="B390" s="556"/>
      <c r="C390" s="38"/>
      <c r="D390" s="522"/>
      <c r="E390" s="522"/>
      <c r="F390" s="522"/>
      <c r="G390" s="522"/>
      <c r="H390" s="522"/>
      <c r="I390" s="522"/>
      <c r="J390" s="522"/>
      <c r="K390" s="522"/>
      <c r="L390" s="522"/>
      <c r="M390" s="522"/>
      <c r="N390" s="522"/>
      <c r="O390" s="522"/>
      <c r="P390" s="522"/>
      <c r="Q390" s="522"/>
      <c r="R390" s="153">
        <f t="shared" si="92"/>
        <v>0</v>
      </c>
      <c r="S390" s="522"/>
      <c r="T390" s="522"/>
      <c r="U390" s="522"/>
      <c r="V390" s="522"/>
      <c r="W390" s="522"/>
      <c r="X390" s="154">
        <f t="shared" si="90"/>
        <v>0</v>
      </c>
      <c r="Y390" s="226">
        <f t="shared" si="91"/>
        <v>0</v>
      </c>
      <c r="Z390" s="557"/>
      <c r="AA390" s="558"/>
      <c r="AB390" s="539"/>
      <c r="AC390" s="539"/>
      <c r="AD390" s="539"/>
      <c r="AE390" s="539"/>
      <c r="AF390" s="539"/>
      <c r="AG390" s="539"/>
      <c r="AH390" s="539"/>
      <c r="AI390" s="539"/>
      <c r="AJ390" s="539"/>
      <c r="AK390" s="539"/>
      <c r="AL390" s="539"/>
      <c r="AM390" s="539"/>
      <c r="AN390" s="539"/>
      <c r="AO390" s="539"/>
      <c r="AP390" s="539"/>
    </row>
    <row r="391" spans="1:42" s="528" customFormat="1" ht="20.100000000000001" hidden="1" customHeight="1" x14ac:dyDescent="0.25">
      <c r="A391" s="25">
        <v>18</v>
      </c>
      <c r="B391" s="556"/>
      <c r="C391" s="38"/>
      <c r="D391" s="522"/>
      <c r="E391" s="522"/>
      <c r="F391" s="522"/>
      <c r="G391" s="522"/>
      <c r="H391" s="522"/>
      <c r="I391" s="522"/>
      <c r="J391" s="522"/>
      <c r="K391" s="522"/>
      <c r="L391" s="522"/>
      <c r="M391" s="522"/>
      <c r="N391" s="522"/>
      <c r="O391" s="522"/>
      <c r="P391" s="522"/>
      <c r="Q391" s="522"/>
      <c r="R391" s="153">
        <f t="shared" si="92"/>
        <v>0</v>
      </c>
      <c r="S391" s="522"/>
      <c r="T391" s="522"/>
      <c r="U391" s="522"/>
      <c r="V391" s="522"/>
      <c r="W391" s="522"/>
      <c r="X391" s="154">
        <f t="shared" si="90"/>
        <v>0</v>
      </c>
      <c r="Y391" s="226">
        <f t="shared" si="91"/>
        <v>0</v>
      </c>
      <c r="Z391" s="557"/>
      <c r="AA391" s="558"/>
      <c r="AB391" s="539"/>
      <c r="AC391" s="539"/>
      <c r="AD391" s="539"/>
      <c r="AE391" s="539"/>
      <c r="AF391" s="539"/>
      <c r="AG391" s="539"/>
      <c r="AH391" s="539"/>
      <c r="AI391" s="539"/>
      <c r="AJ391" s="539"/>
      <c r="AK391" s="539"/>
      <c r="AL391" s="539"/>
      <c r="AM391" s="539"/>
      <c r="AN391" s="539"/>
      <c r="AO391" s="539"/>
      <c r="AP391" s="539"/>
    </row>
    <row r="392" spans="1:42" ht="20.100000000000001" hidden="1" customHeight="1" x14ac:dyDescent="0.25">
      <c r="A392" s="25">
        <v>19</v>
      </c>
      <c r="B392" s="88"/>
      <c r="C392" s="38"/>
      <c r="D392" s="153"/>
      <c r="E392" s="153"/>
      <c r="F392" s="153"/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  <c r="Q392" s="153"/>
      <c r="R392" s="153">
        <f t="shared" si="92"/>
        <v>0</v>
      </c>
      <c r="S392" s="153"/>
      <c r="T392" s="153"/>
      <c r="U392" s="153"/>
      <c r="V392" s="153"/>
      <c r="W392" s="153"/>
      <c r="X392" s="154">
        <f t="shared" si="90"/>
        <v>0</v>
      </c>
      <c r="Y392" s="226">
        <f t="shared" si="91"/>
        <v>0</v>
      </c>
      <c r="Z392" s="371"/>
      <c r="AA392" s="341"/>
    </row>
    <row r="393" spans="1:42" ht="20.100000000000001" hidden="1" customHeight="1" x14ac:dyDescent="0.2">
      <c r="A393" s="25">
        <v>20</v>
      </c>
      <c r="B393" s="73"/>
      <c r="C393" s="38"/>
      <c r="D393" s="153"/>
      <c r="E393" s="153"/>
      <c r="F393" s="153"/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  <c r="Q393" s="153"/>
      <c r="R393" s="153">
        <f t="shared" si="92"/>
        <v>0</v>
      </c>
      <c r="S393" s="153"/>
      <c r="T393" s="153"/>
      <c r="U393" s="153"/>
      <c r="V393" s="153"/>
      <c r="W393" s="153"/>
      <c r="X393" s="154">
        <f t="shared" si="90"/>
        <v>0</v>
      </c>
      <c r="Y393" s="226">
        <f t="shared" si="91"/>
        <v>0</v>
      </c>
      <c r="Z393" s="371"/>
      <c r="AA393" s="341"/>
    </row>
    <row r="394" spans="1:42" ht="20.100000000000001" hidden="1" customHeight="1" x14ac:dyDescent="0.2">
      <c r="A394" s="25">
        <v>21</v>
      </c>
      <c r="B394" s="73"/>
      <c r="C394" s="38"/>
      <c r="D394" s="153"/>
      <c r="E394" s="153"/>
      <c r="F394" s="153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>
        <f t="shared" si="92"/>
        <v>0</v>
      </c>
      <c r="S394" s="153"/>
      <c r="T394" s="153"/>
      <c r="U394" s="153"/>
      <c r="V394" s="153"/>
      <c r="W394" s="153"/>
      <c r="X394" s="154">
        <f t="shared" si="90"/>
        <v>0</v>
      </c>
      <c r="Y394" s="226">
        <f t="shared" si="91"/>
        <v>0</v>
      </c>
      <c r="Z394" s="371"/>
      <c r="AA394" s="341"/>
    </row>
    <row r="395" spans="1:42" ht="20.100000000000001" hidden="1" customHeight="1" x14ac:dyDescent="0.2">
      <c r="A395" s="25">
        <v>22</v>
      </c>
      <c r="B395" s="73"/>
      <c r="C395" s="38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>
        <f t="shared" si="92"/>
        <v>0</v>
      </c>
      <c r="S395" s="153"/>
      <c r="T395" s="153"/>
      <c r="U395" s="153"/>
      <c r="V395" s="153"/>
      <c r="W395" s="153"/>
      <c r="X395" s="154">
        <f t="shared" si="90"/>
        <v>0</v>
      </c>
      <c r="Y395" s="226">
        <f t="shared" si="91"/>
        <v>0</v>
      </c>
      <c r="Z395" s="371"/>
      <c r="AA395" s="341"/>
    </row>
    <row r="396" spans="1:42" ht="20.100000000000001" hidden="1" customHeight="1" x14ac:dyDescent="0.2">
      <c r="A396" s="25">
        <v>23</v>
      </c>
      <c r="B396" s="73"/>
      <c r="C396" s="38"/>
      <c r="D396" s="153"/>
      <c r="E396" s="153"/>
      <c r="F396" s="153"/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  <c r="Q396" s="153"/>
      <c r="R396" s="153">
        <f t="shared" si="92"/>
        <v>0</v>
      </c>
      <c r="S396" s="153"/>
      <c r="T396" s="153"/>
      <c r="U396" s="153"/>
      <c r="V396" s="153"/>
      <c r="W396" s="153"/>
      <c r="X396" s="154">
        <f t="shared" si="90"/>
        <v>0</v>
      </c>
      <c r="Y396" s="226">
        <f t="shared" si="91"/>
        <v>0</v>
      </c>
      <c r="Z396" s="371"/>
      <c r="AA396" s="341"/>
    </row>
    <row r="397" spans="1:42" ht="20.100000000000001" hidden="1" customHeight="1" x14ac:dyDescent="0.2">
      <c r="A397" s="25">
        <v>24</v>
      </c>
      <c r="B397" s="73"/>
      <c r="C397" s="38"/>
      <c r="D397" s="153"/>
      <c r="E397" s="153"/>
      <c r="F397" s="153"/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>
        <f t="shared" si="92"/>
        <v>0</v>
      </c>
      <c r="S397" s="153"/>
      <c r="T397" s="153"/>
      <c r="U397" s="153"/>
      <c r="V397" s="153"/>
      <c r="W397" s="153"/>
      <c r="X397" s="154">
        <f t="shared" si="90"/>
        <v>0</v>
      </c>
      <c r="Y397" s="226">
        <f t="shared" si="91"/>
        <v>0</v>
      </c>
      <c r="Z397" s="371"/>
      <c r="AA397" s="341"/>
    </row>
    <row r="398" spans="1:42" ht="20.100000000000001" hidden="1" customHeight="1" x14ac:dyDescent="0.2">
      <c r="A398" s="25">
        <v>25</v>
      </c>
      <c r="B398" s="73"/>
      <c r="C398" s="38"/>
      <c r="D398" s="153"/>
      <c r="E398" s="153"/>
      <c r="F398" s="153"/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>
        <f t="shared" si="92"/>
        <v>0</v>
      </c>
      <c r="S398" s="153"/>
      <c r="T398" s="153"/>
      <c r="U398" s="153"/>
      <c r="V398" s="153"/>
      <c r="W398" s="153"/>
      <c r="X398" s="154">
        <f t="shared" si="90"/>
        <v>0</v>
      </c>
      <c r="Y398" s="226">
        <f t="shared" si="91"/>
        <v>0</v>
      </c>
      <c r="Z398" s="371"/>
      <c r="AA398" s="341"/>
    </row>
    <row r="399" spans="1:42" ht="20.100000000000001" hidden="1" customHeight="1" x14ac:dyDescent="0.2">
      <c r="A399" s="25">
        <v>26</v>
      </c>
      <c r="B399" s="73"/>
      <c r="C399" s="38"/>
      <c r="D399" s="153"/>
      <c r="E399" s="153"/>
      <c r="F399" s="153"/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>
        <f t="shared" si="92"/>
        <v>0</v>
      </c>
      <c r="S399" s="153"/>
      <c r="T399" s="153"/>
      <c r="U399" s="153"/>
      <c r="V399" s="153"/>
      <c r="W399" s="153"/>
      <c r="X399" s="154">
        <f t="shared" si="90"/>
        <v>0</v>
      </c>
      <c r="Y399" s="226">
        <f t="shared" si="91"/>
        <v>0</v>
      </c>
      <c r="Z399" s="371"/>
      <c r="AA399" s="341"/>
    </row>
    <row r="400" spans="1:42" ht="20.100000000000001" hidden="1" customHeight="1" x14ac:dyDescent="0.2">
      <c r="A400" s="25">
        <v>27</v>
      </c>
      <c r="B400" s="73"/>
      <c r="C400" s="38"/>
      <c r="D400" s="153"/>
      <c r="E400" s="153"/>
      <c r="F400" s="153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>
        <f t="shared" si="92"/>
        <v>0</v>
      </c>
      <c r="S400" s="153"/>
      <c r="T400" s="153"/>
      <c r="U400" s="153"/>
      <c r="V400" s="153"/>
      <c r="W400" s="153"/>
      <c r="X400" s="154">
        <f t="shared" si="90"/>
        <v>0</v>
      </c>
      <c r="Y400" s="226">
        <f t="shared" si="91"/>
        <v>0</v>
      </c>
      <c r="Z400" s="371"/>
      <c r="AA400" s="341"/>
    </row>
    <row r="401" spans="1:27" ht="20.100000000000001" hidden="1" customHeight="1" x14ac:dyDescent="0.2">
      <c r="A401" s="25">
        <v>28</v>
      </c>
      <c r="B401" s="73"/>
      <c r="C401" s="38"/>
      <c r="D401" s="153"/>
      <c r="E401" s="153"/>
      <c r="F401" s="153"/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>
        <f t="shared" si="92"/>
        <v>0</v>
      </c>
      <c r="S401" s="153"/>
      <c r="T401" s="153"/>
      <c r="U401" s="153"/>
      <c r="V401" s="153"/>
      <c r="W401" s="153"/>
      <c r="X401" s="154">
        <f t="shared" si="90"/>
        <v>0</v>
      </c>
      <c r="Y401" s="226">
        <f t="shared" si="91"/>
        <v>0</v>
      </c>
      <c r="Z401" s="371"/>
      <c r="AA401" s="341"/>
    </row>
    <row r="402" spans="1:27" ht="20.100000000000001" hidden="1" customHeight="1" x14ac:dyDescent="0.2">
      <c r="A402" s="588">
        <v>29</v>
      </c>
      <c r="B402" s="280"/>
      <c r="C402" s="38"/>
      <c r="D402" s="153"/>
      <c r="E402" s="153"/>
      <c r="F402" s="153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>
        <f t="shared" si="92"/>
        <v>0</v>
      </c>
      <c r="S402" s="153"/>
      <c r="T402" s="153"/>
      <c r="U402" s="153"/>
      <c r="V402" s="153"/>
      <c r="W402" s="153"/>
      <c r="X402" s="154">
        <f t="shared" si="90"/>
        <v>0</v>
      </c>
      <c r="Y402" s="226">
        <f t="shared" si="91"/>
        <v>0</v>
      </c>
      <c r="Z402" s="371"/>
      <c r="AA402" s="341"/>
    </row>
    <row r="403" spans="1:27" ht="20.100000000000001" hidden="1" customHeight="1" x14ac:dyDescent="0.2">
      <c r="A403" s="25"/>
      <c r="B403" s="73"/>
      <c r="C403" s="38"/>
      <c r="D403" s="153"/>
      <c r="E403" s="153"/>
      <c r="F403" s="153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>
        <f t="shared" si="92"/>
        <v>0</v>
      </c>
      <c r="S403" s="153"/>
      <c r="T403" s="153"/>
      <c r="U403" s="153"/>
      <c r="V403" s="153"/>
      <c r="W403" s="153"/>
      <c r="X403" s="154">
        <f t="shared" si="90"/>
        <v>0</v>
      </c>
      <c r="Y403" s="226">
        <f t="shared" si="91"/>
        <v>0</v>
      </c>
      <c r="Z403" s="371"/>
      <c r="AA403" s="341"/>
    </row>
    <row r="404" spans="1:27" ht="20.100000000000001" hidden="1" customHeight="1" x14ac:dyDescent="0.2">
      <c r="A404" s="25"/>
      <c r="B404" s="73"/>
      <c r="C404" s="38"/>
      <c r="D404" s="153"/>
      <c r="E404" s="153"/>
      <c r="F404" s="153"/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>
        <f t="shared" si="92"/>
        <v>0</v>
      </c>
      <c r="S404" s="153"/>
      <c r="T404" s="153"/>
      <c r="U404" s="153"/>
      <c r="V404" s="153"/>
      <c r="W404" s="153"/>
      <c r="X404" s="154">
        <f t="shared" si="90"/>
        <v>0</v>
      </c>
      <c r="Y404" s="226">
        <f t="shared" si="91"/>
        <v>0</v>
      </c>
      <c r="Z404" s="371"/>
      <c r="AA404" s="341"/>
    </row>
    <row r="405" spans="1:27" ht="20.100000000000001" hidden="1" customHeight="1" x14ac:dyDescent="0.2">
      <c r="A405" s="25"/>
      <c r="B405" s="73"/>
      <c r="C405" s="38"/>
      <c r="D405" s="153"/>
      <c r="E405" s="153"/>
      <c r="F405" s="153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>
        <f t="shared" si="92"/>
        <v>0</v>
      </c>
      <c r="S405" s="153"/>
      <c r="T405" s="153"/>
      <c r="U405" s="153"/>
      <c r="V405" s="153"/>
      <c r="W405" s="153"/>
      <c r="X405" s="154">
        <f t="shared" si="90"/>
        <v>0</v>
      </c>
      <c r="Y405" s="226">
        <f t="shared" si="91"/>
        <v>0</v>
      </c>
      <c r="Z405" s="371"/>
      <c r="AA405" s="341"/>
    </row>
    <row r="406" spans="1:27" ht="20.100000000000001" hidden="1" customHeight="1" x14ac:dyDescent="0.2">
      <c r="A406" s="25"/>
      <c r="B406" s="73"/>
      <c r="C406" s="38"/>
      <c r="D406" s="153"/>
      <c r="E406" s="153"/>
      <c r="F406" s="153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>
        <f t="shared" si="92"/>
        <v>0</v>
      </c>
      <c r="S406" s="153"/>
      <c r="T406" s="153"/>
      <c r="U406" s="153"/>
      <c r="V406" s="153"/>
      <c r="W406" s="153"/>
      <c r="X406" s="154">
        <f t="shared" si="90"/>
        <v>0</v>
      </c>
      <c r="Y406" s="226">
        <f t="shared" si="91"/>
        <v>0</v>
      </c>
      <c r="Z406" s="371"/>
      <c r="AA406" s="341"/>
    </row>
    <row r="407" spans="1:27" ht="20.100000000000001" hidden="1" customHeight="1" x14ac:dyDescent="0.2">
      <c r="A407" s="25"/>
      <c r="B407" s="73"/>
      <c r="C407" s="38"/>
      <c r="D407" s="153"/>
      <c r="E407" s="153"/>
      <c r="F407" s="153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53"/>
      <c r="R407" s="153">
        <f t="shared" si="92"/>
        <v>0</v>
      </c>
      <c r="S407" s="153"/>
      <c r="T407" s="153"/>
      <c r="U407" s="153"/>
      <c r="V407" s="153"/>
      <c r="W407" s="153"/>
      <c r="X407" s="154">
        <f t="shared" si="90"/>
        <v>0</v>
      </c>
      <c r="Y407" s="226">
        <f t="shared" si="91"/>
        <v>0</v>
      </c>
      <c r="Z407" s="371"/>
      <c r="AA407" s="341"/>
    </row>
    <row r="408" spans="1:27" ht="20.100000000000001" hidden="1" customHeight="1" x14ac:dyDescent="0.2">
      <c r="A408" s="25"/>
      <c r="B408" s="73"/>
      <c r="C408" s="38"/>
      <c r="D408" s="153"/>
      <c r="E408" s="153"/>
      <c r="F408" s="153"/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  <c r="Q408" s="153"/>
      <c r="R408" s="153">
        <f t="shared" si="92"/>
        <v>0</v>
      </c>
      <c r="S408" s="153"/>
      <c r="T408" s="153"/>
      <c r="U408" s="153"/>
      <c r="V408" s="153"/>
      <c r="W408" s="153"/>
      <c r="X408" s="154">
        <f t="shared" si="90"/>
        <v>0</v>
      </c>
      <c r="Y408" s="226">
        <f t="shared" si="91"/>
        <v>0</v>
      </c>
      <c r="Z408" s="371"/>
      <c r="AA408" s="341"/>
    </row>
    <row r="409" spans="1:27" ht="20.100000000000001" hidden="1" customHeight="1" x14ac:dyDescent="0.2">
      <c r="A409" s="25"/>
      <c r="B409" s="73"/>
      <c r="C409" s="38"/>
      <c r="D409" s="153"/>
      <c r="E409" s="153"/>
      <c r="F409" s="153"/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  <c r="Q409" s="153"/>
      <c r="R409" s="153">
        <f t="shared" si="92"/>
        <v>0</v>
      </c>
      <c r="S409" s="153"/>
      <c r="T409" s="153"/>
      <c r="U409" s="153"/>
      <c r="V409" s="153"/>
      <c r="W409" s="153"/>
      <c r="X409" s="154">
        <f t="shared" si="90"/>
        <v>0</v>
      </c>
      <c r="Y409" s="226">
        <f t="shared" si="91"/>
        <v>0</v>
      </c>
      <c r="Z409" s="371"/>
      <c r="AA409" s="341"/>
    </row>
    <row r="410" spans="1:27" ht="20.100000000000001" hidden="1" customHeight="1" x14ac:dyDescent="0.2">
      <c r="A410" s="25"/>
      <c r="B410" s="73"/>
      <c r="C410" s="38"/>
      <c r="D410" s="153"/>
      <c r="E410" s="153"/>
      <c r="F410" s="153"/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53">
        <f t="shared" si="92"/>
        <v>0</v>
      </c>
      <c r="S410" s="153"/>
      <c r="T410" s="153"/>
      <c r="U410" s="153"/>
      <c r="V410" s="153"/>
      <c r="W410" s="153"/>
      <c r="X410" s="154">
        <f t="shared" si="90"/>
        <v>0</v>
      </c>
      <c r="Y410" s="226">
        <f t="shared" si="91"/>
        <v>0</v>
      </c>
      <c r="Z410" s="371"/>
      <c r="AA410" s="341"/>
    </row>
    <row r="411" spans="1:27" ht="20.100000000000001" hidden="1" customHeight="1" x14ac:dyDescent="0.2">
      <c r="A411" s="25"/>
      <c r="B411" s="73"/>
      <c r="C411" s="38"/>
      <c r="D411" s="153"/>
      <c r="E411" s="153"/>
      <c r="F411" s="153"/>
      <c r="G411" s="153"/>
      <c r="H411" s="153"/>
      <c r="I411" s="153"/>
      <c r="J411" s="153"/>
      <c r="K411" s="153"/>
      <c r="L411" s="153"/>
      <c r="M411" s="153"/>
      <c r="N411" s="153"/>
      <c r="O411" s="153"/>
      <c r="P411" s="153"/>
      <c r="Q411" s="153"/>
      <c r="R411" s="153">
        <f t="shared" si="92"/>
        <v>0</v>
      </c>
      <c r="S411" s="153"/>
      <c r="T411" s="153"/>
      <c r="U411" s="153"/>
      <c r="V411" s="153"/>
      <c r="W411" s="153"/>
      <c r="X411" s="154">
        <f t="shared" si="90"/>
        <v>0</v>
      </c>
      <c r="Y411" s="226">
        <f t="shared" si="91"/>
        <v>0</v>
      </c>
      <c r="Z411" s="371"/>
      <c r="AA411" s="341"/>
    </row>
    <row r="412" spans="1:27" ht="20.100000000000001" hidden="1" customHeight="1" x14ac:dyDescent="0.2">
      <c r="A412" s="25"/>
      <c r="B412" s="73"/>
      <c r="C412" s="38"/>
      <c r="D412" s="153"/>
      <c r="E412" s="153"/>
      <c r="F412" s="153"/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>
        <f t="shared" si="92"/>
        <v>0</v>
      </c>
      <c r="S412" s="153"/>
      <c r="T412" s="153"/>
      <c r="U412" s="153"/>
      <c r="V412" s="153"/>
      <c r="W412" s="153"/>
      <c r="X412" s="154">
        <f t="shared" si="90"/>
        <v>0</v>
      </c>
      <c r="Y412" s="226">
        <f t="shared" si="91"/>
        <v>0</v>
      </c>
      <c r="Z412" s="371"/>
      <c r="AA412" s="341"/>
    </row>
    <row r="413" spans="1:27" ht="20.100000000000001" hidden="1" customHeight="1" x14ac:dyDescent="0.2">
      <c r="A413" s="25"/>
      <c r="B413" s="73"/>
      <c r="C413" s="38"/>
      <c r="D413" s="153"/>
      <c r="E413" s="153"/>
      <c r="F413" s="153"/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  <c r="Q413" s="153"/>
      <c r="R413" s="153">
        <f t="shared" si="92"/>
        <v>0</v>
      </c>
      <c r="S413" s="153"/>
      <c r="T413" s="153"/>
      <c r="U413" s="153"/>
      <c r="V413" s="153"/>
      <c r="W413" s="153"/>
      <c r="X413" s="154">
        <f t="shared" si="90"/>
        <v>0</v>
      </c>
      <c r="Y413" s="226">
        <f t="shared" si="91"/>
        <v>0</v>
      </c>
      <c r="Z413" s="371"/>
      <c r="AA413" s="341"/>
    </row>
    <row r="414" spans="1:27" ht="20.100000000000001" hidden="1" customHeight="1" x14ac:dyDescent="0.2">
      <c r="A414" s="25"/>
      <c r="B414" s="385"/>
      <c r="C414" s="38"/>
      <c r="D414" s="153"/>
      <c r="E414" s="153"/>
      <c r="F414" s="153"/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>
        <f t="shared" si="92"/>
        <v>0</v>
      </c>
      <c r="S414" s="153"/>
      <c r="T414" s="153"/>
      <c r="U414" s="153"/>
      <c r="V414" s="153"/>
      <c r="W414" s="153"/>
      <c r="X414" s="154">
        <f t="shared" si="90"/>
        <v>0</v>
      </c>
      <c r="Y414" s="226">
        <f t="shared" si="91"/>
        <v>0</v>
      </c>
      <c r="Z414" s="371"/>
      <c r="AA414" s="341"/>
    </row>
    <row r="415" spans="1:27" ht="20.100000000000001" hidden="1" customHeight="1" x14ac:dyDescent="0.2">
      <c r="A415" s="25"/>
      <c r="B415" s="73"/>
      <c r="C415" s="38"/>
      <c r="D415" s="153"/>
      <c r="E415" s="153"/>
      <c r="F415" s="153"/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>
        <f t="shared" si="92"/>
        <v>0</v>
      </c>
      <c r="S415" s="153"/>
      <c r="T415" s="153"/>
      <c r="U415" s="153"/>
      <c r="V415" s="153"/>
      <c r="W415" s="153"/>
      <c r="X415" s="154">
        <f t="shared" si="90"/>
        <v>0</v>
      </c>
      <c r="Y415" s="226">
        <f t="shared" si="91"/>
        <v>0</v>
      </c>
      <c r="Z415" s="371"/>
      <c r="AA415" s="341"/>
    </row>
    <row r="416" spans="1:27" ht="20.100000000000001" hidden="1" customHeight="1" x14ac:dyDescent="0.2">
      <c r="A416" s="25"/>
      <c r="B416" s="73"/>
      <c r="C416" s="38"/>
      <c r="D416" s="153"/>
      <c r="E416" s="153"/>
      <c r="F416" s="153"/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  <c r="Q416" s="153"/>
      <c r="R416" s="153">
        <f t="shared" si="92"/>
        <v>0</v>
      </c>
      <c r="S416" s="153"/>
      <c r="T416" s="153"/>
      <c r="U416" s="153"/>
      <c r="V416" s="153"/>
      <c r="W416" s="153"/>
      <c r="X416" s="154">
        <f t="shared" si="90"/>
        <v>0</v>
      </c>
      <c r="Y416" s="226">
        <f t="shared" si="91"/>
        <v>0</v>
      </c>
      <c r="Z416" s="371"/>
      <c r="AA416" s="341"/>
    </row>
    <row r="417" spans="1:27" ht="20.100000000000001" hidden="1" customHeight="1" x14ac:dyDescent="0.2">
      <c r="A417" s="25"/>
      <c r="B417" s="73"/>
      <c r="C417" s="38"/>
      <c r="D417" s="153"/>
      <c r="E417" s="153"/>
      <c r="F417" s="153"/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>
        <f t="shared" si="92"/>
        <v>0</v>
      </c>
      <c r="S417" s="153"/>
      <c r="T417" s="153"/>
      <c r="U417" s="153"/>
      <c r="V417" s="153"/>
      <c r="W417" s="153"/>
      <c r="X417" s="154">
        <f t="shared" si="90"/>
        <v>0</v>
      </c>
      <c r="Y417" s="226">
        <f t="shared" si="91"/>
        <v>0</v>
      </c>
      <c r="Z417" s="371"/>
      <c r="AA417" s="341"/>
    </row>
    <row r="418" spans="1:27" ht="20.100000000000001" hidden="1" customHeight="1" x14ac:dyDescent="0.2">
      <c r="A418" s="25"/>
      <c r="B418" s="73"/>
      <c r="C418" s="38"/>
      <c r="D418" s="153"/>
      <c r="E418" s="153"/>
      <c r="F418" s="153"/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>
        <f t="shared" si="92"/>
        <v>0</v>
      </c>
      <c r="S418" s="153"/>
      <c r="T418" s="153"/>
      <c r="U418" s="153"/>
      <c r="V418" s="153"/>
      <c r="W418" s="153"/>
      <c r="X418" s="154">
        <f t="shared" si="90"/>
        <v>0</v>
      </c>
      <c r="Y418" s="226">
        <f t="shared" si="91"/>
        <v>0</v>
      </c>
      <c r="Z418" s="371"/>
      <c r="AA418" s="341"/>
    </row>
    <row r="419" spans="1:27" ht="20.100000000000001" hidden="1" customHeight="1" x14ac:dyDescent="0.2">
      <c r="A419" s="25"/>
      <c r="B419" s="73"/>
      <c r="C419" s="38"/>
      <c r="D419" s="153"/>
      <c r="E419" s="153"/>
      <c r="F419" s="153"/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  <c r="Q419" s="153"/>
      <c r="R419" s="153">
        <f t="shared" si="92"/>
        <v>0</v>
      </c>
      <c r="S419" s="153"/>
      <c r="T419" s="153"/>
      <c r="U419" s="153"/>
      <c r="V419" s="153"/>
      <c r="W419" s="153"/>
      <c r="X419" s="154">
        <f t="shared" si="90"/>
        <v>0</v>
      </c>
      <c r="Y419" s="226">
        <f t="shared" si="91"/>
        <v>0</v>
      </c>
      <c r="Z419" s="371"/>
      <c r="AA419" s="341"/>
    </row>
    <row r="420" spans="1:27" ht="20.100000000000001" hidden="1" customHeight="1" x14ac:dyDescent="0.2">
      <c r="A420" s="25"/>
      <c r="B420" s="73"/>
      <c r="C420" s="38"/>
      <c r="D420" s="153"/>
      <c r="E420" s="153"/>
      <c r="F420" s="153"/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  <c r="Q420" s="153"/>
      <c r="R420" s="153">
        <f t="shared" si="92"/>
        <v>0</v>
      </c>
      <c r="S420" s="153"/>
      <c r="T420" s="153"/>
      <c r="U420" s="153"/>
      <c r="V420" s="153"/>
      <c r="W420" s="153"/>
      <c r="X420" s="154">
        <f t="shared" si="90"/>
        <v>0</v>
      </c>
      <c r="Y420" s="226">
        <f t="shared" si="91"/>
        <v>0</v>
      </c>
      <c r="Z420" s="371"/>
      <c r="AA420" s="341"/>
    </row>
    <row r="421" spans="1:27" ht="20.100000000000001" hidden="1" customHeight="1" x14ac:dyDescent="0.2">
      <c r="A421" s="25"/>
      <c r="B421" s="73"/>
      <c r="C421" s="38"/>
      <c r="D421" s="153"/>
      <c r="E421" s="153"/>
      <c r="F421" s="153"/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>
        <f t="shared" si="92"/>
        <v>0</v>
      </c>
      <c r="S421" s="153"/>
      <c r="T421" s="153"/>
      <c r="U421" s="153"/>
      <c r="V421" s="153"/>
      <c r="W421" s="153"/>
      <c r="X421" s="154">
        <f t="shared" si="90"/>
        <v>0</v>
      </c>
      <c r="Y421" s="226">
        <f t="shared" si="91"/>
        <v>0</v>
      </c>
      <c r="Z421" s="371"/>
      <c r="AA421" s="341"/>
    </row>
    <row r="422" spans="1:27" ht="20.100000000000001" hidden="1" customHeight="1" x14ac:dyDescent="0.2">
      <c r="A422" s="25"/>
      <c r="B422" s="73"/>
      <c r="C422" s="38"/>
      <c r="D422" s="153"/>
      <c r="E422" s="153"/>
      <c r="F422" s="153"/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>
        <f t="shared" si="92"/>
        <v>0</v>
      </c>
      <c r="S422" s="153"/>
      <c r="T422" s="153"/>
      <c r="U422" s="153"/>
      <c r="V422" s="153"/>
      <c r="W422" s="153"/>
      <c r="X422" s="154">
        <f t="shared" si="90"/>
        <v>0</v>
      </c>
      <c r="Y422" s="226">
        <f t="shared" si="91"/>
        <v>0</v>
      </c>
      <c r="Z422" s="371"/>
      <c r="AA422" s="341"/>
    </row>
    <row r="423" spans="1:27" ht="20.100000000000001" hidden="1" customHeight="1" x14ac:dyDescent="0.2">
      <c r="A423" s="25"/>
      <c r="B423" s="73"/>
      <c r="C423" s="38"/>
      <c r="D423" s="153"/>
      <c r="E423" s="153"/>
      <c r="F423" s="153"/>
      <c r="G423" s="153"/>
      <c r="H423" s="153"/>
      <c r="I423" s="153"/>
      <c r="J423" s="153"/>
      <c r="L423" s="153"/>
      <c r="M423" s="153"/>
      <c r="N423" s="153"/>
      <c r="O423" s="153"/>
      <c r="P423" s="153"/>
      <c r="Q423" s="153"/>
      <c r="R423" s="153">
        <f t="shared" si="92"/>
        <v>0</v>
      </c>
      <c r="S423" s="153"/>
      <c r="T423" s="153"/>
      <c r="U423" s="153"/>
      <c r="V423" s="153"/>
      <c r="W423" s="153"/>
      <c r="X423" s="154">
        <f t="shared" si="90"/>
        <v>0</v>
      </c>
      <c r="Y423" s="226">
        <f t="shared" si="91"/>
        <v>0</v>
      </c>
      <c r="Z423" s="384"/>
      <c r="AA423" s="341"/>
    </row>
    <row r="424" spans="1:27" ht="20.100000000000001" hidden="1" customHeight="1" x14ac:dyDescent="0.2">
      <c r="A424" s="25"/>
      <c r="B424" s="280"/>
      <c r="C424" s="38"/>
      <c r="D424" s="153"/>
      <c r="E424" s="153"/>
      <c r="F424" s="153"/>
      <c r="G424" s="153"/>
      <c r="H424" s="153"/>
      <c r="I424" s="153"/>
      <c r="J424" s="153"/>
      <c r="L424" s="153"/>
      <c r="M424" s="153"/>
      <c r="N424" s="153"/>
      <c r="O424" s="153"/>
      <c r="P424" s="153"/>
      <c r="Q424" s="153"/>
      <c r="R424" s="153">
        <f t="shared" si="92"/>
        <v>0</v>
      </c>
      <c r="S424" s="153"/>
      <c r="T424" s="153"/>
      <c r="U424" s="153"/>
      <c r="V424" s="153"/>
      <c r="W424" s="153"/>
      <c r="X424" s="154">
        <f t="shared" si="90"/>
        <v>0</v>
      </c>
      <c r="Y424" s="226">
        <f t="shared" si="91"/>
        <v>0</v>
      </c>
      <c r="Z424" s="384"/>
      <c r="AA424" s="341"/>
    </row>
    <row r="425" spans="1:27" ht="20.100000000000001" hidden="1" customHeight="1" x14ac:dyDescent="0.2">
      <c r="A425" s="25"/>
      <c r="B425" s="73"/>
      <c r="C425" s="38"/>
      <c r="D425" s="153"/>
      <c r="E425" s="153"/>
      <c r="F425" s="153"/>
      <c r="G425" s="153"/>
      <c r="H425" s="153"/>
      <c r="I425" s="153"/>
      <c r="J425" s="153"/>
      <c r="L425" s="153"/>
      <c r="M425" s="153"/>
      <c r="N425" s="153"/>
      <c r="O425" s="153"/>
      <c r="P425" s="153"/>
      <c r="Q425" s="153"/>
      <c r="R425" s="153">
        <f t="shared" si="92"/>
        <v>0</v>
      </c>
      <c r="S425" s="153"/>
      <c r="T425" s="153"/>
      <c r="U425" s="153"/>
      <c r="V425" s="153"/>
      <c r="W425" s="153"/>
      <c r="X425" s="154">
        <f t="shared" si="90"/>
        <v>0</v>
      </c>
      <c r="Y425" s="226">
        <f t="shared" si="91"/>
        <v>0</v>
      </c>
      <c r="Z425" s="384"/>
      <c r="AA425" s="341"/>
    </row>
    <row r="426" spans="1:27" ht="20.100000000000001" hidden="1" customHeight="1" x14ac:dyDescent="0.2">
      <c r="A426" s="25"/>
      <c r="B426" s="73"/>
      <c r="C426" s="38"/>
      <c r="D426" s="153"/>
      <c r="E426" s="153"/>
      <c r="F426" s="153"/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  <c r="Q426" s="153"/>
      <c r="R426" s="153">
        <f t="shared" si="92"/>
        <v>0</v>
      </c>
      <c r="S426" s="153"/>
      <c r="T426" s="153"/>
      <c r="U426" s="153"/>
      <c r="V426" s="153"/>
      <c r="W426" s="153"/>
      <c r="X426" s="154">
        <f t="shared" si="90"/>
        <v>0</v>
      </c>
      <c r="Y426" s="226">
        <f t="shared" si="91"/>
        <v>0</v>
      </c>
      <c r="Z426" s="384"/>
      <c r="AA426" s="341"/>
    </row>
    <row r="427" spans="1:27" ht="20.100000000000001" hidden="1" customHeight="1" x14ac:dyDescent="0.2">
      <c r="A427" s="25"/>
      <c r="B427" s="73"/>
      <c r="C427" s="38"/>
      <c r="D427" s="153"/>
      <c r="E427" s="153"/>
      <c r="F427" s="153"/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>
        <f t="shared" si="92"/>
        <v>0</v>
      </c>
      <c r="S427" s="153"/>
      <c r="T427" s="153"/>
      <c r="U427" s="153"/>
      <c r="V427" s="153"/>
      <c r="W427" s="153"/>
      <c r="X427" s="154">
        <f t="shared" si="90"/>
        <v>0</v>
      </c>
      <c r="Y427" s="226">
        <f t="shared" si="91"/>
        <v>0</v>
      </c>
      <c r="Z427" s="384"/>
      <c r="AA427" s="341"/>
    </row>
    <row r="428" spans="1:27" ht="20.100000000000001" hidden="1" customHeight="1" x14ac:dyDescent="0.2">
      <c r="A428" s="25"/>
      <c r="B428" s="73"/>
      <c r="C428" s="38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>
        <f t="shared" si="92"/>
        <v>0</v>
      </c>
      <c r="S428" s="153"/>
      <c r="T428" s="153"/>
      <c r="U428" s="153"/>
      <c r="V428" s="153"/>
      <c r="W428" s="153"/>
      <c r="X428" s="154">
        <f t="shared" ref="X428:X452" si="97">SUM(T428:W428)</f>
        <v>0</v>
      </c>
      <c r="Y428" s="226">
        <f t="shared" ref="Y428:Y452" si="98">R428+X428</f>
        <v>0</v>
      </c>
      <c r="Z428" s="384"/>
      <c r="AA428" s="341"/>
    </row>
    <row r="429" spans="1:27" ht="20.100000000000001" hidden="1" customHeight="1" x14ac:dyDescent="0.2">
      <c r="A429" s="25"/>
      <c r="B429" s="73"/>
      <c r="C429" s="38"/>
      <c r="D429" s="153"/>
      <c r="E429" s="153"/>
      <c r="F429" s="153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>
        <f t="shared" si="92"/>
        <v>0</v>
      </c>
      <c r="S429" s="153"/>
      <c r="T429" s="153"/>
      <c r="U429" s="153"/>
      <c r="V429" s="153"/>
      <c r="W429" s="153"/>
      <c r="X429" s="154">
        <f t="shared" si="97"/>
        <v>0</v>
      </c>
      <c r="Y429" s="226">
        <f t="shared" si="98"/>
        <v>0</v>
      </c>
      <c r="Z429" s="384"/>
      <c r="AA429" s="341"/>
    </row>
    <row r="430" spans="1:27" ht="20.100000000000001" hidden="1" customHeight="1" x14ac:dyDescent="0.2">
      <c r="A430" s="25"/>
      <c r="B430" s="73"/>
      <c r="C430" s="38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>
        <f t="shared" si="92"/>
        <v>0</v>
      </c>
      <c r="S430" s="153"/>
      <c r="T430" s="153"/>
      <c r="U430" s="153"/>
      <c r="V430" s="153"/>
      <c r="W430" s="153"/>
      <c r="X430" s="154">
        <f t="shared" si="97"/>
        <v>0</v>
      </c>
      <c r="Y430" s="226">
        <f t="shared" si="98"/>
        <v>0</v>
      </c>
      <c r="Z430" s="384"/>
      <c r="AA430" s="341"/>
    </row>
    <row r="431" spans="1:27" ht="20.100000000000001" hidden="1" customHeight="1" x14ac:dyDescent="0.2">
      <c r="A431" s="25"/>
      <c r="B431" s="73"/>
      <c r="C431" s="38"/>
      <c r="D431" s="153"/>
      <c r="E431" s="153"/>
      <c r="F431" s="153"/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>
        <f t="shared" si="92"/>
        <v>0</v>
      </c>
      <c r="S431" s="153"/>
      <c r="T431" s="153"/>
      <c r="U431" s="153"/>
      <c r="V431" s="153"/>
      <c r="W431" s="153"/>
      <c r="X431" s="154">
        <f t="shared" si="97"/>
        <v>0</v>
      </c>
      <c r="Y431" s="226">
        <f t="shared" si="98"/>
        <v>0</v>
      </c>
      <c r="Z431" s="384"/>
      <c r="AA431" s="341"/>
    </row>
    <row r="432" spans="1:27" ht="20.100000000000001" hidden="1" customHeight="1" x14ac:dyDescent="0.2">
      <c r="A432" s="25"/>
      <c r="B432" s="73"/>
      <c r="C432" s="38"/>
      <c r="D432" s="153"/>
      <c r="E432" s="153"/>
      <c r="F432" s="153"/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>
        <f t="shared" si="92"/>
        <v>0</v>
      </c>
      <c r="S432" s="153"/>
      <c r="T432" s="153"/>
      <c r="U432" s="153"/>
      <c r="V432" s="153"/>
      <c r="W432" s="153"/>
      <c r="X432" s="154">
        <f t="shared" si="97"/>
        <v>0</v>
      </c>
      <c r="Y432" s="226">
        <f t="shared" si="98"/>
        <v>0</v>
      </c>
      <c r="Z432" s="384"/>
      <c r="AA432" s="341"/>
    </row>
    <row r="433" spans="1:27" ht="20.100000000000001" hidden="1" customHeight="1" x14ac:dyDescent="0.2">
      <c r="A433" s="25"/>
      <c r="B433" s="73"/>
      <c r="C433" s="38"/>
      <c r="D433" s="153"/>
      <c r="E433" s="153"/>
      <c r="F433" s="153"/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>
        <f t="shared" si="92"/>
        <v>0</v>
      </c>
      <c r="S433" s="153"/>
      <c r="T433" s="153"/>
      <c r="U433" s="153"/>
      <c r="V433" s="153"/>
      <c r="W433" s="153"/>
      <c r="X433" s="154">
        <f t="shared" si="97"/>
        <v>0</v>
      </c>
      <c r="Y433" s="226">
        <f t="shared" si="98"/>
        <v>0</v>
      </c>
      <c r="Z433" s="384"/>
      <c r="AA433" s="341"/>
    </row>
    <row r="434" spans="1:27" ht="20.100000000000001" hidden="1" customHeight="1" x14ac:dyDescent="0.2">
      <c r="A434" s="25"/>
      <c r="B434" s="385"/>
      <c r="C434" s="38"/>
      <c r="D434" s="153"/>
      <c r="E434" s="153"/>
      <c r="F434" s="153"/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>
        <f t="shared" si="92"/>
        <v>0</v>
      </c>
      <c r="S434" s="153"/>
      <c r="T434" s="153"/>
      <c r="U434" s="153"/>
      <c r="V434" s="153"/>
      <c r="W434" s="153"/>
      <c r="X434" s="154">
        <f t="shared" si="97"/>
        <v>0</v>
      </c>
      <c r="Y434" s="226">
        <f t="shared" si="98"/>
        <v>0</v>
      </c>
      <c r="Z434" s="384"/>
      <c r="AA434" s="341"/>
    </row>
    <row r="435" spans="1:27" ht="20.100000000000001" hidden="1" customHeight="1" x14ac:dyDescent="0.2">
      <c r="A435" s="25"/>
      <c r="B435" s="385"/>
      <c r="C435" s="38"/>
      <c r="D435" s="153"/>
      <c r="E435" s="153"/>
      <c r="F435" s="153"/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>
        <f t="shared" ref="R435:R456" si="99">SUM(D435:Q435)</f>
        <v>0</v>
      </c>
      <c r="S435" s="153"/>
      <c r="T435" s="153"/>
      <c r="U435" s="153"/>
      <c r="V435" s="153"/>
      <c r="W435" s="153"/>
      <c r="X435" s="154">
        <f t="shared" si="97"/>
        <v>0</v>
      </c>
      <c r="Y435" s="226">
        <f t="shared" si="98"/>
        <v>0</v>
      </c>
      <c r="Z435" s="384"/>
      <c r="AA435" s="341"/>
    </row>
    <row r="436" spans="1:27" ht="20.100000000000001" hidden="1" customHeight="1" x14ac:dyDescent="0.2">
      <c r="A436" s="25"/>
      <c r="B436" s="73"/>
      <c r="C436" s="38"/>
      <c r="D436" s="153"/>
      <c r="E436" s="153"/>
      <c r="F436" s="153"/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>
        <f t="shared" si="99"/>
        <v>0</v>
      </c>
      <c r="S436" s="153"/>
      <c r="T436" s="153"/>
      <c r="U436" s="153"/>
      <c r="V436" s="153"/>
      <c r="W436" s="153"/>
      <c r="X436" s="154">
        <f t="shared" si="97"/>
        <v>0</v>
      </c>
      <c r="Y436" s="226">
        <f t="shared" si="98"/>
        <v>0</v>
      </c>
      <c r="Z436" s="371"/>
      <c r="AA436" s="341"/>
    </row>
    <row r="437" spans="1:27" ht="20.100000000000001" hidden="1" customHeight="1" x14ac:dyDescent="0.2">
      <c r="A437" s="25"/>
      <c r="B437" s="73"/>
      <c r="C437" s="38"/>
      <c r="D437" s="153"/>
      <c r="E437" s="153"/>
      <c r="F437" s="153"/>
      <c r="G437" s="153"/>
      <c r="H437" s="153"/>
      <c r="I437" s="153"/>
      <c r="K437" s="153"/>
      <c r="L437" s="153"/>
      <c r="M437" s="153"/>
      <c r="N437" s="153"/>
      <c r="O437" s="153"/>
      <c r="P437" s="153"/>
      <c r="Q437" s="153"/>
      <c r="R437" s="153">
        <f t="shared" si="99"/>
        <v>0</v>
      </c>
      <c r="S437" s="153"/>
      <c r="T437" s="153"/>
      <c r="U437" s="153"/>
      <c r="V437" s="153"/>
      <c r="W437" s="153"/>
      <c r="X437" s="154">
        <f t="shared" si="97"/>
        <v>0</v>
      </c>
      <c r="Y437" s="226">
        <f t="shared" si="98"/>
        <v>0</v>
      </c>
      <c r="Z437" s="371"/>
      <c r="AA437" s="341"/>
    </row>
    <row r="438" spans="1:27" ht="20.100000000000001" hidden="1" customHeight="1" x14ac:dyDescent="0.2">
      <c r="A438" s="25"/>
      <c r="B438" s="73"/>
      <c r="C438" s="38"/>
      <c r="D438" s="153"/>
      <c r="E438" s="153"/>
      <c r="F438" s="153"/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>
        <f t="shared" si="99"/>
        <v>0</v>
      </c>
      <c r="S438" s="153"/>
      <c r="T438" s="153"/>
      <c r="U438" s="153"/>
      <c r="V438" s="153"/>
      <c r="W438" s="153"/>
      <c r="X438" s="154">
        <f t="shared" si="97"/>
        <v>0</v>
      </c>
      <c r="Y438" s="226">
        <f t="shared" si="98"/>
        <v>0</v>
      </c>
      <c r="Z438" s="371"/>
      <c r="AA438" s="341"/>
    </row>
    <row r="439" spans="1:27" ht="20.100000000000001" hidden="1" customHeight="1" x14ac:dyDescent="0.2">
      <c r="A439" s="25"/>
      <c r="B439" s="385"/>
      <c r="C439" s="38"/>
      <c r="D439" s="153"/>
      <c r="E439" s="153"/>
      <c r="F439" s="153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>
        <f t="shared" si="99"/>
        <v>0</v>
      </c>
      <c r="S439" s="153"/>
      <c r="T439" s="153"/>
      <c r="U439" s="153"/>
      <c r="V439" s="153"/>
      <c r="W439" s="153"/>
      <c r="X439" s="154">
        <f t="shared" si="97"/>
        <v>0</v>
      </c>
      <c r="Y439" s="226">
        <f t="shared" si="98"/>
        <v>0</v>
      </c>
      <c r="Z439" s="371"/>
      <c r="AA439" s="341"/>
    </row>
    <row r="440" spans="1:27" ht="20.100000000000001" hidden="1" customHeight="1" x14ac:dyDescent="0.2">
      <c r="A440" s="25"/>
      <c r="B440" s="73"/>
      <c r="C440" s="38"/>
      <c r="D440" s="153"/>
      <c r="E440" s="153"/>
      <c r="F440" s="153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>
        <f t="shared" si="99"/>
        <v>0</v>
      </c>
      <c r="S440" s="153"/>
      <c r="T440" s="153"/>
      <c r="U440" s="153"/>
      <c r="V440" s="153"/>
      <c r="W440" s="153"/>
      <c r="X440" s="154">
        <f t="shared" si="97"/>
        <v>0</v>
      </c>
      <c r="Y440" s="226">
        <f t="shared" si="98"/>
        <v>0</v>
      </c>
      <c r="Z440" s="371"/>
      <c r="AA440" s="341"/>
    </row>
    <row r="441" spans="1:27" ht="20.100000000000001" hidden="1" customHeight="1" x14ac:dyDescent="0.2">
      <c r="A441" s="25"/>
      <c r="B441" s="73"/>
      <c r="C441" s="38"/>
      <c r="D441" s="153"/>
      <c r="E441" s="153"/>
      <c r="F441" s="153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>
        <f t="shared" si="99"/>
        <v>0</v>
      </c>
      <c r="S441" s="153"/>
      <c r="T441" s="153"/>
      <c r="U441" s="153"/>
      <c r="V441" s="153"/>
      <c r="W441" s="153"/>
      <c r="X441" s="154">
        <f t="shared" si="97"/>
        <v>0</v>
      </c>
      <c r="Y441" s="226">
        <f t="shared" si="98"/>
        <v>0</v>
      </c>
      <c r="Z441" s="371"/>
      <c r="AA441" s="341"/>
    </row>
    <row r="442" spans="1:27" ht="20.100000000000001" hidden="1" customHeight="1" x14ac:dyDescent="0.2">
      <c r="A442" s="25"/>
      <c r="B442" s="73"/>
      <c r="C442" s="38"/>
      <c r="D442" s="153"/>
      <c r="E442" s="153"/>
      <c r="F442" s="153"/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R442" s="153">
        <f t="shared" si="99"/>
        <v>0</v>
      </c>
      <c r="S442" s="153"/>
      <c r="T442" s="153"/>
      <c r="U442" s="153"/>
      <c r="V442" s="153"/>
      <c r="W442" s="153"/>
      <c r="X442" s="154">
        <f t="shared" si="97"/>
        <v>0</v>
      </c>
      <c r="Y442" s="226">
        <f t="shared" si="98"/>
        <v>0</v>
      </c>
      <c r="Z442" s="371"/>
      <c r="AA442" s="341"/>
    </row>
    <row r="443" spans="1:27" ht="20.100000000000001" hidden="1" customHeight="1" x14ac:dyDescent="0.2">
      <c r="A443" s="25"/>
      <c r="B443" s="385"/>
      <c r="C443" s="38"/>
      <c r="D443" s="153"/>
      <c r="E443" s="153"/>
      <c r="F443" s="153"/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>
        <f t="shared" si="99"/>
        <v>0</v>
      </c>
      <c r="S443" s="153"/>
      <c r="T443" s="153"/>
      <c r="U443" s="153"/>
      <c r="V443" s="153"/>
      <c r="W443" s="153"/>
      <c r="X443" s="154">
        <f t="shared" si="97"/>
        <v>0</v>
      </c>
      <c r="Y443" s="226">
        <f t="shared" si="98"/>
        <v>0</v>
      </c>
      <c r="Z443" s="371"/>
      <c r="AA443" s="341"/>
    </row>
    <row r="444" spans="1:27" ht="20.100000000000001" hidden="1" customHeight="1" x14ac:dyDescent="0.2">
      <c r="A444" s="25"/>
      <c r="B444" s="73"/>
      <c r="C444" s="38"/>
      <c r="D444" s="153"/>
      <c r="E444" s="153"/>
      <c r="F444" s="153"/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  <c r="Q444" s="153"/>
      <c r="R444" s="153">
        <f t="shared" si="99"/>
        <v>0</v>
      </c>
      <c r="S444" s="153"/>
      <c r="T444" s="153"/>
      <c r="U444" s="153"/>
      <c r="V444" s="153"/>
      <c r="W444" s="153"/>
      <c r="X444" s="154">
        <f t="shared" si="97"/>
        <v>0</v>
      </c>
      <c r="Y444" s="226">
        <f t="shared" si="98"/>
        <v>0</v>
      </c>
      <c r="Z444" s="371"/>
      <c r="AA444" s="341"/>
    </row>
    <row r="445" spans="1:27" ht="20.100000000000001" hidden="1" customHeight="1" x14ac:dyDescent="0.2">
      <c r="A445" s="25"/>
      <c r="B445" s="73"/>
      <c r="C445" s="38"/>
      <c r="D445" s="153"/>
      <c r="E445" s="153"/>
      <c r="F445" s="153"/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  <c r="Q445" s="153"/>
      <c r="R445" s="153">
        <f t="shared" si="99"/>
        <v>0</v>
      </c>
      <c r="S445" s="153"/>
      <c r="T445" s="153"/>
      <c r="U445" s="153"/>
      <c r="V445" s="153"/>
      <c r="W445" s="153"/>
      <c r="X445" s="154">
        <f t="shared" si="97"/>
        <v>0</v>
      </c>
      <c r="Y445" s="226">
        <f t="shared" si="98"/>
        <v>0</v>
      </c>
      <c r="Z445" s="371"/>
      <c r="AA445" s="341"/>
    </row>
    <row r="446" spans="1:27" ht="20.100000000000001" hidden="1" customHeight="1" x14ac:dyDescent="0.2">
      <c r="A446" s="25"/>
      <c r="B446" s="73"/>
      <c r="C446" s="38"/>
      <c r="D446" s="153"/>
      <c r="E446" s="153"/>
      <c r="F446" s="153"/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  <c r="Q446" s="153"/>
      <c r="R446" s="153">
        <f t="shared" si="99"/>
        <v>0</v>
      </c>
      <c r="S446" s="153"/>
      <c r="T446" s="153"/>
      <c r="U446" s="153"/>
      <c r="V446" s="153"/>
      <c r="W446" s="153"/>
      <c r="X446" s="154">
        <f t="shared" si="97"/>
        <v>0</v>
      </c>
      <c r="Y446" s="226">
        <f t="shared" si="98"/>
        <v>0</v>
      </c>
      <c r="Z446" s="371"/>
      <c r="AA446" s="341"/>
    </row>
    <row r="447" spans="1:27" ht="20.100000000000001" hidden="1" customHeight="1" x14ac:dyDescent="0.2">
      <c r="A447" s="25"/>
      <c r="B447" s="73"/>
      <c r="C447" s="38"/>
      <c r="D447" s="153"/>
      <c r="E447" s="153"/>
      <c r="F447" s="153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153"/>
      <c r="R447" s="153">
        <f t="shared" si="99"/>
        <v>0</v>
      </c>
      <c r="S447" s="153"/>
      <c r="T447" s="153"/>
      <c r="U447" s="153"/>
      <c r="V447" s="153"/>
      <c r="W447" s="153"/>
      <c r="X447" s="154">
        <f t="shared" si="97"/>
        <v>0</v>
      </c>
      <c r="Y447" s="226">
        <f t="shared" si="98"/>
        <v>0</v>
      </c>
      <c r="Z447" s="371"/>
      <c r="AA447" s="341"/>
    </row>
    <row r="448" spans="1:27" ht="20.100000000000001" hidden="1" customHeight="1" x14ac:dyDescent="0.2">
      <c r="A448" s="25"/>
      <c r="B448" s="73"/>
      <c r="C448" s="38"/>
      <c r="D448" s="153"/>
      <c r="E448" s="153"/>
      <c r="F448" s="153"/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  <c r="Q448" s="153"/>
      <c r="R448" s="153">
        <f t="shared" si="99"/>
        <v>0</v>
      </c>
      <c r="S448" s="153"/>
      <c r="T448" s="153"/>
      <c r="U448" s="153"/>
      <c r="V448" s="153"/>
      <c r="W448" s="153"/>
      <c r="X448" s="154">
        <f t="shared" si="97"/>
        <v>0</v>
      </c>
      <c r="Y448" s="226">
        <f t="shared" si="98"/>
        <v>0</v>
      </c>
      <c r="Z448" s="371"/>
      <c r="AA448" s="341"/>
    </row>
    <row r="449" spans="1:28" ht="20.100000000000001" hidden="1" customHeight="1" x14ac:dyDescent="0.2">
      <c r="A449" s="25"/>
      <c r="B449" s="73"/>
      <c r="C449" s="38"/>
      <c r="D449" s="153"/>
      <c r="E449" s="153"/>
      <c r="F449" s="153"/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  <c r="Q449" s="153"/>
      <c r="R449" s="153">
        <f t="shared" si="99"/>
        <v>0</v>
      </c>
      <c r="S449" s="153"/>
      <c r="T449" s="153"/>
      <c r="U449" s="153"/>
      <c r="V449" s="153"/>
      <c r="W449" s="153"/>
      <c r="X449" s="154">
        <f t="shared" si="97"/>
        <v>0</v>
      </c>
      <c r="Y449" s="226">
        <f t="shared" si="98"/>
        <v>0</v>
      </c>
      <c r="Z449" s="371"/>
      <c r="AA449" s="341"/>
    </row>
    <row r="450" spans="1:28" ht="20.100000000000001" hidden="1" customHeight="1" x14ac:dyDescent="0.2">
      <c r="A450" s="25"/>
      <c r="B450" s="73"/>
      <c r="C450" s="38"/>
      <c r="D450" s="153"/>
      <c r="E450" s="153"/>
      <c r="F450" s="153"/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  <c r="Q450" s="153"/>
      <c r="R450" s="153">
        <f t="shared" si="99"/>
        <v>0</v>
      </c>
      <c r="S450" s="153"/>
      <c r="T450" s="153"/>
      <c r="U450" s="153"/>
      <c r="V450" s="153"/>
      <c r="W450" s="153"/>
      <c r="X450" s="154">
        <f t="shared" si="97"/>
        <v>0</v>
      </c>
      <c r="Y450" s="226">
        <f t="shared" si="98"/>
        <v>0</v>
      </c>
      <c r="Z450" s="371"/>
      <c r="AA450" s="341"/>
    </row>
    <row r="451" spans="1:28" ht="20.100000000000001" hidden="1" customHeight="1" x14ac:dyDescent="0.2">
      <c r="A451" s="25"/>
      <c r="B451" s="280"/>
      <c r="C451" s="38"/>
      <c r="D451" s="153"/>
      <c r="E451" s="153"/>
      <c r="F451" s="153"/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  <c r="Q451" s="153"/>
      <c r="R451" s="153">
        <f t="shared" si="99"/>
        <v>0</v>
      </c>
      <c r="S451" s="153"/>
      <c r="T451" s="153"/>
      <c r="U451" s="153"/>
      <c r="V451" s="153"/>
      <c r="W451" s="153"/>
      <c r="X451" s="154">
        <f t="shared" si="97"/>
        <v>0</v>
      </c>
      <c r="Y451" s="226">
        <f t="shared" si="98"/>
        <v>0</v>
      </c>
      <c r="Z451" s="371"/>
      <c r="AA451" s="341"/>
    </row>
    <row r="452" spans="1:28" ht="20.100000000000001" hidden="1" customHeight="1" x14ac:dyDescent="0.2">
      <c r="A452" s="25"/>
      <c r="B452" s="73"/>
      <c r="C452" s="190" t="s">
        <v>57</v>
      </c>
      <c r="D452" s="153"/>
      <c r="E452" s="153"/>
      <c r="F452" s="153"/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  <c r="Q452" s="153"/>
      <c r="R452" s="153">
        <f t="shared" si="99"/>
        <v>0</v>
      </c>
      <c r="S452" s="153"/>
      <c r="T452" s="153"/>
      <c r="U452" s="153"/>
      <c r="V452" s="153"/>
      <c r="W452" s="153"/>
      <c r="X452" s="154">
        <f t="shared" si="97"/>
        <v>0</v>
      </c>
      <c r="Y452" s="226">
        <f t="shared" si="98"/>
        <v>0</v>
      </c>
      <c r="Z452" s="371"/>
      <c r="AA452" s="341"/>
    </row>
    <row r="453" spans="1:28" ht="15" hidden="1" customHeight="1" thickBot="1" x14ac:dyDescent="0.25">
      <c r="A453" s="25"/>
      <c r="B453" s="73"/>
      <c r="C453" s="38"/>
      <c r="D453" s="153"/>
      <c r="E453" s="153"/>
      <c r="F453" s="153"/>
      <c r="G453" s="153"/>
      <c r="H453" s="153"/>
      <c r="I453" s="153"/>
      <c r="J453" s="153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4"/>
      <c r="Y453" s="226"/>
      <c r="Z453" s="371"/>
      <c r="AA453" s="341"/>
    </row>
    <row r="454" spans="1:28" ht="24.75" hidden="1" customHeight="1" thickTop="1" thickBot="1" x14ac:dyDescent="0.25">
      <c r="A454" s="46"/>
      <c r="B454" s="250" t="s">
        <v>171</v>
      </c>
      <c r="C454" s="43" t="s">
        <v>32</v>
      </c>
      <c r="D454" s="166">
        <f t="shared" ref="D454:Q454" si="100">SUM(D374:D453)</f>
        <v>0</v>
      </c>
      <c r="E454" s="166">
        <f t="shared" si="100"/>
        <v>0</v>
      </c>
      <c r="F454" s="166">
        <f t="shared" si="100"/>
        <v>0</v>
      </c>
      <c r="G454" s="166">
        <f t="shared" si="100"/>
        <v>0</v>
      </c>
      <c r="H454" s="166">
        <f t="shared" si="100"/>
        <v>0</v>
      </c>
      <c r="I454" s="166">
        <f t="shared" si="100"/>
        <v>0</v>
      </c>
      <c r="J454" s="166">
        <f t="shared" si="100"/>
        <v>0</v>
      </c>
      <c r="K454" s="166">
        <f t="shared" si="100"/>
        <v>0</v>
      </c>
      <c r="L454" s="166">
        <f t="shared" si="100"/>
        <v>0</v>
      </c>
      <c r="M454" s="166">
        <f t="shared" si="100"/>
        <v>0</v>
      </c>
      <c r="N454" s="166">
        <f t="shared" si="100"/>
        <v>0</v>
      </c>
      <c r="O454" s="166">
        <f t="shared" si="100"/>
        <v>0</v>
      </c>
      <c r="P454" s="166">
        <f t="shared" si="100"/>
        <v>0</v>
      </c>
      <c r="Q454" s="166">
        <f t="shared" si="100"/>
        <v>0</v>
      </c>
      <c r="R454" s="166">
        <f t="shared" si="99"/>
        <v>0</v>
      </c>
      <c r="S454" s="166"/>
      <c r="T454" s="166">
        <f>SUM(T374:T453)</f>
        <v>0</v>
      </c>
      <c r="U454" s="166">
        <f>SUM(U374:U453)</f>
        <v>0</v>
      </c>
      <c r="V454" s="166">
        <f>SUM(V374:V453)</f>
        <v>0</v>
      </c>
      <c r="W454" s="166">
        <f>SUM(W374:W453)</f>
        <v>0</v>
      </c>
      <c r="X454" s="457">
        <f>SUM(T454:W454)</f>
        <v>0</v>
      </c>
      <c r="Y454" s="359">
        <f>R454+X454</f>
        <v>0</v>
      </c>
      <c r="Z454" s="167">
        <f>SUM(Z374:Z453)</f>
        <v>0</v>
      </c>
      <c r="AA454" s="344"/>
    </row>
    <row r="455" spans="1:28" ht="27.75" hidden="1" customHeight="1" thickTop="1" thickBot="1" x14ac:dyDescent="0.25">
      <c r="A455" s="46"/>
      <c r="B455" s="575" t="s">
        <v>170</v>
      </c>
      <c r="C455" s="43" t="s">
        <v>137</v>
      </c>
      <c r="D455" s="542">
        <f t="shared" ref="D455:Q455" si="101">D373+D454</f>
        <v>156420</v>
      </c>
      <c r="E455" s="542">
        <f t="shared" si="101"/>
        <v>32345</v>
      </c>
      <c r="F455" s="542">
        <f t="shared" si="101"/>
        <v>5395172.7810000004</v>
      </c>
      <c r="G455" s="542">
        <f t="shared" si="101"/>
        <v>224581</v>
      </c>
      <c r="H455" s="542">
        <f t="shared" si="101"/>
        <v>308609</v>
      </c>
      <c r="I455" s="542">
        <f t="shared" si="101"/>
        <v>68671</v>
      </c>
      <c r="J455" s="542">
        <f t="shared" si="101"/>
        <v>996636</v>
      </c>
      <c r="K455" s="542">
        <f t="shared" si="101"/>
        <v>2633912</v>
      </c>
      <c r="L455" s="542">
        <f t="shared" si="101"/>
        <v>10187135</v>
      </c>
      <c r="M455" s="542">
        <f t="shared" si="101"/>
        <v>490047</v>
      </c>
      <c r="N455" s="542">
        <f t="shared" si="101"/>
        <v>100000</v>
      </c>
      <c r="O455" s="542">
        <f t="shared" si="101"/>
        <v>3000</v>
      </c>
      <c r="P455" s="542">
        <f t="shared" si="101"/>
        <v>0</v>
      </c>
      <c r="Q455" s="542">
        <f t="shared" si="101"/>
        <v>634136</v>
      </c>
      <c r="R455" s="542">
        <f t="shared" si="99"/>
        <v>21230664.780999999</v>
      </c>
      <c r="S455" s="155"/>
      <c r="T455" s="542">
        <f>T373+T454</f>
        <v>0</v>
      </c>
      <c r="U455" s="542">
        <f>U373+U454</f>
        <v>0</v>
      </c>
      <c r="V455" s="542">
        <f>V373+V454</f>
        <v>56742</v>
      </c>
      <c r="W455" s="542">
        <f>W373+W454</f>
        <v>0</v>
      </c>
      <c r="X455" s="543">
        <f>SUM(T455:W455)</f>
        <v>56742</v>
      </c>
      <c r="Y455" s="543">
        <f>R455+X455</f>
        <v>21287406.780999999</v>
      </c>
      <c r="Z455" s="544">
        <f>Z373+Z454</f>
        <v>8879594.9979999997</v>
      </c>
      <c r="AA455" s="344"/>
      <c r="AB455" s="82">
        <f>Y455+Z455</f>
        <v>30167001.778999999</v>
      </c>
    </row>
    <row r="456" spans="1:28" ht="24.95" hidden="1" customHeight="1" thickTop="1" x14ac:dyDescent="0.2">
      <c r="A456" s="576"/>
      <c r="B456" s="503" t="s">
        <v>174</v>
      </c>
      <c r="C456" s="551" t="s">
        <v>18</v>
      </c>
      <c r="D456" s="552">
        <f t="shared" ref="D456:Q456" si="102">D455</f>
        <v>156420</v>
      </c>
      <c r="E456" s="552">
        <f t="shared" si="102"/>
        <v>32345</v>
      </c>
      <c r="F456" s="552">
        <f t="shared" si="102"/>
        <v>5395172.7810000004</v>
      </c>
      <c r="G456" s="552">
        <f t="shared" si="102"/>
        <v>224581</v>
      </c>
      <c r="H456" s="552">
        <f t="shared" si="102"/>
        <v>308609</v>
      </c>
      <c r="I456" s="552">
        <f t="shared" si="102"/>
        <v>68671</v>
      </c>
      <c r="J456" s="552">
        <f t="shared" si="102"/>
        <v>996636</v>
      </c>
      <c r="K456" s="552">
        <f t="shared" si="102"/>
        <v>2633912</v>
      </c>
      <c r="L456" s="552">
        <f t="shared" si="102"/>
        <v>10187135</v>
      </c>
      <c r="M456" s="552">
        <f t="shared" si="102"/>
        <v>490047</v>
      </c>
      <c r="N456" s="552">
        <f t="shared" si="102"/>
        <v>100000</v>
      </c>
      <c r="O456" s="552">
        <f t="shared" si="102"/>
        <v>3000</v>
      </c>
      <c r="P456" s="552">
        <f t="shared" si="102"/>
        <v>0</v>
      </c>
      <c r="Q456" s="552">
        <f t="shared" si="102"/>
        <v>634136</v>
      </c>
      <c r="R456" s="552">
        <f t="shared" si="99"/>
        <v>21230664.780999999</v>
      </c>
      <c r="S456" s="552"/>
      <c r="T456" s="552">
        <f>T455</f>
        <v>0</v>
      </c>
      <c r="U456" s="552">
        <f>U455</f>
        <v>0</v>
      </c>
      <c r="V456" s="552">
        <f>V455</f>
        <v>56742</v>
      </c>
      <c r="W456" s="552">
        <f>W455</f>
        <v>0</v>
      </c>
      <c r="X456" s="553">
        <f>SUM(T456:W456)</f>
        <v>56742</v>
      </c>
      <c r="Y456" s="554">
        <f>R456+X456</f>
        <v>21287406.780999999</v>
      </c>
      <c r="Z456" s="555">
        <f>Z455</f>
        <v>8879594.9979999997</v>
      </c>
    </row>
    <row r="457" spans="1:28" ht="20.100000000000001" hidden="1" customHeight="1" x14ac:dyDescent="0.2">
      <c r="A457" s="25">
        <v>1</v>
      </c>
      <c r="B457" s="73"/>
      <c r="C457" s="38"/>
      <c r="D457" s="153"/>
      <c r="E457" s="153"/>
      <c r="F457" s="153"/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  <c r="Q457" s="153"/>
      <c r="R457" s="153">
        <f t="shared" ref="R457:R463" si="103">SUM(D457:Q457)</f>
        <v>0</v>
      </c>
      <c r="S457" s="153"/>
      <c r="T457" s="153"/>
      <c r="U457" s="153"/>
      <c r="V457" s="153"/>
      <c r="W457" s="153"/>
      <c r="X457" s="154">
        <f t="shared" ref="X457:X463" si="104">SUM(T457:W457)</f>
        <v>0</v>
      </c>
      <c r="Y457" s="226">
        <f t="shared" ref="Y457:Y463" si="105">R457+X457</f>
        <v>0</v>
      </c>
      <c r="Z457" s="371"/>
    </row>
    <row r="458" spans="1:28" ht="20.100000000000001" hidden="1" customHeight="1" x14ac:dyDescent="0.2">
      <c r="A458" s="25">
        <v>2</v>
      </c>
      <c r="B458" s="73"/>
      <c r="C458" s="38"/>
      <c r="D458" s="153"/>
      <c r="E458" s="153"/>
      <c r="F458" s="153"/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  <c r="Q458" s="153"/>
      <c r="R458" s="153">
        <f t="shared" si="103"/>
        <v>0</v>
      </c>
      <c r="S458" s="153"/>
      <c r="T458" s="153"/>
      <c r="U458" s="153"/>
      <c r="V458" s="153"/>
      <c r="W458" s="153"/>
      <c r="X458" s="154">
        <f t="shared" si="104"/>
        <v>0</v>
      </c>
      <c r="Y458" s="226">
        <f t="shared" si="105"/>
        <v>0</v>
      </c>
      <c r="Z458" s="371"/>
    </row>
    <row r="459" spans="1:28" ht="20.100000000000001" hidden="1" customHeight="1" x14ac:dyDescent="0.2">
      <c r="A459" s="25">
        <v>3</v>
      </c>
      <c r="B459" s="73"/>
      <c r="C459" s="38"/>
      <c r="D459" s="153"/>
      <c r="E459" s="153"/>
      <c r="F459" s="153"/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  <c r="Q459" s="153"/>
      <c r="R459" s="153">
        <f t="shared" si="103"/>
        <v>0</v>
      </c>
      <c r="S459" s="153"/>
      <c r="T459" s="153"/>
      <c r="U459" s="153"/>
      <c r="V459" s="153"/>
      <c r="W459" s="153"/>
      <c r="X459" s="154">
        <f t="shared" si="104"/>
        <v>0</v>
      </c>
      <c r="Y459" s="226">
        <f t="shared" si="105"/>
        <v>0</v>
      </c>
      <c r="Z459" s="371"/>
    </row>
    <row r="460" spans="1:28" ht="20.100000000000001" hidden="1" customHeight="1" x14ac:dyDescent="0.2">
      <c r="A460" s="25">
        <v>4</v>
      </c>
      <c r="B460" s="73"/>
      <c r="C460" s="38"/>
      <c r="D460" s="153"/>
      <c r="E460" s="153"/>
      <c r="F460" s="153"/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  <c r="Q460" s="153"/>
      <c r="R460" s="153">
        <f t="shared" si="103"/>
        <v>0</v>
      </c>
      <c r="S460" s="153"/>
      <c r="T460" s="153"/>
      <c r="U460" s="153"/>
      <c r="V460" s="153"/>
      <c r="W460" s="153"/>
      <c r="X460" s="154">
        <f t="shared" si="104"/>
        <v>0</v>
      </c>
      <c r="Y460" s="226">
        <f t="shared" si="105"/>
        <v>0</v>
      </c>
      <c r="Z460" s="371"/>
    </row>
    <row r="461" spans="1:28" ht="20.100000000000001" hidden="1" customHeight="1" x14ac:dyDescent="0.2">
      <c r="A461" s="25">
        <v>5</v>
      </c>
      <c r="B461" s="73"/>
      <c r="C461" s="38"/>
      <c r="D461" s="153"/>
      <c r="E461" s="153"/>
      <c r="F461" s="153"/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  <c r="Q461" s="153"/>
      <c r="R461" s="153">
        <f t="shared" si="103"/>
        <v>0</v>
      </c>
      <c r="S461" s="153"/>
      <c r="T461" s="153"/>
      <c r="U461" s="153"/>
      <c r="V461" s="153"/>
      <c r="W461" s="153"/>
      <c r="X461" s="154">
        <f t="shared" si="104"/>
        <v>0</v>
      </c>
      <c r="Y461" s="226">
        <f t="shared" si="105"/>
        <v>0</v>
      </c>
      <c r="Z461" s="371"/>
    </row>
    <row r="462" spans="1:28" ht="20.100000000000001" hidden="1" customHeight="1" x14ac:dyDescent="0.2">
      <c r="A462" s="25">
        <v>6</v>
      </c>
      <c r="B462" s="73"/>
      <c r="C462" s="38"/>
      <c r="D462" s="153"/>
      <c r="E462" s="153"/>
      <c r="F462" s="153"/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  <c r="Q462" s="153"/>
      <c r="R462" s="153">
        <f t="shared" si="103"/>
        <v>0</v>
      </c>
      <c r="S462" s="153"/>
      <c r="T462" s="153"/>
      <c r="U462" s="153"/>
      <c r="V462" s="153"/>
      <c r="W462" s="153"/>
      <c r="X462" s="154">
        <f t="shared" si="104"/>
        <v>0</v>
      </c>
      <c r="Y462" s="226">
        <f t="shared" si="105"/>
        <v>0</v>
      </c>
      <c r="Z462" s="371"/>
    </row>
    <row r="463" spans="1:28" ht="20.100000000000001" hidden="1" customHeight="1" x14ac:dyDescent="0.2">
      <c r="A463" s="25">
        <v>7</v>
      </c>
      <c r="B463" s="73"/>
      <c r="C463" s="38"/>
      <c r="D463" s="153"/>
      <c r="E463" s="153"/>
      <c r="F463" s="153"/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  <c r="Q463" s="153"/>
      <c r="R463" s="153">
        <f t="shared" si="103"/>
        <v>0</v>
      </c>
      <c r="S463" s="153"/>
      <c r="T463" s="153"/>
      <c r="U463" s="153"/>
      <c r="V463" s="153"/>
      <c r="W463" s="153"/>
      <c r="X463" s="154">
        <f t="shared" si="104"/>
        <v>0</v>
      </c>
      <c r="Y463" s="226">
        <f t="shared" si="105"/>
        <v>0</v>
      </c>
      <c r="Z463" s="371"/>
    </row>
    <row r="464" spans="1:28" ht="20.100000000000001" hidden="1" customHeight="1" x14ac:dyDescent="0.2">
      <c r="A464" s="25">
        <v>8</v>
      </c>
      <c r="B464" s="73"/>
      <c r="C464" s="38"/>
      <c r="D464" s="153"/>
      <c r="E464" s="153"/>
      <c r="F464" s="153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53"/>
      <c r="R464" s="153">
        <f t="shared" ref="R464:R511" si="106">SUM(D464:Q464)</f>
        <v>0</v>
      </c>
      <c r="S464" s="153"/>
      <c r="T464" s="153"/>
      <c r="U464" s="153"/>
      <c r="V464" s="153"/>
      <c r="W464" s="153"/>
      <c r="X464" s="154">
        <f t="shared" ref="X464:X511" si="107">SUM(T464:W464)</f>
        <v>0</v>
      </c>
      <c r="Y464" s="226">
        <f t="shared" ref="Y464:Y511" si="108">R464+X464</f>
        <v>0</v>
      </c>
      <c r="Z464" s="371"/>
    </row>
    <row r="465" spans="1:26" ht="20.100000000000001" hidden="1" customHeight="1" x14ac:dyDescent="0.2">
      <c r="A465" s="25">
        <v>9</v>
      </c>
      <c r="B465" s="73"/>
      <c r="C465" s="38"/>
      <c r="D465" s="153"/>
      <c r="E465" s="153"/>
      <c r="F465" s="153"/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  <c r="Q465" s="153"/>
      <c r="R465" s="153">
        <f t="shared" si="106"/>
        <v>0</v>
      </c>
      <c r="S465" s="153"/>
      <c r="T465" s="153"/>
      <c r="U465" s="153"/>
      <c r="V465" s="153"/>
      <c r="W465" s="153"/>
      <c r="X465" s="154">
        <f t="shared" si="107"/>
        <v>0</v>
      </c>
      <c r="Y465" s="226">
        <f t="shared" si="108"/>
        <v>0</v>
      </c>
      <c r="Z465" s="371"/>
    </row>
    <row r="466" spans="1:26" ht="20.100000000000001" hidden="1" customHeight="1" x14ac:dyDescent="0.2">
      <c r="A466" s="25">
        <v>10</v>
      </c>
      <c r="B466" s="73"/>
      <c r="C466" s="38"/>
      <c r="D466" s="153"/>
      <c r="E466" s="153"/>
      <c r="F466" s="153"/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  <c r="Q466" s="153"/>
      <c r="R466" s="153">
        <f t="shared" si="106"/>
        <v>0</v>
      </c>
      <c r="S466" s="153"/>
      <c r="T466" s="153"/>
      <c r="U466" s="153"/>
      <c r="V466" s="153"/>
      <c r="W466" s="153"/>
      <c r="X466" s="154">
        <f t="shared" si="107"/>
        <v>0</v>
      </c>
      <c r="Y466" s="226">
        <f t="shared" si="108"/>
        <v>0</v>
      </c>
      <c r="Z466" s="371"/>
    </row>
    <row r="467" spans="1:26" ht="20.100000000000001" hidden="1" customHeight="1" x14ac:dyDescent="0.2">
      <c r="A467" s="25">
        <v>11</v>
      </c>
      <c r="B467" s="73"/>
      <c r="C467" s="38"/>
      <c r="D467" s="153"/>
      <c r="E467" s="153"/>
      <c r="F467" s="153"/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  <c r="Q467" s="153"/>
      <c r="R467" s="153">
        <f t="shared" si="106"/>
        <v>0</v>
      </c>
      <c r="S467" s="153"/>
      <c r="T467" s="153"/>
      <c r="U467" s="153"/>
      <c r="V467" s="153"/>
      <c r="W467" s="153"/>
      <c r="X467" s="154">
        <f t="shared" si="107"/>
        <v>0</v>
      </c>
      <c r="Y467" s="226">
        <f t="shared" si="108"/>
        <v>0</v>
      </c>
      <c r="Z467" s="371"/>
    </row>
    <row r="468" spans="1:26" ht="20.100000000000001" hidden="1" customHeight="1" x14ac:dyDescent="0.2">
      <c r="A468" s="25">
        <v>12</v>
      </c>
      <c r="B468" s="280"/>
      <c r="C468" s="38"/>
      <c r="D468" s="153"/>
      <c r="E468" s="153"/>
      <c r="F468" s="153"/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  <c r="Q468" s="153"/>
      <c r="R468" s="153">
        <f t="shared" si="106"/>
        <v>0</v>
      </c>
      <c r="S468" s="153"/>
      <c r="T468" s="153"/>
      <c r="U468" s="153"/>
      <c r="V468" s="153"/>
      <c r="W468" s="153"/>
      <c r="X468" s="154">
        <f t="shared" si="107"/>
        <v>0</v>
      </c>
      <c r="Y468" s="226">
        <f t="shared" si="108"/>
        <v>0</v>
      </c>
      <c r="Z468" s="371"/>
    </row>
    <row r="469" spans="1:26" ht="20.100000000000001" hidden="1" customHeight="1" x14ac:dyDescent="0.2">
      <c r="A469" s="25">
        <v>13</v>
      </c>
      <c r="B469" s="73"/>
      <c r="C469" s="38"/>
      <c r="D469" s="153"/>
      <c r="E469" s="153"/>
      <c r="F469" s="153"/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  <c r="Q469" s="153"/>
      <c r="R469" s="153">
        <f t="shared" si="106"/>
        <v>0</v>
      </c>
      <c r="S469" s="153"/>
      <c r="T469" s="153"/>
      <c r="U469" s="153"/>
      <c r="V469" s="153"/>
      <c r="W469" s="153"/>
      <c r="X469" s="154">
        <f t="shared" si="107"/>
        <v>0</v>
      </c>
      <c r="Y469" s="226">
        <f t="shared" si="108"/>
        <v>0</v>
      </c>
      <c r="Z469" s="371"/>
    </row>
    <row r="470" spans="1:26" ht="20.100000000000001" hidden="1" customHeight="1" x14ac:dyDescent="0.2">
      <c r="A470" s="25">
        <v>14</v>
      </c>
      <c r="B470" s="73"/>
      <c r="C470" s="38"/>
      <c r="D470" s="153"/>
      <c r="E470" s="153"/>
      <c r="F470" s="153"/>
      <c r="G470" s="153"/>
      <c r="H470" s="153"/>
      <c r="I470" s="153"/>
      <c r="J470" s="153"/>
      <c r="K470" s="153"/>
      <c r="L470" s="153"/>
      <c r="M470" s="153"/>
      <c r="N470" s="153"/>
      <c r="O470" s="153"/>
      <c r="P470" s="153"/>
      <c r="Q470" s="153"/>
      <c r="R470" s="153">
        <f t="shared" si="106"/>
        <v>0</v>
      </c>
      <c r="S470" s="153"/>
      <c r="T470" s="153"/>
      <c r="U470" s="153"/>
      <c r="V470" s="153"/>
      <c r="W470" s="153"/>
      <c r="X470" s="154">
        <f t="shared" si="107"/>
        <v>0</v>
      </c>
      <c r="Y470" s="226">
        <f t="shared" si="108"/>
        <v>0</v>
      </c>
      <c r="Z470" s="371"/>
    </row>
    <row r="471" spans="1:26" ht="20.100000000000001" hidden="1" customHeight="1" x14ac:dyDescent="0.2">
      <c r="A471" s="25">
        <v>15</v>
      </c>
      <c r="B471" s="73"/>
      <c r="C471" s="38"/>
      <c r="D471" s="153"/>
      <c r="E471" s="153"/>
      <c r="F471" s="153"/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  <c r="Q471" s="153"/>
      <c r="R471" s="153">
        <f t="shared" si="106"/>
        <v>0</v>
      </c>
      <c r="S471" s="153"/>
      <c r="T471" s="153"/>
      <c r="U471" s="153"/>
      <c r="V471" s="153"/>
      <c r="W471" s="153"/>
      <c r="X471" s="154">
        <f t="shared" si="107"/>
        <v>0</v>
      </c>
      <c r="Y471" s="226">
        <f t="shared" si="108"/>
        <v>0</v>
      </c>
      <c r="Z471" s="371"/>
    </row>
    <row r="472" spans="1:26" ht="20.100000000000001" hidden="1" customHeight="1" x14ac:dyDescent="0.2">
      <c r="A472" s="25"/>
      <c r="B472" s="73"/>
      <c r="C472" s="38"/>
      <c r="D472" s="153"/>
      <c r="E472" s="153"/>
      <c r="F472" s="153"/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  <c r="Q472" s="153"/>
      <c r="R472" s="153">
        <f t="shared" si="106"/>
        <v>0</v>
      </c>
      <c r="S472" s="153"/>
      <c r="T472" s="153"/>
      <c r="U472" s="153"/>
      <c r="V472" s="153"/>
      <c r="W472" s="153"/>
      <c r="X472" s="154">
        <f t="shared" si="107"/>
        <v>0</v>
      </c>
      <c r="Y472" s="226">
        <f t="shared" si="108"/>
        <v>0</v>
      </c>
      <c r="Z472" s="371"/>
    </row>
    <row r="473" spans="1:26" ht="20.100000000000001" hidden="1" customHeight="1" x14ac:dyDescent="0.2">
      <c r="A473" s="25">
        <v>16</v>
      </c>
      <c r="B473" s="280"/>
      <c r="C473" s="38"/>
      <c r="D473" s="153"/>
      <c r="E473" s="153"/>
      <c r="F473" s="153"/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  <c r="Q473" s="153"/>
      <c r="R473" s="153">
        <f t="shared" si="106"/>
        <v>0</v>
      </c>
      <c r="S473" s="153"/>
      <c r="T473" s="153"/>
      <c r="U473" s="153"/>
      <c r="V473" s="153"/>
      <c r="W473" s="153"/>
      <c r="X473" s="154">
        <f t="shared" si="107"/>
        <v>0</v>
      </c>
      <c r="Y473" s="226">
        <f t="shared" si="108"/>
        <v>0</v>
      </c>
      <c r="Z473" s="371"/>
    </row>
    <row r="474" spans="1:26" ht="20.100000000000001" hidden="1" customHeight="1" x14ac:dyDescent="0.2">
      <c r="A474" s="25">
        <v>17</v>
      </c>
      <c r="B474" s="73"/>
      <c r="C474" s="38"/>
      <c r="D474" s="153"/>
      <c r="E474" s="153"/>
      <c r="F474" s="153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>
        <f t="shared" si="106"/>
        <v>0</v>
      </c>
      <c r="S474" s="153"/>
      <c r="T474" s="153"/>
      <c r="U474" s="153"/>
      <c r="V474" s="153"/>
      <c r="W474" s="153"/>
      <c r="X474" s="154">
        <f t="shared" si="107"/>
        <v>0</v>
      </c>
      <c r="Y474" s="226">
        <f t="shared" si="108"/>
        <v>0</v>
      </c>
      <c r="Z474" s="371"/>
    </row>
    <row r="475" spans="1:26" ht="20.100000000000001" hidden="1" customHeight="1" x14ac:dyDescent="0.2">
      <c r="A475" s="25">
        <v>18</v>
      </c>
      <c r="B475" s="73"/>
      <c r="C475" s="38"/>
      <c r="D475" s="153"/>
      <c r="E475" s="153"/>
      <c r="F475" s="153"/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  <c r="Q475" s="153"/>
      <c r="R475" s="153">
        <f t="shared" si="106"/>
        <v>0</v>
      </c>
      <c r="S475" s="153"/>
      <c r="T475" s="153"/>
      <c r="U475" s="153"/>
      <c r="V475" s="153"/>
      <c r="W475" s="153"/>
      <c r="X475" s="154">
        <f t="shared" si="107"/>
        <v>0</v>
      </c>
      <c r="Y475" s="226">
        <f t="shared" si="108"/>
        <v>0</v>
      </c>
      <c r="Z475" s="371"/>
    </row>
    <row r="476" spans="1:26" ht="20.100000000000001" hidden="1" customHeight="1" x14ac:dyDescent="0.2">
      <c r="A476" s="25">
        <v>19</v>
      </c>
      <c r="B476" s="73"/>
      <c r="C476" s="38"/>
      <c r="D476" s="153"/>
      <c r="E476" s="153"/>
      <c r="F476" s="153"/>
      <c r="G476" s="153"/>
      <c r="H476" s="153"/>
      <c r="I476" s="153"/>
      <c r="J476" s="153"/>
      <c r="K476" s="153"/>
      <c r="L476" s="153"/>
      <c r="M476" s="153"/>
      <c r="N476" s="153"/>
      <c r="O476" s="153"/>
      <c r="P476" s="153"/>
      <c r="Q476" s="153"/>
      <c r="R476" s="153">
        <f t="shared" si="106"/>
        <v>0</v>
      </c>
      <c r="S476" s="153"/>
      <c r="T476" s="153"/>
      <c r="U476" s="153"/>
      <c r="V476" s="153"/>
      <c r="W476" s="153"/>
      <c r="X476" s="154">
        <f t="shared" si="107"/>
        <v>0</v>
      </c>
      <c r="Y476" s="226">
        <f t="shared" si="108"/>
        <v>0</v>
      </c>
      <c r="Z476" s="371"/>
    </row>
    <row r="477" spans="1:26" ht="20.100000000000001" hidden="1" customHeight="1" x14ac:dyDescent="0.2">
      <c r="A477" s="25">
        <v>20</v>
      </c>
      <c r="B477" s="73"/>
      <c r="C477" s="38"/>
      <c r="D477" s="153"/>
      <c r="E477" s="153"/>
      <c r="F477" s="153"/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  <c r="Q477" s="153"/>
      <c r="R477" s="153">
        <f t="shared" si="106"/>
        <v>0</v>
      </c>
      <c r="S477" s="153"/>
      <c r="T477" s="153"/>
      <c r="U477" s="153"/>
      <c r="V477" s="153"/>
      <c r="W477" s="153"/>
      <c r="X477" s="154">
        <f t="shared" si="107"/>
        <v>0</v>
      </c>
      <c r="Y477" s="226">
        <f t="shared" si="108"/>
        <v>0</v>
      </c>
      <c r="Z477" s="371"/>
    </row>
    <row r="478" spans="1:26" ht="20.100000000000001" hidden="1" customHeight="1" x14ac:dyDescent="0.2">
      <c r="A478" s="25">
        <v>21</v>
      </c>
      <c r="B478" s="73"/>
      <c r="C478" s="38"/>
      <c r="D478" s="153"/>
      <c r="E478" s="153"/>
      <c r="F478" s="153"/>
      <c r="G478" s="153"/>
      <c r="H478" s="153"/>
      <c r="I478" s="153"/>
      <c r="J478" s="153"/>
      <c r="K478" s="153"/>
      <c r="L478" s="153"/>
      <c r="M478" s="153"/>
      <c r="N478" s="153"/>
      <c r="P478" s="153"/>
      <c r="Q478" s="153"/>
      <c r="R478" s="153">
        <f>SUM(D478:Q478)</f>
        <v>0</v>
      </c>
      <c r="S478" s="153"/>
      <c r="T478" s="153"/>
      <c r="U478" s="153"/>
      <c r="V478" s="153"/>
      <c r="W478" s="153"/>
      <c r="X478" s="154">
        <f t="shared" si="107"/>
        <v>0</v>
      </c>
      <c r="Y478" s="226">
        <f t="shared" si="108"/>
        <v>0</v>
      </c>
      <c r="Z478" s="371"/>
    </row>
    <row r="479" spans="1:26" ht="20.100000000000001" hidden="1" customHeight="1" x14ac:dyDescent="0.2">
      <c r="A479" s="25">
        <v>22</v>
      </c>
      <c r="B479" s="280"/>
      <c r="C479" s="38"/>
      <c r="D479" s="153"/>
      <c r="E479" s="153"/>
      <c r="F479" s="153"/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  <c r="Q479" s="153"/>
      <c r="R479" s="153">
        <f t="shared" si="106"/>
        <v>0</v>
      </c>
      <c r="S479" s="153"/>
      <c r="T479" s="153"/>
      <c r="U479" s="153"/>
      <c r="V479" s="153"/>
      <c r="W479" s="153"/>
      <c r="X479" s="154">
        <f t="shared" si="107"/>
        <v>0</v>
      </c>
      <c r="Y479" s="226">
        <f t="shared" si="108"/>
        <v>0</v>
      </c>
      <c r="Z479" s="371"/>
    </row>
    <row r="480" spans="1:26" ht="20.100000000000001" hidden="1" customHeight="1" x14ac:dyDescent="0.2">
      <c r="A480" s="25">
        <v>23</v>
      </c>
      <c r="B480" s="280"/>
      <c r="C480" s="38"/>
      <c r="D480" s="153"/>
      <c r="E480" s="153"/>
      <c r="F480" s="153"/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  <c r="Q480" s="153"/>
      <c r="R480" s="153">
        <f t="shared" si="106"/>
        <v>0</v>
      </c>
      <c r="S480" s="153"/>
      <c r="T480" s="153"/>
      <c r="U480" s="153"/>
      <c r="V480" s="153"/>
      <c r="W480" s="153"/>
      <c r="X480" s="154">
        <f t="shared" si="107"/>
        <v>0</v>
      </c>
      <c r="Y480" s="226">
        <f t="shared" si="108"/>
        <v>0</v>
      </c>
      <c r="Z480" s="371"/>
    </row>
    <row r="481" spans="1:26" ht="20.100000000000001" hidden="1" customHeight="1" x14ac:dyDescent="0.2">
      <c r="A481" s="25">
        <v>24</v>
      </c>
      <c r="B481" s="73"/>
      <c r="C481" s="38"/>
      <c r="D481" s="153"/>
      <c r="E481" s="153"/>
      <c r="F481" s="153"/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  <c r="Q481" s="153"/>
      <c r="R481" s="153">
        <f t="shared" si="106"/>
        <v>0</v>
      </c>
      <c r="S481" s="153"/>
      <c r="T481" s="153"/>
      <c r="U481" s="153"/>
      <c r="V481" s="153"/>
      <c r="W481" s="153"/>
      <c r="X481" s="154">
        <f t="shared" si="107"/>
        <v>0</v>
      </c>
      <c r="Y481" s="226">
        <f t="shared" si="108"/>
        <v>0</v>
      </c>
      <c r="Z481" s="371"/>
    </row>
    <row r="482" spans="1:26" ht="20.100000000000001" hidden="1" customHeight="1" x14ac:dyDescent="0.2">
      <c r="A482" s="25">
        <v>25</v>
      </c>
      <c r="B482" s="73"/>
      <c r="C482" s="38"/>
      <c r="D482" s="153"/>
      <c r="E482" s="153"/>
      <c r="F482" s="153"/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>
        <f t="shared" si="106"/>
        <v>0</v>
      </c>
      <c r="S482" s="153"/>
      <c r="T482" s="153"/>
      <c r="U482" s="153"/>
      <c r="V482" s="153"/>
      <c r="W482" s="153"/>
      <c r="X482" s="154">
        <f t="shared" si="107"/>
        <v>0</v>
      </c>
      <c r="Y482" s="226">
        <f t="shared" si="108"/>
        <v>0</v>
      </c>
      <c r="Z482" s="371"/>
    </row>
    <row r="483" spans="1:26" ht="20.100000000000001" hidden="1" customHeight="1" x14ac:dyDescent="0.2">
      <c r="A483" s="25">
        <v>26</v>
      </c>
      <c r="B483" s="73"/>
      <c r="C483" s="38"/>
      <c r="D483" s="153"/>
      <c r="E483" s="153"/>
      <c r="F483" s="153"/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  <c r="Q483" s="153"/>
      <c r="R483" s="153">
        <f t="shared" si="106"/>
        <v>0</v>
      </c>
      <c r="S483" s="153"/>
      <c r="T483" s="153"/>
      <c r="U483" s="153"/>
      <c r="V483" s="153"/>
      <c r="W483" s="153"/>
      <c r="X483" s="154">
        <f t="shared" si="107"/>
        <v>0</v>
      </c>
      <c r="Y483" s="226">
        <f t="shared" si="108"/>
        <v>0</v>
      </c>
      <c r="Z483" s="371"/>
    </row>
    <row r="484" spans="1:26" ht="20.100000000000001" hidden="1" customHeight="1" x14ac:dyDescent="0.2">
      <c r="A484" s="25">
        <v>27</v>
      </c>
      <c r="B484" s="73"/>
      <c r="C484" s="38"/>
      <c r="D484" s="153"/>
      <c r="E484" s="153"/>
      <c r="F484" s="153"/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  <c r="Q484" s="153"/>
      <c r="R484" s="153">
        <f t="shared" si="106"/>
        <v>0</v>
      </c>
      <c r="S484" s="153"/>
      <c r="T484" s="153"/>
      <c r="U484" s="153"/>
      <c r="V484" s="153"/>
      <c r="W484" s="153"/>
      <c r="X484" s="154">
        <f t="shared" si="107"/>
        <v>0</v>
      </c>
      <c r="Y484" s="226">
        <f t="shared" si="108"/>
        <v>0</v>
      </c>
      <c r="Z484" s="371"/>
    </row>
    <row r="485" spans="1:26" ht="20.100000000000001" hidden="1" customHeight="1" x14ac:dyDescent="0.2">
      <c r="A485" s="25">
        <v>28</v>
      </c>
      <c r="B485" s="280"/>
      <c r="C485" s="38"/>
      <c r="D485" s="153"/>
      <c r="E485" s="153"/>
      <c r="F485" s="153"/>
      <c r="G485" s="153"/>
      <c r="H485" s="153"/>
      <c r="I485" s="153"/>
      <c r="J485" s="153"/>
      <c r="K485" s="153"/>
      <c r="L485" s="153"/>
      <c r="M485" s="153"/>
      <c r="N485" s="153"/>
      <c r="O485" s="153"/>
      <c r="P485" s="153"/>
      <c r="Q485" s="153"/>
      <c r="R485" s="153">
        <f t="shared" si="106"/>
        <v>0</v>
      </c>
      <c r="S485" s="153"/>
      <c r="T485" s="153"/>
      <c r="U485" s="153"/>
      <c r="V485" s="153"/>
      <c r="W485" s="153"/>
      <c r="X485" s="154">
        <f t="shared" si="107"/>
        <v>0</v>
      </c>
      <c r="Y485" s="226">
        <f t="shared" si="108"/>
        <v>0</v>
      </c>
      <c r="Z485" s="371"/>
    </row>
    <row r="486" spans="1:26" ht="20.100000000000001" hidden="1" customHeight="1" x14ac:dyDescent="0.2">
      <c r="A486" s="25">
        <v>29</v>
      </c>
      <c r="B486" s="73"/>
      <c r="C486" s="38"/>
      <c r="D486" s="153"/>
      <c r="E486" s="153"/>
      <c r="F486" s="153"/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  <c r="Q486" s="153"/>
      <c r="R486" s="153">
        <f t="shared" si="106"/>
        <v>0</v>
      </c>
      <c r="S486" s="153"/>
      <c r="T486" s="153"/>
      <c r="U486" s="153"/>
      <c r="V486" s="153"/>
      <c r="W486" s="153"/>
      <c r="X486" s="154">
        <f t="shared" si="107"/>
        <v>0</v>
      </c>
      <c r="Y486" s="226">
        <f t="shared" si="108"/>
        <v>0</v>
      </c>
      <c r="Z486" s="371"/>
    </row>
    <row r="487" spans="1:26" ht="20.100000000000001" hidden="1" customHeight="1" x14ac:dyDescent="0.2">
      <c r="A487" s="25">
        <v>30</v>
      </c>
      <c r="B487" s="280"/>
      <c r="C487" s="38"/>
      <c r="D487" s="153"/>
      <c r="E487" s="153"/>
      <c r="F487" s="153"/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  <c r="Q487" s="153"/>
      <c r="R487" s="153">
        <f t="shared" si="106"/>
        <v>0</v>
      </c>
      <c r="S487" s="153"/>
      <c r="T487" s="153"/>
      <c r="U487" s="153"/>
      <c r="V487" s="153"/>
      <c r="W487" s="153"/>
      <c r="X487" s="154">
        <f t="shared" si="107"/>
        <v>0</v>
      </c>
      <c r="Y487" s="226">
        <f t="shared" si="108"/>
        <v>0</v>
      </c>
      <c r="Z487" s="371"/>
    </row>
    <row r="488" spans="1:26" ht="20.100000000000001" hidden="1" customHeight="1" x14ac:dyDescent="0.2">
      <c r="A488" s="25">
        <v>31</v>
      </c>
      <c r="B488" s="73"/>
      <c r="C488" s="38"/>
      <c r="D488" s="153"/>
      <c r="E488" s="153"/>
      <c r="F488" s="153"/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  <c r="Q488" s="153"/>
      <c r="R488" s="153">
        <f t="shared" si="106"/>
        <v>0</v>
      </c>
      <c r="S488" s="153"/>
      <c r="T488" s="153"/>
      <c r="U488" s="153"/>
      <c r="V488" s="153"/>
      <c r="W488" s="153"/>
      <c r="X488" s="154">
        <f t="shared" si="107"/>
        <v>0</v>
      </c>
      <c r="Y488" s="226">
        <f t="shared" si="108"/>
        <v>0</v>
      </c>
      <c r="Z488" s="371"/>
    </row>
    <row r="489" spans="1:26" ht="20.100000000000001" hidden="1" customHeight="1" x14ac:dyDescent="0.2">
      <c r="A489" s="25">
        <v>32</v>
      </c>
      <c r="B489" s="73"/>
      <c r="C489" s="38"/>
      <c r="D489" s="153"/>
      <c r="E489" s="153"/>
      <c r="F489" s="153"/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  <c r="Q489" s="153"/>
      <c r="R489" s="153">
        <f t="shared" si="106"/>
        <v>0</v>
      </c>
      <c r="S489" s="153"/>
      <c r="T489" s="153"/>
      <c r="U489" s="153"/>
      <c r="V489" s="153"/>
      <c r="W489" s="153"/>
      <c r="X489" s="154">
        <f t="shared" si="107"/>
        <v>0</v>
      </c>
      <c r="Y489" s="226">
        <f t="shared" si="108"/>
        <v>0</v>
      </c>
      <c r="Z489" s="371"/>
    </row>
    <row r="490" spans="1:26" ht="20.100000000000001" hidden="1" customHeight="1" x14ac:dyDescent="0.2">
      <c r="A490" s="25">
        <v>33</v>
      </c>
      <c r="B490" s="280"/>
      <c r="C490" s="38"/>
      <c r="D490" s="153"/>
      <c r="E490" s="153"/>
      <c r="F490" s="153"/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  <c r="Q490" s="153"/>
      <c r="R490" s="153">
        <f t="shared" si="106"/>
        <v>0</v>
      </c>
      <c r="S490" s="153"/>
      <c r="T490" s="153"/>
      <c r="U490" s="153"/>
      <c r="V490" s="153"/>
      <c r="W490" s="153"/>
      <c r="X490" s="154">
        <f t="shared" si="107"/>
        <v>0</v>
      </c>
      <c r="Y490" s="226">
        <f t="shared" si="108"/>
        <v>0</v>
      </c>
      <c r="Z490" s="371"/>
    </row>
    <row r="491" spans="1:26" ht="20.100000000000001" hidden="1" customHeight="1" x14ac:dyDescent="0.2">
      <c r="A491" s="25">
        <v>34</v>
      </c>
      <c r="B491" s="73"/>
      <c r="C491" s="38"/>
      <c r="D491" s="153"/>
      <c r="E491" s="153"/>
      <c r="F491" s="153"/>
      <c r="G491" s="153"/>
      <c r="H491" s="153"/>
      <c r="I491" s="153"/>
      <c r="J491" s="153"/>
      <c r="K491" s="153"/>
      <c r="L491" s="153"/>
      <c r="M491" s="153"/>
      <c r="N491" s="153"/>
      <c r="O491" s="153"/>
      <c r="P491" s="153"/>
      <c r="Q491" s="153"/>
      <c r="R491" s="153">
        <f t="shared" si="106"/>
        <v>0</v>
      </c>
      <c r="S491" s="153"/>
      <c r="T491" s="153"/>
      <c r="U491" s="153"/>
      <c r="V491" s="153"/>
      <c r="W491" s="153"/>
      <c r="X491" s="154">
        <f t="shared" si="107"/>
        <v>0</v>
      </c>
      <c r="Y491" s="226">
        <f t="shared" si="108"/>
        <v>0</v>
      </c>
      <c r="Z491" s="371"/>
    </row>
    <row r="492" spans="1:26" ht="20.100000000000001" hidden="1" customHeight="1" x14ac:dyDescent="0.2">
      <c r="A492" s="25">
        <v>35</v>
      </c>
      <c r="B492" s="73"/>
      <c r="C492" s="38"/>
      <c r="D492" s="153"/>
      <c r="E492" s="153"/>
      <c r="F492" s="153"/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  <c r="Q492" s="153"/>
      <c r="R492" s="153">
        <f t="shared" si="106"/>
        <v>0</v>
      </c>
      <c r="S492" s="153"/>
      <c r="T492" s="153"/>
      <c r="U492" s="153"/>
      <c r="V492" s="153"/>
      <c r="W492" s="153"/>
      <c r="X492" s="154">
        <f t="shared" si="107"/>
        <v>0</v>
      </c>
      <c r="Y492" s="226">
        <f t="shared" si="108"/>
        <v>0</v>
      </c>
      <c r="Z492" s="371"/>
    </row>
    <row r="493" spans="1:26" ht="20.100000000000001" hidden="1" customHeight="1" x14ac:dyDescent="0.2">
      <c r="A493" s="25">
        <v>36</v>
      </c>
      <c r="B493" s="73"/>
      <c r="C493" s="38"/>
      <c r="D493" s="153"/>
      <c r="E493" s="153"/>
      <c r="F493" s="153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>
        <f t="shared" si="106"/>
        <v>0</v>
      </c>
      <c r="S493" s="153"/>
      <c r="T493" s="153"/>
      <c r="U493" s="153"/>
      <c r="V493" s="153"/>
      <c r="W493" s="153"/>
      <c r="X493" s="154">
        <f t="shared" si="107"/>
        <v>0</v>
      </c>
      <c r="Y493" s="226">
        <f t="shared" si="108"/>
        <v>0</v>
      </c>
      <c r="Z493" s="371"/>
    </row>
    <row r="494" spans="1:26" ht="20.100000000000001" hidden="1" customHeight="1" x14ac:dyDescent="0.2">
      <c r="A494" s="25">
        <v>37</v>
      </c>
      <c r="B494" s="280"/>
      <c r="C494" s="38"/>
      <c r="D494" s="153"/>
      <c r="E494" s="153"/>
      <c r="F494" s="153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R494" s="153">
        <f t="shared" si="106"/>
        <v>0</v>
      </c>
      <c r="S494" s="153"/>
      <c r="T494" s="153"/>
      <c r="U494" s="153"/>
      <c r="V494" s="153"/>
      <c r="W494" s="153"/>
      <c r="X494" s="154">
        <f t="shared" si="107"/>
        <v>0</v>
      </c>
      <c r="Y494" s="226">
        <f t="shared" si="108"/>
        <v>0</v>
      </c>
      <c r="Z494" s="371"/>
    </row>
    <row r="495" spans="1:26" ht="20.100000000000001" hidden="1" customHeight="1" x14ac:dyDescent="0.2">
      <c r="A495" s="25">
        <v>38</v>
      </c>
      <c r="B495" s="73"/>
      <c r="C495" s="38"/>
      <c r="D495" s="153"/>
      <c r="E495" s="153"/>
      <c r="F495" s="153"/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>
        <f t="shared" si="106"/>
        <v>0</v>
      </c>
      <c r="S495" s="153"/>
      <c r="T495" s="153"/>
      <c r="U495" s="153"/>
      <c r="V495" s="153"/>
      <c r="W495" s="153"/>
      <c r="X495" s="154">
        <f t="shared" si="107"/>
        <v>0</v>
      </c>
      <c r="Y495" s="226">
        <f t="shared" si="108"/>
        <v>0</v>
      </c>
      <c r="Z495" s="371"/>
    </row>
    <row r="496" spans="1:26" ht="20.100000000000001" hidden="1" customHeight="1" x14ac:dyDescent="0.2">
      <c r="A496" s="25">
        <v>39</v>
      </c>
      <c r="B496" s="73"/>
      <c r="C496" s="38"/>
      <c r="D496" s="153"/>
      <c r="E496" s="153"/>
      <c r="F496" s="153"/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  <c r="Q496" s="153"/>
      <c r="R496" s="153">
        <f t="shared" si="106"/>
        <v>0</v>
      </c>
      <c r="S496" s="153"/>
      <c r="T496" s="153"/>
      <c r="U496" s="153"/>
      <c r="V496" s="153"/>
      <c r="W496" s="153"/>
      <c r="X496" s="154">
        <f t="shared" si="107"/>
        <v>0</v>
      </c>
      <c r="Y496" s="226">
        <f t="shared" si="108"/>
        <v>0</v>
      </c>
      <c r="Z496" s="371"/>
    </row>
    <row r="497" spans="1:26" ht="20.100000000000001" hidden="1" customHeight="1" x14ac:dyDescent="0.2">
      <c r="A497" s="25">
        <v>40</v>
      </c>
      <c r="B497" s="73"/>
      <c r="C497" s="38"/>
      <c r="D497" s="153"/>
      <c r="E497" s="153"/>
      <c r="F497" s="153"/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  <c r="Q497" s="153"/>
      <c r="R497" s="153">
        <f t="shared" si="106"/>
        <v>0</v>
      </c>
      <c r="S497" s="153"/>
      <c r="T497" s="153"/>
      <c r="U497" s="153"/>
      <c r="V497" s="153"/>
      <c r="W497" s="153"/>
      <c r="X497" s="154">
        <f t="shared" si="107"/>
        <v>0</v>
      </c>
      <c r="Y497" s="226">
        <f t="shared" si="108"/>
        <v>0</v>
      </c>
      <c r="Z497" s="371"/>
    </row>
    <row r="498" spans="1:26" ht="20.100000000000001" hidden="1" customHeight="1" x14ac:dyDescent="0.2">
      <c r="A498" s="25">
        <v>41</v>
      </c>
      <c r="B498" s="280"/>
      <c r="C498" s="38"/>
      <c r="D498" s="153"/>
      <c r="E498" s="153"/>
      <c r="F498" s="153"/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  <c r="Q498" s="153"/>
      <c r="R498" s="153">
        <f t="shared" si="106"/>
        <v>0</v>
      </c>
      <c r="S498" s="153"/>
      <c r="T498" s="153"/>
      <c r="U498" s="153"/>
      <c r="V498" s="153"/>
      <c r="W498" s="153"/>
      <c r="X498" s="154">
        <f t="shared" si="107"/>
        <v>0</v>
      </c>
      <c r="Y498" s="226">
        <f t="shared" si="108"/>
        <v>0</v>
      </c>
      <c r="Z498" s="371"/>
    </row>
    <row r="499" spans="1:26" ht="20.100000000000001" hidden="1" customHeight="1" x14ac:dyDescent="0.2">
      <c r="A499" s="25">
        <v>42</v>
      </c>
      <c r="B499" s="73"/>
      <c r="C499" s="38"/>
      <c r="D499" s="153"/>
      <c r="E499" s="153"/>
      <c r="F499" s="153"/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  <c r="Q499" s="153"/>
      <c r="R499" s="153">
        <f t="shared" si="106"/>
        <v>0</v>
      </c>
      <c r="S499" s="153"/>
      <c r="T499" s="153"/>
      <c r="U499" s="153"/>
      <c r="V499" s="153"/>
      <c r="W499" s="153"/>
      <c r="X499" s="154">
        <f t="shared" si="107"/>
        <v>0</v>
      </c>
      <c r="Y499" s="226">
        <f t="shared" si="108"/>
        <v>0</v>
      </c>
      <c r="Z499" s="371"/>
    </row>
    <row r="500" spans="1:26" ht="20.100000000000001" hidden="1" customHeight="1" x14ac:dyDescent="0.2">
      <c r="A500" s="25">
        <v>43</v>
      </c>
      <c r="B500" s="280"/>
      <c r="C500" s="38"/>
      <c r="D500" s="153"/>
      <c r="E500" s="153"/>
      <c r="F500" s="153"/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  <c r="Q500" s="153"/>
      <c r="R500" s="153">
        <f t="shared" si="106"/>
        <v>0</v>
      </c>
      <c r="S500" s="153"/>
      <c r="T500" s="153"/>
      <c r="U500" s="153"/>
      <c r="V500" s="153"/>
      <c r="W500" s="153"/>
      <c r="X500" s="154">
        <f t="shared" si="107"/>
        <v>0</v>
      </c>
      <c r="Y500" s="226">
        <f t="shared" si="108"/>
        <v>0</v>
      </c>
      <c r="Z500" s="371"/>
    </row>
    <row r="501" spans="1:26" ht="20.100000000000001" hidden="1" customHeight="1" x14ac:dyDescent="0.2">
      <c r="A501" s="25">
        <v>44</v>
      </c>
      <c r="B501" s="73"/>
      <c r="C501" s="38"/>
      <c r="D501" s="153"/>
      <c r="E501" s="153"/>
      <c r="F501" s="153"/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  <c r="Q501" s="153"/>
      <c r="R501" s="153">
        <f t="shared" si="106"/>
        <v>0</v>
      </c>
      <c r="S501" s="153"/>
      <c r="T501" s="153"/>
      <c r="U501" s="153"/>
      <c r="V501" s="153"/>
      <c r="W501" s="153"/>
      <c r="X501" s="154">
        <f t="shared" si="107"/>
        <v>0</v>
      </c>
      <c r="Y501" s="226">
        <f t="shared" si="108"/>
        <v>0</v>
      </c>
      <c r="Z501" s="371"/>
    </row>
    <row r="502" spans="1:26" ht="20.100000000000001" hidden="1" customHeight="1" x14ac:dyDescent="0.2">
      <c r="A502" s="25">
        <v>45</v>
      </c>
      <c r="B502" s="280"/>
      <c r="C502" s="38"/>
      <c r="D502" s="153"/>
      <c r="E502" s="153"/>
      <c r="F502" s="153"/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  <c r="Q502" s="153"/>
      <c r="R502" s="153">
        <f t="shared" si="106"/>
        <v>0</v>
      </c>
      <c r="S502" s="153"/>
      <c r="T502" s="153"/>
      <c r="U502" s="153"/>
      <c r="V502" s="153"/>
      <c r="W502" s="153"/>
      <c r="X502" s="154">
        <f t="shared" si="107"/>
        <v>0</v>
      </c>
      <c r="Y502" s="226">
        <f t="shared" si="108"/>
        <v>0</v>
      </c>
      <c r="Z502" s="371"/>
    </row>
    <row r="503" spans="1:26" ht="20.100000000000001" hidden="1" customHeight="1" x14ac:dyDescent="0.2">
      <c r="A503" s="25">
        <v>46</v>
      </c>
      <c r="B503" s="73"/>
      <c r="C503" s="38"/>
      <c r="D503" s="153"/>
      <c r="E503" s="153"/>
      <c r="F503" s="153"/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  <c r="Q503" s="153"/>
      <c r="R503" s="153">
        <f t="shared" si="106"/>
        <v>0</v>
      </c>
      <c r="S503" s="153"/>
      <c r="T503" s="153"/>
      <c r="U503" s="153"/>
      <c r="V503" s="153"/>
      <c r="W503" s="153"/>
      <c r="X503" s="154">
        <f t="shared" si="107"/>
        <v>0</v>
      </c>
      <c r="Y503" s="226">
        <f t="shared" si="108"/>
        <v>0</v>
      </c>
      <c r="Z503" s="371"/>
    </row>
    <row r="504" spans="1:26" ht="20.100000000000001" hidden="1" customHeight="1" x14ac:dyDescent="0.2">
      <c r="A504" s="25">
        <v>47</v>
      </c>
      <c r="B504" s="280"/>
      <c r="C504" s="38"/>
      <c r="D504" s="153"/>
      <c r="E504" s="153"/>
      <c r="F504" s="153"/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  <c r="Q504" s="153"/>
      <c r="R504" s="153">
        <f t="shared" si="106"/>
        <v>0</v>
      </c>
      <c r="S504" s="153"/>
      <c r="T504" s="153"/>
      <c r="U504" s="153"/>
      <c r="V504" s="153"/>
      <c r="W504" s="153"/>
      <c r="X504" s="154">
        <f t="shared" si="107"/>
        <v>0</v>
      </c>
      <c r="Y504" s="226">
        <f t="shared" si="108"/>
        <v>0</v>
      </c>
      <c r="Z504" s="371"/>
    </row>
    <row r="505" spans="1:26" ht="20.100000000000001" hidden="1" customHeight="1" x14ac:dyDescent="0.2">
      <c r="A505" s="25">
        <v>48</v>
      </c>
      <c r="B505" s="73"/>
      <c r="C505" s="38"/>
      <c r="D505" s="153"/>
      <c r="E505" s="153"/>
      <c r="F505" s="153"/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  <c r="Q505" s="153"/>
      <c r="R505" s="153">
        <f t="shared" si="106"/>
        <v>0</v>
      </c>
      <c r="S505" s="153"/>
      <c r="T505" s="153"/>
      <c r="U505" s="153"/>
      <c r="V505" s="153"/>
      <c r="W505" s="153"/>
      <c r="X505" s="154">
        <f t="shared" si="107"/>
        <v>0</v>
      </c>
      <c r="Y505" s="226">
        <f t="shared" si="108"/>
        <v>0</v>
      </c>
      <c r="Z505" s="371"/>
    </row>
    <row r="506" spans="1:26" ht="20.100000000000001" hidden="1" customHeight="1" x14ac:dyDescent="0.2">
      <c r="A506" s="25">
        <v>49</v>
      </c>
      <c r="B506" s="73"/>
      <c r="C506" s="38"/>
      <c r="D506" s="153"/>
      <c r="E506" s="153"/>
      <c r="F506" s="153"/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  <c r="Q506" s="153"/>
      <c r="R506" s="153">
        <f t="shared" si="106"/>
        <v>0</v>
      </c>
      <c r="S506" s="153"/>
      <c r="T506" s="153"/>
      <c r="U506" s="153"/>
      <c r="V506" s="153"/>
      <c r="W506" s="153"/>
      <c r="X506" s="154">
        <f t="shared" si="107"/>
        <v>0</v>
      </c>
      <c r="Y506" s="226">
        <f t="shared" si="108"/>
        <v>0</v>
      </c>
      <c r="Z506" s="371"/>
    </row>
    <row r="507" spans="1:26" ht="20.100000000000001" hidden="1" customHeight="1" x14ac:dyDescent="0.2">
      <c r="A507" s="25"/>
      <c r="B507" s="73"/>
      <c r="C507" s="38"/>
      <c r="D507" s="153"/>
      <c r="E507" s="153"/>
      <c r="F507" s="153"/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  <c r="Q507" s="153"/>
      <c r="R507" s="153">
        <f t="shared" si="106"/>
        <v>0</v>
      </c>
      <c r="S507" s="153"/>
      <c r="T507" s="153"/>
      <c r="U507" s="153"/>
      <c r="V507" s="153"/>
      <c r="W507" s="153"/>
      <c r="X507" s="154">
        <f t="shared" si="107"/>
        <v>0</v>
      </c>
      <c r="Y507" s="226">
        <f t="shared" si="108"/>
        <v>0</v>
      </c>
      <c r="Z507" s="371"/>
    </row>
    <row r="508" spans="1:26" ht="20.100000000000001" hidden="1" customHeight="1" x14ac:dyDescent="0.2">
      <c r="A508" s="25"/>
      <c r="B508" s="73"/>
      <c r="C508" s="38"/>
      <c r="D508" s="153"/>
      <c r="E508" s="153"/>
      <c r="F508" s="153"/>
      <c r="G508" s="153"/>
      <c r="H508" s="153"/>
      <c r="I508" s="153"/>
      <c r="J508" s="153"/>
      <c r="K508" s="153"/>
      <c r="L508" s="153"/>
      <c r="M508" s="153"/>
      <c r="N508" s="153"/>
      <c r="O508" s="153"/>
      <c r="P508" s="153"/>
      <c r="Q508" s="153"/>
      <c r="R508" s="153">
        <f t="shared" si="106"/>
        <v>0</v>
      </c>
      <c r="S508" s="153"/>
      <c r="T508" s="153"/>
      <c r="U508" s="153"/>
      <c r="V508" s="153"/>
      <c r="W508" s="153"/>
      <c r="X508" s="154">
        <f t="shared" si="107"/>
        <v>0</v>
      </c>
      <c r="Y508" s="226">
        <f t="shared" si="108"/>
        <v>0</v>
      </c>
      <c r="Z508" s="371"/>
    </row>
    <row r="509" spans="1:26" ht="20.100000000000001" hidden="1" customHeight="1" x14ac:dyDescent="0.2">
      <c r="A509" s="25"/>
      <c r="B509" s="73"/>
      <c r="C509" s="38"/>
      <c r="D509" s="153"/>
      <c r="E509" s="153"/>
      <c r="F509" s="153"/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  <c r="Q509" s="153"/>
      <c r="R509" s="153">
        <f t="shared" si="106"/>
        <v>0</v>
      </c>
      <c r="S509" s="153"/>
      <c r="T509" s="153"/>
      <c r="U509" s="153"/>
      <c r="V509" s="153"/>
      <c r="W509" s="153"/>
      <c r="X509" s="154">
        <f t="shared" si="107"/>
        <v>0</v>
      </c>
      <c r="Y509" s="226">
        <f t="shared" si="108"/>
        <v>0</v>
      </c>
      <c r="Z509" s="371"/>
    </row>
    <row r="510" spans="1:26" hidden="1" x14ac:dyDescent="0.2">
      <c r="A510" s="25"/>
      <c r="B510" s="73"/>
      <c r="C510" s="38"/>
      <c r="D510" s="153"/>
      <c r="E510" s="153"/>
      <c r="F510" s="153"/>
      <c r="G510" s="153"/>
      <c r="H510" s="153"/>
      <c r="I510" s="153"/>
      <c r="J510" s="153"/>
      <c r="K510" s="153"/>
      <c r="L510" s="153"/>
      <c r="M510" s="153"/>
      <c r="N510" s="153"/>
      <c r="O510" s="153"/>
      <c r="P510" s="153"/>
      <c r="Q510" s="153"/>
      <c r="R510" s="153">
        <f t="shared" si="106"/>
        <v>0</v>
      </c>
      <c r="S510" s="153"/>
      <c r="T510" s="153"/>
      <c r="U510" s="153"/>
      <c r="V510" s="153"/>
      <c r="W510" s="153"/>
      <c r="X510" s="154">
        <f t="shared" si="107"/>
        <v>0</v>
      </c>
      <c r="Y510" s="226">
        <f t="shared" si="108"/>
        <v>0</v>
      </c>
      <c r="Z510" s="371"/>
    </row>
    <row r="511" spans="1:26" ht="20.100000000000001" hidden="1" customHeight="1" x14ac:dyDescent="0.2">
      <c r="A511" s="25"/>
      <c r="B511" s="266"/>
      <c r="C511" s="190" t="s">
        <v>57</v>
      </c>
      <c r="D511" s="153"/>
      <c r="E511" s="153"/>
      <c r="F511" s="153"/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  <c r="Q511" s="153"/>
      <c r="R511" s="153">
        <f t="shared" si="106"/>
        <v>0</v>
      </c>
      <c r="S511" s="153"/>
      <c r="T511" s="153"/>
      <c r="U511" s="153"/>
      <c r="V511" s="153"/>
      <c r="W511" s="153"/>
      <c r="X511" s="154">
        <f t="shared" si="107"/>
        <v>0</v>
      </c>
      <c r="Y511" s="226">
        <f t="shared" si="108"/>
        <v>0</v>
      </c>
      <c r="Z511" s="371"/>
    </row>
    <row r="512" spans="1:26" ht="17.25" hidden="1" thickBot="1" x14ac:dyDescent="0.3">
      <c r="A512" s="566"/>
      <c r="B512" s="567"/>
      <c r="C512" s="568"/>
      <c r="D512" s="568"/>
      <c r="E512" s="568"/>
      <c r="F512" s="568"/>
      <c r="G512" s="568"/>
      <c r="H512" s="568"/>
      <c r="I512" s="568"/>
      <c r="J512" s="568"/>
      <c r="K512" s="568"/>
      <c r="L512" s="568"/>
      <c r="M512" s="568"/>
      <c r="N512" s="568"/>
      <c r="O512" s="568"/>
      <c r="P512" s="568"/>
      <c r="Q512" s="568"/>
      <c r="R512" s="568"/>
      <c r="S512" s="568"/>
      <c r="T512" s="568"/>
      <c r="U512" s="568"/>
      <c r="V512" s="568"/>
      <c r="W512" s="568"/>
      <c r="X512" s="568"/>
      <c r="Y512" s="569"/>
      <c r="Z512" s="570"/>
    </row>
    <row r="513" spans="1:28" ht="24.95" hidden="1" customHeight="1" thickTop="1" thickBot="1" x14ac:dyDescent="0.25">
      <c r="A513" s="46"/>
      <c r="B513" s="250" t="s">
        <v>173</v>
      </c>
      <c r="C513" s="43" t="s">
        <v>32</v>
      </c>
      <c r="D513" s="166">
        <f>SUM(D457:D512)</f>
        <v>0</v>
      </c>
      <c r="E513" s="166">
        <f t="shared" ref="E513:Q513" si="109">SUM(E457:E512)</f>
        <v>0</v>
      </c>
      <c r="F513" s="166">
        <f t="shared" si="109"/>
        <v>0</v>
      </c>
      <c r="G513" s="166">
        <f t="shared" si="109"/>
        <v>0</v>
      </c>
      <c r="H513" s="166">
        <f t="shared" si="109"/>
        <v>0</v>
      </c>
      <c r="I513" s="166">
        <f t="shared" si="109"/>
        <v>0</v>
      </c>
      <c r="J513" s="166">
        <f t="shared" si="109"/>
        <v>0</v>
      </c>
      <c r="K513" s="166">
        <f t="shared" si="109"/>
        <v>0</v>
      </c>
      <c r="L513" s="166">
        <f t="shared" si="109"/>
        <v>0</v>
      </c>
      <c r="M513" s="166">
        <f t="shared" si="109"/>
        <v>0</v>
      </c>
      <c r="N513" s="166">
        <f t="shared" si="109"/>
        <v>0</v>
      </c>
      <c r="O513" s="166">
        <f t="shared" si="109"/>
        <v>0</v>
      </c>
      <c r="P513" s="166">
        <f t="shared" si="109"/>
        <v>0</v>
      </c>
      <c r="Q513" s="166">
        <f t="shared" si="109"/>
        <v>0</v>
      </c>
      <c r="R513" s="166">
        <f>SUM(D513:Q513)</f>
        <v>0</v>
      </c>
      <c r="S513" s="166"/>
      <c r="T513" s="166">
        <f>SUM(T457:T512)</f>
        <v>0</v>
      </c>
      <c r="U513" s="166">
        <f>SUM(U457:U512)</f>
        <v>0</v>
      </c>
      <c r="V513" s="166">
        <f>SUM(V457:V512)</f>
        <v>0</v>
      </c>
      <c r="W513" s="166">
        <f>SUM(W457:W512)</f>
        <v>0</v>
      </c>
      <c r="X513" s="457">
        <f>SUM(T513:W513)</f>
        <v>0</v>
      </c>
      <c r="Y513" s="359">
        <f>R513+X513</f>
        <v>0</v>
      </c>
      <c r="Z513" s="167">
        <f>SUM(Z457:Z512)</f>
        <v>0</v>
      </c>
    </row>
    <row r="514" spans="1:28" ht="24.95" hidden="1" customHeight="1" thickTop="1" thickBot="1" x14ac:dyDescent="0.25">
      <c r="A514" s="46"/>
      <c r="B514" s="42" t="s">
        <v>174</v>
      </c>
      <c r="C514" s="43" t="s">
        <v>137</v>
      </c>
      <c r="D514" s="542">
        <f>D456+D513</f>
        <v>156420</v>
      </c>
      <c r="E514" s="542">
        <f t="shared" ref="E514:Q514" si="110">E456+E513</f>
        <v>32345</v>
      </c>
      <c r="F514" s="542">
        <f t="shared" si="110"/>
        <v>5395172.7810000004</v>
      </c>
      <c r="G514" s="542">
        <f t="shared" si="110"/>
        <v>224581</v>
      </c>
      <c r="H514" s="542">
        <f t="shared" si="110"/>
        <v>308609</v>
      </c>
      <c r="I514" s="542">
        <f t="shared" si="110"/>
        <v>68671</v>
      </c>
      <c r="J514" s="542">
        <f t="shared" si="110"/>
        <v>996636</v>
      </c>
      <c r="K514" s="542">
        <f t="shared" si="110"/>
        <v>2633912</v>
      </c>
      <c r="L514" s="542">
        <f t="shared" si="110"/>
        <v>10187135</v>
      </c>
      <c r="M514" s="542">
        <f t="shared" si="110"/>
        <v>490047</v>
      </c>
      <c r="N514" s="542">
        <f t="shared" si="110"/>
        <v>100000</v>
      </c>
      <c r="O514" s="542">
        <f t="shared" si="110"/>
        <v>3000</v>
      </c>
      <c r="P514" s="542">
        <f t="shared" si="110"/>
        <v>0</v>
      </c>
      <c r="Q514" s="542">
        <f t="shared" si="110"/>
        <v>634136</v>
      </c>
      <c r="R514" s="542">
        <f>SUM(D514:Q514)</f>
        <v>21230664.780999999</v>
      </c>
      <c r="S514" s="155"/>
      <c r="T514" s="542">
        <f>T456+T513</f>
        <v>0</v>
      </c>
      <c r="U514" s="542">
        <f>U456+U513</f>
        <v>0</v>
      </c>
      <c r="V514" s="542">
        <f>V456+V513</f>
        <v>56742</v>
      </c>
      <c r="W514" s="542">
        <f>W456+W513</f>
        <v>0</v>
      </c>
      <c r="X514" s="543">
        <f>SUM(T514:W514)</f>
        <v>56742</v>
      </c>
      <c r="Y514" s="543">
        <f>R514+X514</f>
        <v>21287406.780999999</v>
      </c>
      <c r="Z514" s="544">
        <f>Z456+Z513</f>
        <v>8879594.9979999997</v>
      </c>
      <c r="AB514" s="82">
        <f>Y514+Z514</f>
        <v>30167001.778999999</v>
      </c>
    </row>
    <row r="515" spans="1:28" ht="18" hidden="1" thickTop="1" thickBot="1" x14ac:dyDescent="0.3">
      <c r="Y515" s="52"/>
      <c r="Z515" s="2"/>
    </row>
    <row r="516" spans="1:28" ht="18.75" hidden="1" thickTop="1" thickBot="1" x14ac:dyDescent="0.3">
      <c r="C516" s="2" t="s">
        <v>81</v>
      </c>
      <c r="D516" s="193">
        <v>149061</v>
      </c>
      <c r="E516" s="193">
        <v>33433</v>
      </c>
      <c r="F516" s="193">
        <v>4510904.9470000006</v>
      </c>
      <c r="G516" s="193">
        <v>204945</v>
      </c>
      <c r="H516" s="193">
        <v>300942.027</v>
      </c>
      <c r="I516" s="193">
        <v>59640</v>
      </c>
      <c r="J516" s="193">
        <v>700301</v>
      </c>
      <c r="K516" s="193">
        <v>1769645.75</v>
      </c>
      <c r="L516" s="193">
        <v>5394870</v>
      </c>
      <c r="M516" s="193">
        <v>27882</v>
      </c>
      <c r="N516" s="193">
        <v>100635</v>
      </c>
      <c r="O516" s="193">
        <v>5000</v>
      </c>
      <c r="P516" s="193">
        <v>0</v>
      </c>
      <c r="Q516" s="193">
        <v>199004</v>
      </c>
      <c r="R516" s="193">
        <v>13456263.724000001</v>
      </c>
      <c r="S516" s="193"/>
      <c r="T516" s="193">
        <v>0</v>
      </c>
      <c r="U516" s="193">
        <v>4850000</v>
      </c>
      <c r="V516" s="193">
        <v>39440.69</v>
      </c>
      <c r="W516" s="193">
        <v>0</v>
      </c>
      <c r="X516" s="193">
        <v>4889440.6900000004</v>
      </c>
      <c r="Y516" s="193">
        <f>R516+X516</f>
        <v>18345704.414000001</v>
      </c>
      <c r="Z516" s="193">
        <v>7771528.2170000002</v>
      </c>
      <c r="AA516" s="117">
        <f>SUM(Y516:Z516)</f>
        <v>26117232.631000001</v>
      </c>
    </row>
    <row r="517" spans="1:28" ht="17.25" hidden="1" thickTop="1" x14ac:dyDescent="0.25">
      <c r="F517" s="156"/>
      <c r="Y517" s="52"/>
      <c r="Z517" s="2"/>
    </row>
    <row r="518" spans="1:28" hidden="1" x14ac:dyDescent="0.25">
      <c r="C518" s="2" t="s">
        <v>82</v>
      </c>
      <c r="D518" s="156">
        <f>D516-D514</f>
        <v>-7359</v>
      </c>
      <c r="E518" s="156">
        <f t="shared" ref="E518:Z518" si="111">E516-E514</f>
        <v>1088</v>
      </c>
      <c r="F518" s="661">
        <f>F516-F514</f>
        <v>-884267.8339999998</v>
      </c>
      <c r="G518" s="156">
        <f t="shared" si="111"/>
        <v>-19636</v>
      </c>
      <c r="H518" s="156">
        <f t="shared" si="111"/>
        <v>-7666.9729999999981</v>
      </c>
      <c r="I518" s="156">
        <f t="shared" si="111"/>
        <v>-9031</v>
      </c>
      <c r="J518" s="156">
        <f t="shared" si="111"/>
        <v>-296335</v>
      </c>
      <c r="K518" s="661">
        <f t="shared" si="111"/>
        <v>-864266.25</v>
      </c>
      <c r="L518" s="661">
        <f t="shared" si="111"/>
        <v>-4792265</v>
      </c>
      <c r="M518" s="661">
        <f t="shared" si="111"/>
        <v>-462165</v>
      </c>
      <c r="N518" s="156">
        <f t="shared" si="111"/>
        <v>635</v>
      </c>
      <c r="O518" s="156">
        <f t="shared" si="111"/>
        <v>2000</v>
      </c>
      <c r="P518" s="156">
        <f t="shared" si="111"/>
        <v>0</v>
      </c>
      <c r="Q518" s="156">
        <f t="shared" si="111"/>
        <v>-435132</v>
      </c>
      <c r="R518" s="156">
        <f t="shared" si="111"/>
        <v>-7774401.0569999982</v>
      </c>
      <c r="S518" s="156"/>
      <c r="T518" s="156">
        <f t="shared" si="111"/>
        <v>0</v>
      </c>
      <c r="U518" s="156">
        <f t="shared" si="111"/>
        <v>4850000</v>
      </c>
      <c r="V518" s="156">
        <f t="shared" si="111"/>
        <v>-17301.309999999998</v>
      </c>
      <c r="W518" s="156">
        <f t="shared" si="111"/>
        <v>0</v>
      </c>
      <c r="X518" s="156">
        <f t="shared" si="111"/>
        <v>4832698.6900000004</v>
      </c>
      <c r="Y518" s="156">
        <f t="shared" si="111"/>
        <v>-2941702.3669999987</v>
      </c>
      <c r="Z518" s="156">
        <f t="shared" si="111"/>
        <v>-1108066.7809999995</v>
      </c>
      <c r="AA518" s="156"/>
    </row>
    <row r="519" spans="1:28" hidden="1" x14ac:dyDescent="0.25">
      <c r="Z519" s="2"/>
    </row>
    <row r="520" spans="1:28" hidden="1" x14ac:dyDescent="0.25">
      <c r="F520" s="377"/>
      <c r="Z520" s="2"/>
    </row>
    <row r="521" spans="1:28" ht="17.25" thickTop="1" x14ac:dyDescent="0.25"/>
    <row r="524" spans="1:28" ht="17.25" thickBot="1" x14ac:dyDescent="0.3"/>
    <row r="525" spans="1:28" ht="18" thickTop="1" thickBot="1" x14ac:dyDescent="0.3">
      <c r="C525" s="284" t="s">
        <v>87</v>
      </c>
      <c r="D525" s="282">
        <v>156420</v>
      </c>
      <c r="E525" s="282">
        <v>32345</v>
      </c>
      <c r="F525" s="282">
        <v>5395172.7809999995</v>
      </c>
      <c r="G525" s="282">
        <v>224581</v>
      </c>
      <c r="H525" s="282">
        <v>308609</v>
      </c>
      <c r="I525" s="282">
        <v>68671</v>
      </c>
      <c r="J525" s="282">
        <v>996636</v>
      </c>
      <c r="K525" s="282">
        <v>2633912</v>
      </c>
      <c r="L525" s="282">
        <v>10187135</v>
      </c>
      <c r="M525" s="282">
        <v>490047</v>
      </c>
      <c r="N525" s="282">
        <v>100000</v>
      </c>
      <c r="O525" s="282">
        <v>3000</v>
      </c>
      <c r="P525" s="282">
        <v>0</v>
      </c>
      <c r="Q525" s="282">
        <v>634136</v>
      </c>
      <c r="R525" s="282">
        <v>21230664.780999999</v>
      </c>
      <c r="S525" s="284"/>
      <c r="T525" s="282">
        <v>0</v>
      </c>
      <c r="U525" s="282">
        <v>0</v>
      </c>
      <c r="V525" s="282">
        <v>56742</v>
      </c>
      <c r="W525" s="282">
        <v>0</v>
      </c>
      <c r="X525" s="282">
        <v>56742</v>
      </c>
      <c r="Y525" s="282">
        <v>21287406.780999999</v>
      </c>
      <c r="Z525" s="282">
        <v>8879594.9979999997</v>
      </c>
    </row>
    <row r="526" spans="1:28" ht="17.25" thickTop="1" x14ac:dyDescent="0.25"/>
    <row r="527" spans="1:28" x14ac:dyDescent="0.25">
      <c r="C527" s="2" t="s">
        <v>249</v>
      </c>
      <c r="D527" s="28">
        <f t="shared" ref="D527:P527" si="112">D525-D160</f>
        <v>0</v>
      </c>
      <c r="E527" s="28">
        <f t="shared" si="112"/>
        <v>0</v>
      </c>
      <c r="F527" s="28">
        <f t="shared" si="112"/>
        <v>0</v>
      </c>
      <c r="G527" s="28">
        <f t="shared" si="112"/>
        <v>0</v>
      </c>
      <c r="H527" s="28">
        <f t="shared" si="112"/>
        <v>0</v>
      </c>
      <c r="I527" s="28">
        <f t="shared" si="112"/>
        <v>0</v>
      </c>
      <c r="J527" s="28">
        <f t="shared" si="112"/>
        <v>0</v>
      </c>
      <c r="K527" s="28">
        <f t="shared" si="112"/>
        <v>0</v>
      </c>
      <c r="L527" s="28">
        <f t="shared" si="112"/>
        <v>0</v>
      </c>
      <c r="M527" s="28">
        <f t="shared" si="112"/>
        <v>0</v>
      </c>
      <c r="N527" s="28">
        <f t="shared" si="112"/>
        <v>0</v>
      </c>
      <c r="O527" s="28">
        <f t="shared" si="112"/>
        <v>0</v>
      </c>
      <c r="P527" s="28">
        <f t="shared" si="112"/>
        <v>0</v>
      </c>
      <c r="Q527" s="28">
        <f>Q525-Q160</f>
        <v>0</v>
      </c>
      <c r="R527" s="28">
        <f t="shared" ref="R527:Z527" si="113">R525-R160</f>
        <v>0</v>
      </c>
      <c r="S527" s="28"/>
      <c r="T527" s="28">
        <f t="shared" si="113"/>
        <v>0</v>
      </c>
      <c r="U527" s="28">
        <f t="shared" si="113"/>
        <v>0</v>
      </c>
      <c r="V527" s="28">
        <f t="shared" si="113"/>
        <v>0</v>
      </c>
      <c r="W527" s="28">
        <f t="shared" si="113"/>
        <v>0</v>
      </c>
      <c r="X527" s="28">
        <f t="shared" si="113"/>
        <v>0</v>
      </c>
      <c r="Y527" s="28">
        <f t="shared" si="113"/>
        <v>0</v>
      </c>
      <c r="Z527" s="28">
        <f t="shared" si="113"/>
        <v>0</v>
      </c>
    </row>
  </sheetData>
  <mergeCells count="8">
    <mergeCell ref="AJ13:AK13"/>
    <mergeCell ref="A2:Z2"/>
    <mergeCell ref="A4:Z4"/>
    <mergeCell ref="D7:Z7"/>
    <mergeCell ref="AJ9:AK9"/>
    <mergeCell ref="D8:K8"/>
    <mergeCell ref="L8:Q8"/>
    <mergeCell ref="T8:W8"/>
  </mergeCells>
  <phoneticPr fontId="3" type="noConversion"/>
  <printOptions horizontalCentered="1"/>
  <pageMargins left="0" right="0" top="0.26" bottom="0.35" header="0.17" footer="0.15748031496062992"/>
  <pageSetup paperSize="9" scale="40" firstPageNumber="0" orientation="landscape" horizontalDpi="300" verticalDpi="300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2"/>
  <sheetViews>
    <sheetView zoomScale="75" zoomScaleNormal="75" workbookViewId="0"/>
  </sheetViews>
  <sheetFormatPr defaultRowHeight="16.5" x14ac:dyDescent="0.25"/>
  <cols>
    <col min="1" max="1" width="6.28515625" style="1" customWidth="1"/>
    <col min="2" max="2" width="12.7109375" style="1" hidden="1" customWidth="1"/>
    <col min="3" max="3" width="57.7109375" style="2" customWidth="1"/>
    <col min="4" max="14" width="12.7109375" style="2" customWidth="1"/>
    <col min="15" max="15" width="15.7109375" style="2" customWidth="1"/>
    <col min="16" max="16" width="1.85546875" style="2" customWidth="1"/>
    <col min="17" max="17" width="11.28515625" style="2" customWidth="1"/>
    <col min="18" max="18" width="11.85546875" style="2" customWidth="1"/>
    <col min="19" max="19" width="11.28515625" style="2" customWidth="1"/>
    <col min="20" max="20" width="10" style="2" customWidth="1"/>
    <col min="21" max="21" width="15.7109375" style="2" customWidth="1"/>
    <col min="22" max="22" width="1.85546875" style="2" customWidth="1"/>
    <col min="23" max="23" width="15.7109375" style="2" customWidth="1"/>
    <col min="24" max="24" width="17.140625" style="2" customWidth="1"/>
    <col min="25" max="25" width="11" style="2" customWidth="1"/>
    <col min="26" max="26" width="10.7109375" style="2" customWidth="1"/>
    <col min="27" max="32" width="9.140625" style="2"/>
    <col min="33" max="34" width="10.7109375" style="2" customWidth="1"/>
    <col min="35" max="35" width="10.28515625" style="2" customWidth="1"/>
    <col min="36" max="36" width="10" style="2" customWidth="1"/>
    <col min="37" max="37" width="10.28515625" style="2" customWidth="1"/>
    <col min="38" max="38" width="10.7109375" style="2" customWidth="1"/>
    <col min="39" max="39" width="10.5703125" style="2" customWidth="1"/>
    <col min="40" max="43" width="9.140625" style="2"/>
    <col min="44" max="44" width="11" style="2" customWidth="1"/>
    <col min="45" max="16384" width="9.140625" style="2"/>
  </cols>
  <sheetData>
    <row r="1" spans="1:38" ht="20.25" customHeight="1" x14ac:dyDescent="0.25">
      <c r="V1" s="3"/>
      <c r="W1" s="174"/>
      <c r="X1" s="174" t="s">
        <v>441</v>
      </c>
    </row>
    <row r="2" spans="1:38" ht="30" customHeight="1" x14ac:dyDescent="0.3">
      <c r="A2" s="681" t="s">
        <v>0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</row>
    <row r="3" spans="1:38" ht="30" customHeight="1" x14ac:dyDescent="0.3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</row>
    <row r="4" spans="1:38" ht="50.1" customHeight="1" x14ac:dyDescent="0.3">
      <c r="A4" s="694" t="s">
        <v>207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</row>
    <row r="5" spans="1:38" ht="24.9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8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 t="s">
        <v>1</v>
      </c>
    </row>
    <row r="7" spans="1:38" ht="18" customHeight="1" thickTop="1" x14ac:dyDescent="0.25">
      <c r="A7" s="663"/>
      <c r="B7" s="7"/>
      <c r="C7" s="8"/>
      <c r="D7" s="673" t="s">
        <v>105</v>
      </c>
      <c r="E7" s="674"/>
      <c r="F7" s="675"/>
      <c r="G7" s="397"/>
      <c r="H7" s="398"/>
      <c r="I7" s="399" t="s">
        <v>4</v>
      </c>
      <c r="J7" s="676" t="s">
        <v>113</v>
      </c>
      <c r="K7" s="677"/>
      <c r="L7" s="397"/>
      <c r="M7" s="400" t="s">
        <v>114</v>
      </c>
      <c r="N7" s="401"/>
      <c r="O7" s="402" t="s">
        <v>121</v>
      </c>
      <c r="P7" s="13"/>
      <c r="Q7" s="678" t="s">
        <v>123</v>
      </c>
      <c r="R7" s="679"/>
      <c r="S7" s="679"/>
      <c r="T7" s="680"/>
      <c r="U7" s="403" t="s">
        <v>132</v>
      </c>
      <c r="V7" s="391"/>
      <c r="W7" s="9" t="s">
        <v>2</v>
      </c>
      <c r="X7" s="231"/>
    </row>
    <row r="8" spans="1:38" x14ac:dyDescent="0.25">
      <c r="A8" s="10"/>
      <c r="B8" s="11"/>
      <c r="C8" s="12" t="s">
        <v>3</v>
      </c>
      <c r="D8" s="15" t="s">
        <v>106</v>
      </c>
      <c r="E8" s="12" t="s">
        <v>107</v>
      </c>
      <c r="F8" s="4" t="s">
        <v>108</v>
      </c>
      <c r="G8" s="16" t="s">
        <v>115</v>
      </c>
      <c r="H8" s="16" t="s">
        <v>5</v>
      </c>
      <c r="I8" s="16" t="s">
        <v>15</v>
      </c>
      <c r="J8" s="12" t="s">
        <v>6</v>
      </c>
      <c r="K8" s="12" t="s">
        <v>116</v>
      </c>
      <c r="L8" s="393" t="s">
        <v>90</v>
      </c>
      <c r="M8" s="12" t="s">
        <v>117</v>
      </c>
      <c r="N8" s="16" t="s">
        <v>4</v>
      </c>
      <c r="O8" s="394" t="s">
        <v>122</v>
      </c>
      <c r="P8" s="16"/>
      <c r="Q8" s="16" t="s">
        <v>124</v>
      </c>
      <c r="R8" s="16" t="s">
        <v>125</v>
      </c>
      <c r="S8" s="16" t="s">
        <v>181</v>
      </c>
      <c r="T8" s="16" t="s">
        <v>4</v>
      </c>
      <c r="U8" s="395" t="s">
        <v>133</v>
      </c>
      <c r="V8" s="390"/>
      <c r="W8" s="14" t="s">
        <v>7</v>
      </c>
      <c r="X8" s="298" t="s">
        <v>96</v>
      </c>
    </row>
    <row r="9" spans="1:38" x14ac:dyDescent="0.25">
      <c r="A9" s="17" t="s">
        <v>8</v>
      </c>
      <c r="B9" s="12"/>
      <c r="C9" s="12" t="s">
        <v>9</v>
      </c>
      <c r="D9" s="16" t="s">
        <v>15</v>
      </c>
      <c r="E9" s="12" t="s">
        <v>109</v>
      </c>
      <c r="F9" s="4" t="s">
        <v>68</v>
      </c>
      <c r="G9" s="16" t="s">
        <v>10</v>
      </c>
      <c r="H9" s="12" t="s">
        <v>10</v>
      </c>
      <c r="I9" s="12" t="s">
        <v>11</v>
      </c>
      <c r="J9" s="12" t="s">
        <v>11</v>
      </c>
      <c r="K9" s="12" t="s">
        <v>68</v>
      </c>
      <c r="L9" s="292" t="s">
        <v>91</v>
      </c>
      <c r="M9" s="16" t="s">
        <v>118</v>
      </c>
      <c r="N9" s="16" t="s">
        <v>92</v>
      </c>
      <c r="O9" s="394" t="s">
        <v>10</v>
      </c>
      <c r="P9" s="16"/>
      <c r="Q9" s="16" t="s">
        <v>126</v>
      </c>
      <c r="R9" s="16" t="s">
        <v>127</v>
      </c>
      <c r="S9" s="16" t="s">
        <v>182</v>
      </c>
      <c r="T9" s="16" t="s">
        <v>175</v>
      </c>
      <c r="U9" s="395" t="s">
        <v>10</v>
      </c>
      <c r="V9" s="392"/>
      <c r="W9" s="14" t="s">
        <v>12</v>
      </c>
      <c r="X9" s="298" t="s">
        <v>97</v>
      </c>
    </row>
    <row r="10" spans="1:38" x14ac:dyDescent="0.25">
      <c r="A10" s="10"/>
      <c r="B10" s="11"/>
      <c r="C10" s="12" t="s">
        <v>13</v>
      </c>
      <c r="D10" s="16" t="s">
        <v>110</v>
      </c>
      <c r="E10" s="12" t="s">
        <v>111</v>
      </c>
      <c r="F10" s="4" t="s">
        <v>112</v>
      </c>
      <c r="G10" s="16"/>
      <c r="H10" s="12"/>
      <c r="I10" s="12" t="s">
        <v>89</v>
      </c>
      <c r="J10" s="12" t="s">
        <v>119</v>
      </c>
      <c r="K10" s="12" t="s">
        <v>112</v>
      </c>
      <c r="L10" s="12" t="s">
        <v>10</v>
      </c>
      <c r="M10" s="16" t="s">
        <v>42</v>
      </c>
      <c r="N10" s="16" t="s">
        <v>120</v>
      </c>
      <c r="O10" s="394" t="s">
        <v>12</v>
      </c>
      <c r="P10" s="16"/>
      <c r="Q10" s="16" t="s">
        <v>128</v>
      </c>
      <c r="R10" s="16" t="s">
        <v>129</v>
      </c>
      <c r="S10" s="16" t="s">
        <v>183</v>
      </c>
      <c r="T10" s="16" t="s">
        <v>176</v>
      </c>
      <c r="U10" s="395" t="s">
        <v>12</v>
      </c>
      <c r="V10" s="392"/>
      <c r="W10" s="18" t="s">
        <v>135</v>
      </c>
      <c r="X10" s="299" t="s">
        <v>98</v>
      </c>
    </row>
    <row r="11" spans="1:38" x14ac:dyDescent="0.25">
      <c r="A11" s="10"/>
      <c r="B11" s="11"/>
      <c r="C11" s="12"/>
      <c r="D11" s="16"/>
      <c r="E11" s="12" t="s">
        <v>16</v>
      </c>
      <c r="F11" s="4" t="s">
        <v>88</v>
      </c>
      <c r="G11" s="16"/>
      <c r="H11" s="12"/>
      <c r="I11" s="12" t="s">
        <v>17</v>
      </c>
      <c r="J11" s="12" t="s">
        <v>51</v>
      </c>
      <c r="K11" s="12" t="s">
        <v>88</v>
      </c>
      <c r="L11" s="12"/>
      <c r="M11" s="19" t="s">
        <v>14</v>
      </c>
      <c r="N11" s="19" t="s">
        <v>17</v>
      </c>
      <c r="O11" s="4" t="s">
        <v>131</v>
      </c>
      <c r="P11" s="19"/>
      <c r="Q11" s="16" t="s">
        <v>16</v>
      </c>
      <c r="R11" s="19" t="s">
        <v>130</v>
      </c>
      <c r="S11" s="19" t="s">
        <v>184</v>
      </c>
      <c r="T11" s="19" t="s">
        <v>10</v>
      </c>
      <c r="U11" s="19" t="s">
        <v>134</v>
      </c>
      <c r="V11" s="20"/>
      <c r="W11" s="14"/>
      <c r="X11" s="299" t="s">
        <v>68</v>
      </c>
    </row>
    <row r="12" spans="1:38" ht="20.25" customHeight="1" x14ac:dyDescent="0.2">
      <c r="A12" s="180">
        <v>1</v>
      </c>
      <c r="B12" s="204"/>
      <c r="C12" s="204">
        <v>2</v>
      </c>
      <c r="D12" s="204">
        <v>3</v>
      </c>
      <c r="E12" s="204">
        <v>4</v>
      </c>
      <c r="F12" s="204">
        <v>5</v>
      </c>
      <c r="G12" s="204">
        <v>6</v>
      </c>
      <c r="H12" s="204">
        <v>7</v>
      </c>
      <c r="I12" s="204">
        <v>8</v>
      </c>
      <c r="J12" s="204">
        <v>9</v>
      </c>
      <c r="K12" s="204">
        <v>10</v>
      </c>
      <c r="L12" s="204">
        <v>11</v>
      </c>
      <c r="M12" s="204">
        <v>12</v>
      </c>
      <c r="N12" s="204">
        <v>13</v>
      </c>
      <c r="O12" s="204">
        <v>14</v>
      </c>
      <c r="P12" s="204"/>
      <c r="Q12" s="204">
        <v>15</v>
      </c>
      <c r="R12" s="204">
        <v>16</v>
      </c>
      <c r="S12" s="204">
        <v>17</v>
      </c>
      <c r="T12" s="204">
        <v>18</v>
      </c>
      <c r="U12" s="204">
        <v>19</v>
      </c>
      <c r="V12" s="205"/>
      <c r="W12" s="206">
        <v>20</v>
      </c>
      <c r="X12" s="232">
        <v>21</v>
      </c>
    </row>
    <row r="13" spans="1:38" ht="22.5" customHeight="1" x14ac:dyDescent="0.25">
      <c r="A13" s="21"/>
      <c r="B13" s="22"/>
      <c r="C13" s="23" t="s">
        <v>56</v>
      </c>
      <c r="D13" s="24">
        <v>0</v>
      </c>
      <c r="E13" s="24">
        <v>0</v>
      </c>
      <c r="F13" s="24">
        <v>0</v>
      </c>
      <c r="G13" s="24">
        <v>1665</v>
      </c>
      <c r="H13" s="24">
        <v>9955</v>
      </c>
      <c r="I13" s="141">
        <v>0</v>
      </c>
      <c r="J13" s="24">
        <v>0</v>
      </c>
      <c r="K13" s="24">
        <v>0</v>
      </c>
      <c r="L13" s="24">
        <v>0</v>
      </c>
      <c r="M13" s="24">
        <v>1500</v>
      </c>
      <c r="N13" s="24">
        <v>0</v>
      </c>
      <c r="O13" s="404">
        <f>SUM(D13:N13)</f>
        <v>13120</v>
      </c>
      <c r="P13" s="24"/>
      <c r="Q13" s="24">
        <v>0</v>
      </c>
      <c r="R13" s="24">
        <v>0</v>
      </c>
      <c r="S13" s="24">
        <v>0</v>
      </c>
      <c r="T13" s="24">
        <v>0</v>
      </c>
      <c r="U13" s="404">
        <f>SUM(Q13:T13)</f>
        <v>0</v>
      </c>
      <c r="V13" s="140"/>
      <c r="W13" s="126">
        <f>O13+U13</f>
        <v>13120</v>
      </c>
      <c r="X13" s="233">
        <v>3992978</v>
      </c>
    </row>
    <row r="14" spans="1:38" ht="20.100000000000001" hidden="1" customHeight="1" x14ac:dyDescent="0.25">
      <c r="A14" s="143"/>
      <c r="B14" s="123"/>
      <c r="C14" s="27" t="s">
        <v>95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128"/>
      <c r="W14" s="224">
        <f>O14+U14</f>
        <v>0</v>
      </c>
      <c r="X14" s="234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9"/>
    </row>
    <row r="15" spans="1:38" ht="20.100000000000001" hidden="1" customHeight="1" x14ac:dyDescent="0.25">
      <c r="A15" s="143"/>
      <c r="B15" s="26" t="s">
        <v>93</v>
      </c>
      <c r="C15" s="23" t="s">
        <v>18</v>
      </c>
      <c r="D15" s="138">
        <f t="shared" ref="D15:W15" si="0">SUM(D13:D14)</f>
        <v>0</v>
      </c>
      <c r="E15" s="138">
        <f t="shared" si="0"/>
        <v>0</v>
      </c>
      <c r="F15" s="138">
        <f t="shared" si="0"/>
        <v>0</v>
      </c>
      <c r="G15" s="138">
        <f t="shared" si="0"/>
        <v>1665</v>
      </c>
      <c r="H15" s="138">
        <f t="shared" si="0"/>
        <v>9955</v>
      </c>
      <c r="I15" s="138">
        <f t="shared" si="0"/>
        <v>0</v>
      </c>
      <c r="J15" s="138">
        <f t="shared" si="0"/>
        <v>0</v>
      </c>
      <c r="K15" s="138">
        <f t="shared" si="0"/>
        <v>0</v>
      </c>
      <c r="L15" s="138">
        <f t="shared" si="0"/>
        <v>0</v>
      </c>
      <c r="M15" s="138">
        <f t="shared" si="0"/>
        <v>1500</v>
      </c>
      <c r="N15" s="138">
        <f t="shared" si="0"/>
        <v>0</v>
      </c>
      <c r="O15" s="432">
        <f t="shared" si="0"/>
        <v>13120</v>
      </c>
      <c r="P15" s="138"/>
      <c r="Q15" s="138">
        <f>SUM(Q13:Q14)</f>
        <v>0</v>
      </c>
      <c r="R15" s="138">
        <f>SUM(R13:R14)</f>
        <v>0</v>
      </c>
      <c r="S15" s="138">
        <f>SUM(S13:S14)</f>
        <v>0</v>
      </c>
      <c r="T15" s="138">
        <f t="shared" si="0"/>
        <v>0</v>
      </c>
      <c r="U15" s="138">
        <f t="shared" si="0"/>
        <v>0</v>
      </c>
      <c r="V15" s="138"/>
      <c r="W15" s="225">
        <f t="shared" si="0"/>
        <v>13120</v>
      </c>
      <c r="X15" s="235">
        <f>SUM(X13:X14)</f>
        <v>3992978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9"/>
    </row>
    <row r="16" spans="1:38" ht="9.9499999999999993" customHeight="1" x14ac:dyDescent="0.25">
      <c r="A16" s="79"/>
      <c r="B16" s="123"/>
      <c r="C16" s="27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>
        <f t="shared" ref="O16:O28" si="1">SUM(D16:N16)</f>
        <v>0</v>
      </c>
      <c r="P16" s="71"/>
      <c r="Q16" s="71"/>
      <c r="R16" s="71"/>
      <c r="S16" s="71"/>
      <c r="T16" s="71"/>
      <c r="U16" s="71"/>
      <c r="V16" s="145"/>
      <c r="W16" s="226"/>
      <c r="X16" s="31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9"/>
    </row>
    <row r="17" spans="1:38" ht="30" customHeight="1" x14ac:dyDescent="0.25">
      <c r="A17" s="79">
        <v>1</v>
      </c>
      <c r="B17" s="123" t="s">
        <v>304</v>
      </c>
      <c r="C17" s="27" t="s">
        <v>243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>
        <f t="shared" si="1"/>
        <v>0</v>
      </c>
      <c r="P17" s="71"/>
      <c r="Q17" s="71"/>
      <c r="R17" s="71"/>
      <c r="S17" s="71"/>
      <c r="T17" s="71"/>
      <c r="U17" s="71"/>
      <c r="V17" s="145"/>
      <c r="W17" s="226">
        <f t="shared" ref="W17:W28" si="2">O17+U17</f>
        <v>0</v>
      </c>
      <c r="X17" s="316">
        <v>150</v>
      </c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9"/>
    </row>
    <row r="18" spans="1:38" ht="30" customHeight="1" x14ac:dyDescent="0.25">
      <c r="A18" s="79">
        <v>2</v>
      </c>
      <c r="B18" s="592" t="s">
        <v>254</v>
      </c>
      <c r="C18" s="27" t="s">
        <v>253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>
        <f t="shared" si="1"/>
        <v>0</v>
      </c>
      <c r="P18" s="71"/>
      <c r="Q18" s="71"/>
      <c r="R18" s="71"/>
      <c r="S18" s="71"/>
      <c r="T18" s="71"/>
      <c r="U18" s="71"/>
      <c r="V18" s="145"/>
      <c r="W18" s="226">
        <f t="shared" si="2"/>
        <v>0</v>
      </c>
      <c r="X18" s="316">
        <v>101.69499999999999</v>
      </c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9"/>
    </row>
    <row r="19" spans="1:38" ht="30" customHeight="1" x14ac:dyDescent="0.25">
      <c r="A19" s="79">
        <v>3</v>
      </c>
      <c r="B19" s="215" t="s">
        <v>248</v>
      </c>
      <c r="C19" s="27" t="s">
        <v>247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145"/>
      <c r="W19" s="226">
        <f t="shared" si="2"/>
        <v>0</v>
      </c>
      <c r="X19" s="316">
        <v>1563</v>
      </c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9"/>
    </row>
    <row r="20" spans="1:38" ht="30" customHeight="1" x14ac:dyDescent="0.25">
      <c r="A20" s="79">
        <v>4</v>
      </c>
      <c r="B20" s="215" t="s">
        <v>258</v>
      </c>
      <c r="C20" s="32" t="s">
        <v>257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>
        <f t="shared" si="1"/>
        <v>0</v>
      </c>
      <c r="P20" s="71"/>
      <c r="Q20" s="71"/>
      <c r="R20" s="71"/>
      <c r="S20" s="71"/>
      <c r="T20" s="71"/>
      <c r="U20" s="71">
        <f t="shared" ref="U20:U28" si="3">SUM(Q20:T20)</f>
        <v>0</v>
      </c>
      <c r="V20" s="145"/>
      <c r="W20" s="226">
        <f t="shared" si="2"/>
        <v>0</v>
      </c>
      <c r="X20" s="316">
        <f>-124</f>
        <v>-124</v>
      </c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9"/>
    </row>
    <row r="21" spans="1:38" ht="30" customHeight="1" x14ac:dyDescent="0.25">
      <c r="A21" s="79">
        <v>5</v>
      </c>
      <c r="B21" s="215" t="s">
        <v>305</v>
      </c>
      <c r="C21" s="32" t="s">
        <v>306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>
        <f t="shared" si="1"/>
        <v>0</v>
      </c>
      <c r="P21" s="71"/>
      <c r="Q21" s="71"/>
      <c r="R21" s="71"/>
      <c r="S21" s="71"/>
      <c r="T21" s="71"/>
      <c r="U21" s="71">
        <f t="shared" si="3"/>
        <v>0</v>
      </c>
      <c r="V21" s="145"/>
      <c r="W21" s="226">
        <f t="shared" si="2"/>
        <v>0</v>
      </c>
      <c r="X21" s="316">
        <f>129.418</f>
        <v>129.41800000000001</v>
      </c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9"/>
    </row>
    <row r="22" spans="1:38" ht="30" customHeight="1" x14ac:dyDescent="0.25">
      <c r="A22" s="79">
        <v>6</v>
      </c>
      <c r="B22" s="215" t="s">
        <v>336</v>
      </c>
      <c r="C22" s="32" t="s">
        <v>335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>
        <f t="shared" si="1"/>
        <v>0</v>
      </c>
      <c r="P22" s="71"/>
      <c r="Q22" s="71"/>
      <c r="R22" s="71"/>
      <c r="S22" s="71"/>
      <c r="T22" s="71"/>
      <c r="U22" s="71">
        <f t="shared" si="3"/>
        <v>0</v>
      </c>
      <c r="V22" s="145"/>
      <c r="W22" s="226">
        <f t="shared" si="2"/>
        <v>0</v>
      </c>
      <c r="X22" s="316">
        <f>3556</f>
        <v>3556</v>
      </c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9"/>
    </row>
    <row r="23" spans="1:38" ht="30" customHeight="1" x14ac:dyDescent="0.25">
      <c r="A23" s="79">
        <v>7</v>
      </c>
      <c r="B23" s="215" t="s">
        <v>374</v>
      </c>
      <c r="C23" s="32" t="s">
        <v>373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f t="shared" si="1"/>
        <v>0</v>
      </c>
      <c r="P23" s="71"/>
      <c r="Q23" s="71"/>
      <c r="R23" s="71"/>
      <c r="S23" s="71"/>
      <c r="T23" s="71"/>
      <c r="U23" s="71">
        <f t="shared" si="3"/>
        <v>0</v>
      </c>
      <c r="V23" s="145"/>
      <c r="W23" s="226">
        <f t="shared" si="2"/>
        <v>0</v>
      </c>
      <c r="X23" s="316">
        <f>6200</f>
        <v>6200</v>
      </c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9"/>
    </row>
    <row r="24" spans="1:38" ht="30" customHeight="1" x14ac:dyDescent="0.25">
      <c r="A24" s="79">
        <v>8</v>
      </c>
      <c r="B24" s="215" t="s">
        <v>379</v>
      </c>
      <c r="C24" s="433" t="s">
        <v>377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>
        <f t="shared" si="1"/>
        <v>0</v>
      </c>
      <c r="P24" s="71"/>
      <c r="Q24" s="71"/>
      <c r="R24" s="71"/>
      <c r="S24" s="71"/>
      <c r="T24" s="71"/>
      <c r="U24" s="71">
        <f t="shared" si="3"/>
        <v>0</v>
      </c>
      <c r="V24" s="145"/>
      <c r="W24" s="226">
        <f t="shared" si="2"/>
        <v>0</v>
      </c>
      <c r="X24" s="316">
        <f>-1397</f>
        <v>-1397</v>
      </c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9"/>
    </row>
    <row r="25" spans="1:38" ht="30" customHeight="1" x14ac:dyDescent="0.25">
      <c r="A25" s="79">
        <v>9</v>
      </c>
      <c r="B25" s="215" t="s">
        <v>386</v>
      </c>
      <c r="C25" s="32" t="s">
        <v>385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>
        <f t="shared" si="1"/>
        <v>0</v>
      </c>
      <c r="P25" s="71"/>
      <c r="Q25" s="71"/>
      <c r="R25" s="71"/>
      <c r="S25" s="71"/>
      <c r="T25" s="71"/>
      <c r="U25" s="71">
        <f t="shared" si="3"/>
        <v>0</v>
      </c>
      <c r="V25" s="145"/>
      <c r="W25" s="226">
        <f t="shared" si="2"/>
        <v>0</v>
      </c>
      <c r="X25" s="316">
        <f>45.53</f>
        <v>45.53</v>
      </c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9"/>
    </row>
    <row r="26" spans="1:38" ht="30" customHeight="1" x14ac:dyDescent="0.25">
      <c r="A26" s="79">
        <v>10</v>
      </c>
      <c r="B26" s="215" t="s">
        <v>416</v>
      </c>
      <c r="C26" s="32" t="s">
        <v>415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>
        <f t="shared" si="1"/>
        <v>0</v>
      </c>
      <c r="P26" s="71"/>
      <c r="Q26" s="71"/>
      <c r="R26" s="71"/>
      <c r="S26" s="71"/>
      <c r="T26" s="71"/>
      <c r="U26" s="71">
        <f t="shared" si="3"/>
        <v>0</v>
      </c>
      <c r="V26" s="145"/>
      <c r="W26" s="226">
        <f t="shared" si="2"/>
        <v>0</v>
      </c>
      <c r="X26" s="316">
        <f>-3674</f>
        <v>-3674</v>
      </c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9"/>
    </row>
    <row r="27" spans="1:38" ht="30" customHeight="1" x14ac:dyDescent="0.25">
      <c r="A27" s="79">
        <v>11</v>
      </c>
      <c r="B27" s="669" t="s">
        <v>437</v>
      </c>
      <c r="C27" s="32" t="s">
        <v>436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>
        <f t="shared" si="1"/>
        <v>0</v>
      </c>
      <c r="P27" s="71"/>
      <c r="Q27" s="71"/>
      <c r="R27" s="71"/>
      <c r="S27" s="71"/>
      <c r="T27" s="71"/>
      <c r="U27" s="71">
        <f t="shared" si="3"/>
        <v>0</v>
      </c>
      <c r="V27" s="145"/>
      <c r="W27" s="226">
        <f t="shared" si="2"/>
        <v>0</v>
      </c>
      <c r="X27" s="316">
        <f>21228</f>
        <v>21228</v>
      </c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9"/>
    </row>
    <row r="28" spans="1:38" ht="30" customHeight="1" x14ac:dyDescent="0.25">
      <c r="A28" s="79">
        <v>12</v>
      </c>
      <c r="B28" s="215"/>
      <c r="C28" s="32" t="s">
        <v>438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>
        <f t="shared" si="1"/>
        <v>0</v>
      </c>
      <c r="P28" s="71"/>
      <c r="Q28" s="71"/>
      <c r="R28" s="71"/>
      <c r="S28" s="71"/>
      <c r="T28" s="71"/>
      <c r="U28" s="71">
        <f t="shared" si="3"/>
        <v>0</v>
      </c>
      <c r="V28" s="145"/>
      <c r="W28" s="226">
        <f t="shared" si="2"/>
        <v>0</v>
      </c>
      <c r="X28" s="316">
        <f>116388</f>
        <v>116388</v>
      </c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9"/>
    </row>
    <row r="29" spans="1:38" ht="9.9499999999999993" customHeight="1" x14ac:dyDescent="0.25">
      <c r="A29" s="79"/>
      <c r="B29" s="124"/>
      <c r="C29" s="27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145"/>
      <c r="W29" s="226"/>
      <c r="X29" s="316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9"/>
    </row>
    <row r="30" spans="1:38" ht="30" customHeight="1" x14ac:dyDescent="0.25">
      <c r="A30" s="199" t="s">
        <v>77</v>
      </c>
      <c r="B30" s="195"/>
      <c r="C30" s="200" t="s">
        <v>75</v>
      </c>
      <c r="D30" s="71">
        <f t="shared" ref="D30:O30" si="4">SUM(D16:D29)</f>
        <v>0</v>
      </c>
      <c r="E30" s="71">
        <f t="shared" si="4"/>
        <v>0</v>
      </c>
      <c r="F30" s="71">
        <f t="shared" si="4"/>
        <v>0</v>
      </c>
      <c r="G30" s="71">
        <f t="shared" si="4"/>
        <v>0</v>
      </c>
      <c r="H30" s="71">
        <f t="shared" si="4"/>
        <v>0</v>
      </c>
      <c r="I30" s="71">
        <f t="shared" si="4"/>
        <v>0</v>
      </c>
      <c r="J30" s="71">
        <f t="shared" si="4"/>
        <v>0</v>
      </c>
      <c r="K30" s="71">
        <f t="shared" si="4"/>
        <v>0</v>
      </c>
      <c r="L30" s="71">
        <f t="shared" si="4"/>
        <v>0</v>
      </c>
      <c r="M30" s="71">
        <f t="shared" si="4"/>
        <v>0</v>
      </c>
      <c r="N30" s="71">
        <f t="shared" si="4"/>
        <v>0</v>
      </c>
      <c r="O30" s="71">
        <f t="shared" si="4"/>
        <v>0</v>
      </c>
      <c r="P30" s="71"/>
      <c r="Q30" s="71"/>
      <c r="R30" s="71"/>
      <c r="S30" s="71">
        <f>SUM(S16:S29)</f>
        <v>0</v>
      </c>
      <c r="T30" s="71">
        <f>SUM(T16:T29)</f>
        <v>0</v>
      </c>
      <c r="U30" s="71">
        <f>SUM(U16:U29)</f>
        <v>0</v>
      </c>
      <c r="V30" s="197"/>
      <c r="W30" s="665">
        <f>O30+U30</f>
        <v>0</v>
      </c>
      <c r="X30" s="664">
        <f>SUM(X16:X29)</f>
        <v>144166.64300000001</v>
      </c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9"/>
    </row>
    <row r="31" spans="1:38" ht="9.9499999999999993" customHeight="1" x14ac:dyDescent="0.25">
      <c r="A31" s="79"/>
      <c r="B31" s="124"/>
      <c r="C31" s="27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145"/>
      <c r="W31" s="226"/>
      <c r="X31" s="316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9"/>
    </row>
    <row r="32" spans="1:38" ht="30" customHeight="1" x14ac:dyDescent="0.25">
      <c r="A32" s="79">
        <v>13</v>
      </c>
      <c r="B32" s="215" t="s">
        <v>261</v>
      </c>
      <c r="C32" s="662" t="s">
        <v>260</v>
      </c>
      <c r="D32" s="438"/>
      <c r="E32" s="438"/>
      <c r="F32" s="148"/>
      <c r="G32" s="438">
        <f>100</f>
        <v>100</v>
      </c>
      <c r="H32" s="643"/>
      <c r="I32" s="438"/>
      <c r="J32" s="438"/>
      <c r="K32" s="438"/>
      <c r="L32" s="438"/>
      <c r="M32" s="438"/>
      <c r="N32" s="438"/>
      <c r="O32" s="148">
        <f t="shared" ref="O32:O35" si="5">SUM(D32:N32)</f>
        <v>100</v>
      </c>
      <c r="P32" s="438"/>
      <c r="Q32" s="438"/>
      <c r="R32" s="438"/>
      <c r="S32" s="438"/>
      <c r="T32" s="438"/>
      <c r="U32" s="438">
        <f t="shared" ref="U32:U35" si="6">SUM(Q32:T32)</f>
        <v>0</v>
      </c>
      <c r="V32" s="145"/>
      <c r="W32" s="226">
        <f t="shared" ref="W32:W35" si="7">O32+U32</f>
        <v>100</v>
      </c>
      <c r="X32" s="316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9"/>
    </row>
    <row r="33" spans="1:38" ht="30" customHeight="1" x14ac:dyDescent="0.25">
      <c r="A33" s="79">
        <v>14</v>
      </c>
      <c r="B33" s="215" t="s">
        <v>317</v>
      </c>
      <c r="C33" s="662" t="s">
        <v>318</v>
      </c>
      <c r="D33" s="438"/>
      <c r="E33" s="438"/>
      <c r="F33" s="148"/>
      <c r="G33" s="438"/>
      <c r="H33" s="438">
        <f>153+42</f>
        <v>195</v>
      </c>
      <c r="I33" s="438"/>
      <c r="J33" s="438"/>
      <c r="K33" s="438"/>
      <c r="L33" s="438"/>
      <c r="M33" s="438"/>
      <c r="N33" s="438"/>
      <c r="O33" s="148">
        <f t="shared" si="5"/>
        <v>195</v>
      </c>
      <c r="P33" s="438"/>
      <c r="Q33" s="438"/>
      <c r="R33" s="438"/>
      <c r="S33" s="438"/>
      <c r="T33" s="438"/>
      <c r="U33" s="438">
        <f t="shared" si="6"/>
        <v>0</v>
      </c>
      <c r="V33" s="145"/>
      <c r="W33" s="226">
        <f t="shared" si="7"/>
        <v>195</v>
      </c>
      <c r="X33" s="316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9"/>
    </row>
    <row r="34" spans="1:38" ht="30" customHeight="1" x14ac:dyDescent="0.25">
      <c r="A34" s="79">
        <v>15</v>
      </c>
      <c r="B34" s="215" t="s">
        <v>319</v>
      </c>
      <c r="C34" s="662" t="s">
        <v>320</v>
      </c>
      <c r="D34" s="438"/>
      <c r="E34" s="438"/>
      <c r="F34" s="148"/>
      <c r="G34" s="438"/>
      <c r="H34" s="438">
        <f>1+50</f>
        <v>51</v>
      </c>
      <c r="I34" s="438"/>
      <c r="J34" s="438"/>
      <c r="K34" s="438"/>
      <c r="L34" s="438"/>
      <c r="M34" s="438"/>
      <c r="N34" s="438"/>
      <c r="O34" s="148">
        <f t="shared" si="5"/>
        <v>51</v>
      </c>
      <c r="P34" s="438"/>
      <c r="Q34" s="438"/>
      <c r="R34" s="438"/>
      <c r="S34" s="438"/>
      <c r="T34" s="438"/>
      <c r="U34" s="438">
        <f t="shared" si="6"/>
        <v>0</v>
      </c>
      <c r="V34" s="145"/>
      <c r="W34" s="226">
        <f t="shared" si="7"/>
        <v>51</v>
      </c>
      <c r="X34" s="316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9"/>
    </row>
    <row r="35" spans="1:38" ht="30" customHeight="1" x14ac:dyDescent="0.25">
      <c r="A35" s="79">
        <v>16</v>
      </c>
      <c r="B35" s="215" t="s">
        <v>321</v>
      </c>
      <c r="C35" s="662" t="s">
        <v>322</v>
      </c>
      <c r="D35" s="438"/>
      <c r="E35" s="438"/>
      <c r="F35" s="148"/>
      <c r="G35" s="438"/>
      <c r="H35" s="438">
        <f>43</f>
        <v>43</v>
      </c>
      <c r="I35" s="438"/>
      <c r="J35" s="438"/>
      <c r="K35" s="438"/>
      <c r="L35" s="438"/>
      <c r="M35" s="438"/>
      <c r="N35" s="438"/>
      <c r="O35" s="148">
        <f t="shared" si="5"/>
        <v>43</v>
      </c>
      <c r="P35" s="438"/>
      <c r="Q35" s="438"/>
      <c r="R35" s="438"/>
      <c r="S35" s="438"/>
      <c r="T35" s="438"/>
      <c r="U35" s="438">
        <f t="shared" si="6"/>
        <v>0</v>
      </c>
      <c r="V35" s="145"/>
      <c r="W35" s="226">
        <f t="shared" si="7"/>
        <v>43</v>
      </c>
      <c r="X35" s="316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9"/>
    </row>
    <row r="36" spans="1:38" ht="30" customHeight="1" x14ac:dyDescent="0.25">
      <c r="A36" s="79">
        <v>17</v>
      </c>
      <c r="B36" s="215" t="s">
        <v>323</v>
      </c>
      <c r="C36" s="110" t="s">
        <v>324</v>
      </c>
      <c r="D36" s="438"/>
      <c r="E36" s="438"/>
      <c r="F36" s="148"/>
      <c r="G36" s="438">
        <f>45</f>
        <v>45</v>
      </c>
      <c r="H36" s="643"/>
      <c r="I36" s="438"/>
      <c r="J36" s="438"/>
      <c r="K36" s="438"/>
      <c r="L36" s="438"/>
      <c r="M36" s="438"/>
      <c r="N36" s="438"/>
      <c r="O36" s="148">
        <f>SUM(D36:N36)</f>
        <v>45</v>
      </c>
      <c r="P36" s="438"/>
      <c r="Q36" s="438"/>
      <c r="R36" s="438"/>
      <c r="S36" s="438"/>
      <c r="T36" s="438"/>
      <c r="U36" s="438">
        <f>SUM(Q36:T36)</f>
        <v>0</v>
      </c>
      <c r="V36" s="145"/>
      <c r="W36" s="226">
        <f>O36+U36</f>
        <v>45</v>
      </c>
      <c r="X36" s="316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9"/>
    </row>
    <row r="37" spans="1:38" ht="30" customHeight="1" x14ac:dyDescent="0.25">
      <c r="A37" s="79">
        <v>18</v>
      </c>
      <c r="B37" s="215" t="s">
        <v>325</v>
      </c>
      <c r="C37" s="110" t="s">
        <v>326</v>
      </c>
      <c r="D37" s="438"/>
      <c r="E37" s="438"/>
      <c r="F37" s="148"/>
      <c r="G37" s="438"/>
      <c r="H37" s="643">
        <f>10+10</f>
        <v>20</v>
      </c>
      <c r="I37" s="438"/>
      <c r="J37" s="438"/>
      <c r="K37" s="438"/>
      <c r="L37" s="438"/>
      <c r="M37" s="438"/>
      <c r="N37" s="438"/>
      <c r="O37" s="148">
        <f>SUM(D37:N37)</f>
        <v>20</v>
      </c>
      <c r="P37" s="438"/>
      <c r="Q37" s="438"/>
      <c r="R37" s="438"/>
      <c r="S37" s="438"/>
      <c r="T37" s="438"/>
      <c r="U37" s="438">
        <f>SUM(Q37:T37)</f>
        <v>0</v>
      </c>
      <c r="V37" s="145"/>
      <c r="W37" s="226">
        <f>O37+U37</f>
        <v>20</v>
      </c>
      <c r="X37" s="316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9"/>
    </row>
    <row r="38" spans="1:38" ht="30" customHeight="1" x14ac:dyDescent="0.25">
      <c r="A38" s="79">
        <v>19</v>
      </c>
      <c r="B38" s="592" t="s">
        <v>393</v>
      </c>
      <c r="C38" s="40" t="s">
        <v>394</v>
      </c>
      <c r="D38" s="438"/>
      <c r="E38" s="438"/>
      <c r="F38" s="643"/>
      <c r="G38" s="438">
        <f>50</f>
        <v>50</v>
      </c>
      <c r="H38" s="438"/>
      <c r="I38" s="438"/>
      <c r="J38" s="438"/>
      <c r="K38" s="438"/>
      <c r="L38" s="438"/>
      <c r="M38" s="438"/>
      <c r="N38" s="438"/>
      <c r="O38" s="438">
        <f>SUM(D38:N38)</f>
        <v>50</v>
      </c>
      <c r="P38" s="438"/>
      <c r="Q38" s="438"/>
      <c r="R38" s="148"/>
      <c r="S38" s="438"/>
      <c r="T38" s="438"/>
      <c r="U38" s="148">
        <f>SUM(Q38:T38)</f>
        <v>0</v>
      </c>
      <c r="V38" s="145"/>
      <c r="W38" s="226">
        <f>O38+U38</f>
        <v>50</v>
      </c>
      <c r="X38" s="31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9"/>
    </row>
    <row r="39" spans="1:38" ht="30" customHeight="1" x14ac:dyDescent="0.25">
      <c r="A39" s="79">
        <v>20</v>
      </c>
      <c r="B39" s="592" t="s">
        <v>395</v>
      </c>
      <c r="C39" s="27" t="s">
        <v>396</v>
      </c>
      <c r="D39" s="438"/>
      <c r="E39" s="438"/>
      <c r="F39" s="438"/>
      <c r="G39" s="438"/>
      <c r="H39" s="438"/>
      <c r="I39" s="438"/>
      <c r="J39" s="438"/>
      <c r="K39" s="438"/>
      <c r="L39" s="438">
        <f>50</f>
        <v>50</v>
      </c>
      <c r="M39" s="438"/>
      <c r="N39" s="438"/>
      <c r="O39" s="438">
        <f>SUM(D39:N39)</f>
        <v>50</v>
      </c>
      <c r="P39" s="438"/>
      <c r="Q39" s="438"/>
      <c r="R39" s="438"/>
      <c r="S39" s="438"/>
      <c r="T39" s="438"/>
      <c r="U39" s="438">
        <f>SUM(Q39:T39)</f>
        <v>0</v>
      </c>
      <c r="V39" s="145"/>
      <c r="W39" s="226">
        <f>O39+U39</f>
        <v>50</v>
      </c>
      <c r="X39" s="316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9"/>
    </row>
    <row r="40" spans="1:38" ht="30" customHeight="1" x14ac:dyDescent="0.25">
      <c r="A40" s="79">
        <v>21</v>
      </c>
      <c r="B40" s="215" t="s">
        <v>397</v>
      </c>
      <c r="C40" s="27" t="s">
        <v>398</v>
      </c>
      <c r="D40" s="438"/>
      <c r="E40" s="438"/>
      <c r="F40" s="438"/>
      <c r="G40" s="438"/>
      <c r="H40" s="438">
        <f>10</f>
        <v>10</v>
      </c>
      <c r="I40" s="438"/>
      <c r="J40" s="438"/>
      <c r="K40" s="438"/>
      <c r="L40" s="438"/>
      <c r="M40" s="438"/>
      <c r="N40" s="438"/>
      <c r="O40" s="438">
        <f t="shared" ref="O40:O41" si="8">SUM(D40:N40)</f>
        <v>10</v>
      </c>
      <c r="P40" s="438"/>
      <c r="Q40" s="438"/>
      <c r="R40" s="438"/>
      <c r="S40" s="438"/>
      <c r="T40" s="438"/>
      <c r="U40" s="438">
        <f t="shared" ref="U40:U41" si="9">SUM(Q40:T40)</f>
        <v>0</v>
      </c>
      <c r="V40" s="145"/>
      <c r="W40" s="226">
        <f t="shared" ref="W40:W41" si="10">O40+U40</f>
        <v>10</v>
      </c>
      <c r="X40" s="316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9"/>
    </row>
    <row r="41" spans="1:38" ht="30" customHeight="1" x14ac:dyDescent="0.25">
      <c r="A41" s="79">
        <v>22</v>
      </c>
      <c r="B41" s="669" t="s">
        <v>433</v>
      </c>
      <c r="C41" s="27" t="s">
        <v>434</v>
      </c>
      <c r="D41" s="438"/>
      <c r="E41" s="438"/>
      <c r="F41" s="142">
        <f>16585.308</f>
        <v>16585.308000000001</v>
      </c>
      <c r="G41" s="438"/>
      <c r="H41" s="438"/>
      <c r="I41" s="438"/>
      <c r="J41" s="438"/>
      <c r="K41" s="438"/>
      <c r="L41" s="438"/>
      <c r="M41" s="438"/>
      <c r="N41" s="438"/>
      <c r="O41" s="142">
        <f t="shared" si="8"/>
        <v>16585.308000000001</v>
      </c>
      <c r="P41" s="438"/>
      <c r="Q41" s="438"/>
      <c r="R41" s="438"/>
      <c r="S41" s="438"/>
      <c r="T41" s="438"/>
      <c r="U41" s="438">
        <f t="shared" si="9"/>
        <v>0</v>
      </c>
      <c r="V41" s="145"/>
      <c r="W41" s="226">
        <f t="shared" si="10"/>
        <v>16585.308000000001</v>
      </c>
      <c r="X41" s="316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9"/>
    </row>
    <row r="42" spans="1:38" ht="9.9499999999999993" customHeight="1" x14ac:dyDescent="0.25">
      <c r="A42" s="79"/>
      <c r="B42" s="124"/>
      <c r="C42" s="27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145"/>
      <c r="W42" s="226"/>
      <c r="X42" s="316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9"/>
    </row>
    <row r="43" spans="1:38" ht="30" customHeight="1" x14ac:dyDescent="0.25">
      <c r="A43" s="199" t="s">
        <v>78</v>
      </c>
      <c r="B43" s="195"/>
      <c r="C43" s="200" t="s">
        <v>76</v>
      </c>
      <c r="D43" s="438">
        <f t="shared" ref="D43:O43" si="11">SUM(D32:D42)</f>
        <v>0</v>
      </c>
      <c r="E43" s="438">
        <f t="shared" si="11"/>
        <v>0</v>
      </c>
      <c r="F43" s="438">
        <f t="shared" si="11"/>
        <v>16585.308000000001</v>
      </c>
      <c r="G43" s="438">
        <f t="shared" si="11"/>
        <v>195</v>
      </c>
      <c r="H43" s="438">
        <f t="shared" si="11"/>
        <v>319</v>
      </c>
      <c r="I43" s="438">
        <f t="shared" si="11"/>
        <v>0</v>
      </c>
      <c r="J43" s="438">
        <f t="shared" si="11"/>
        <v>0</v>
      </c>
      <c r="K43" s="438">
        <f t="shared" si="11"/>
        <v>0</v>
      </c>
      <c r="L43" s="438">
        <f t="shared" si="11"/>
        <v>50</v>
      </c>
      <c r="M43" s="438">
        <f t="shared" si="11"/>
        <v>0</v>
      </c>
      <c r="N43" s="438">
        <f t="shared" si="11"/>
        <v>0</v>
      </c>
      <c r="O43" s="438">
        <f t="shared" si="11"/>
        <v>17149.308000000001</v>
      </c>
      <c r="P43" s="438"/>
      <c r="Q43" s="438"/>
      <c r="R43" s="438"/>
      <c r="S43" s="438">
        <f>SUM(S32:S42)</f>
        <v>0</v>
      </c>
      <c r="T43" s="438">
        <f>SUM(T32:T42)</f>
        <v>0</v>
      </c>
      <c r="U43" s="438">
        <f>SUM(U32:U42)</f>
        <v>0</v>
      </c>
      <c r="V43" s="197"/>
      <c r="W43" s="227">
        <f>O43+U43</f>
        <v>17149.308000000001</v>
      </c>
      <c r="X43" s="316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9"/>
    </row>
    <row r="44" spans="1:38" ht="20.100000000000001" customHeight="1" thickBot="1" x14ac:dyDescent="0.3">
      <c r="A44" s="67"/>
      <c r="B44" s="108"/>
      <c r="C44" s="27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129"/>
      <c r="W44" s="228"/>
      <c r="X44" s="234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9"/>
    </row>
    <row r="45" spans="1:38" ht="24.95" customHeight="1" thickTop="1" thickBot="1" x14ac:dyDescent="0.3">
      <c r="A45" s="34"/>
      <c r="B45" s="35"/>
      <c r="C45" s="43" t="s">
        <v>79</v>
      </c>
      <c r="D45" s="36">
        <f t="shared" ref="D45:O45" si="12">D30+D43</f>
        <v>0</v>
      </c>
      <c r="E45" s="36">
        <f t="shared" si="12"/>
        <v>0</v>
      </c>
      <c r="F45" s="36">
        <f t="shared" si="12"/>
        <v>16585.308000000001</v>
      </c>
      <c r="G45" s="36">
        <f t="shared" si="12"/>
        <v>195</v>
      </c>
      <c r="H45" s="36">
        <f t="shared" si="12"/>
        <v>319</v>
      </c>
      <c r="I45" s="36">
        <f t="shared" si="12"/>
        <v>0</v>
      </c>
      <c r="J45" s="36">
        <f t="shared" si="12"/>
        <v>0</v>
      </c>
      <c r="K45" s="36">
        <f t="shared" si="12"/>
        <v>0</v>
      </c>
      <c r="L45" s="36">
        <f t="shared" si="12"/>
        <v>50</v>
      </c>
      <c r="M45" s="36">
        <f t="shared" si="12"/>
        <v>0</v>
      </c>
      <c r="N45" s="36">
        <f t="shared" si="12"/>
        <v>0</v>
      </c>
      <c r="O45" s="36">
        <f t="shared" si="12"/>
        <v>17149.308000000001</v>
      </c>
      <c r="P45" s="36"/>
      <c r="Q45" s="36">
        <f>Q30+Q43</f>
        <v>0</v>
      </c>
      <c r="R45" s="36">
        <f>R30+R43</f>
        <v>0</v>
      </c>
      <c r="S45" s="36">
        <f>S30+S43</f>
        <v>0</v>
      </c>
      <c r="T45" s="36">
        <f>T30+T43</f>
        <v>0</v>
      </c>
      <c r="U45" s="36">
        <f>U30+U43</f>
        <v>0</v>
      </c>
      <c r="V45" s="198"/>
      <c r="W45" s="229">
        <f>W30+W43</f>
        <v>17149.308000000001</v>
      </c>
      <c r="X45" s="37">
        <f>X30+X43</f>
        <v>144166.64300000001</v>
      </c>
    </row>
    <row r="46" spans="1:38" ht="24.95" customHeight="1" thickTop="1" thickBot="1" x14ac:dyDescent="0.3">
      <c r="A46" s="34"/>
      <c r="B46" s="35"/>
      <c r="C46" s="43" t="s">
        <v>136</v>
      </c>
      <c r="D46" s="193">
        <f t="shared" ref="D46:O46" si="13">D15+D45</f>
        <v>0</v>
      </c>
      <c r="E46" s="193">
        <f t="shared" si="13"/>
        <v>0</v>
      </c>
      <c r="F46" s="193">
        <f t="shared" si="13"/>
        <v>16585.308000000001</v>
      </c>
      <c r="G46" s="193">
        <f t="shared" si="13"/>
        <v>1860</v>
      </c>
      <c r="H46" s="193">
        <f t="shared" si="13"/>
        <v>10274</v>
      </c>
      <c r="I46" s="193">
        <f t="shared" si="13"/>
        <v>0</v>
      </c>
      <c r="J46" s="193">
        <f t="shared" si="13"/>
        <v>0</v>
      </c>
      <c r="K46" s="193">
        <f t="shared" si="13"/>
        <v>0</v>
      </c>
      <c r="L46" s="193">
        <f t="shared" si="13"/>
        <v>50</v>
      </c>
      <c r="M46" s="193">
        <f t="shared" si="13"/>
        <v>1500</v>
      </c>
      <c r="N46" s="36">
        <f t="shared" si="13"/>
        <v>0</v>
      </c>
      <c r="O46" s="36">
        <f t="shared" si="13"/>
        <v>30269.308000000001</v>
      </c>
      <c r="P46" s="36"/>
      <c r="Q46" s="36">
        <f>Q15+Q45</f>
        <v>0</v>
      </c>
      <c r="R46" s="36">
        <f>R15+R45</f>
        <v>0</v>
      </c>
      <c r="S46" s="36">
        <f>S15+S45</f>
        <v>0</v>
      </c>
      <c r="T46" s="36">
        <f>T15+T45</f>
        <v>0</v>
      </c>
      <c r="U46" s="36">
        <f>U15+U45</f>
        <v>0</v>
      </c>
      <c r="V46" s="36"/>
      <c r="W46" s="229">
        <f>O46+U46</f>
        <v>30269.308000000001</v>
      </c>
      <c r="X46" s="222">
        <f>X15+X45</f>
        <v>4137144.6430000002</v>
      </c>
    </row>
    <row r="47" spans="1:38" ht="15" customHeight="1" thickTop="1" thickBot="1" x14ac:dyDescent="0.3">
      <c r="A47" s="34"/>
      <c r="B47" s="35"/>
      <c r="C47" s="4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36"/>
      <c r="O47" s="36"/>
      <c r="P47" s="36"/>
      <c r="Q47" s="36"/>
      <c r="R47" s="36"/>
      <c r="S47" s="36"/>
      <c r="T47" s="36"/>
      <c r="U47" s="36"/>
      <c r="V47" s="36"/>
      <c r="W47" s="229"/>
      <c r="X47" s="222"/>
    </row>
    <row r="48" spans="1:38" ht="24.95" customHeight="1" thickTop="1" thickBot="1" x14ac:dyDescent="0.3">
      <c r="A48" s="34"/>
      <c r="B48" s="35"/>
      <c r="C48" s="296" t="s">
        <v>179</v>
      </c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36"/>
      <c r="O48" s="36">
        <f>SUM(D48:N48)</f>
        <v>0</v>
      </c>
      <c r="P48" s="36"/>
      <c r="Q48" s="36"/>
      <c r="R48" s="648">
        <f>1325+5398+65+64+294+191+1016+17044+458+40074+635+8194+653+508+144721.39</f>
        <v>220640.39</v>
      </c>
      <c r="S48" s="618"/>
      <c r="T48" s="36"/>
      <c r="U48" s="142">
        <f>SUM(Q48:T48)</f>
        <v>220640.39</v>
      </c>
      <c r="V48" s="36"/>
      <c r="W48" s="229">
        <f>O48+U48</f>
        <v>220640.39</v>
      </c>
      <c r="X48" s="222"/>
    </row>
    <row r="49" spans="1:24" ht="15" hidden="1" customHeight="1" thickTop="1" thickBot="1" x14ac:dyDescent="0.3">
      <c r="A49" s="34"/>
      <c r="B49" s="35"/>
      <c r="C49" s="296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36"/>
      <c r="O49" s="36"/>
      <c r="P49" s="36"/>
      <c r="Q49" s="36"/>
      <c r="R49" s="36"/>
      <c r="S49" s="36"/>
      <c r="T49" s="36"/>
      <c r="U49" s="36"/>
      <c r="V49" s="36"/>
      <c r="W49" s="229"/>
      <c r="X49" s="222"/>
    </row>
    <row r="50" spans="1:24" ht="24.95" hidden="1" customHeight="1" thickTop="1" thickBot="1" x14ac:dyDescent="0.3">
      <c r="A50" s="34"/>
      <c r="B50" s="35"/>
      <c r="C50" s="296" t="s">
        <v>74</v>
      </c>
      <c r="D50" s="193"/>
      <c r="E50" s="193"/>
      <c r="F50" s="193"/>
      <c r="G50" s="193"/>
      <c r="H50" s="193"/>
      <c r="I50" s="193"/>
      <c r="J50" s="193"/>
      <c r="K50" s="193"/>
      <c r="L50" s="193"/>
      <c r="M50" s="36"/>
      <c r="N50" s="36"/>
      <c r="O50" s="36">
        <f>SUM(D50:N50)</f>
        <v>0</v>
      </c>
      <c r="P50" s="36"/>
      <c r="Q50" s="36"/>
      <c r="R50" s="36"/>
      <c r="S50" s="36"/>
      <c r="T50" s="36"/>
      <c r="U50" s="36">
        <f>SUM(Q50:T50)</f>
        <v>0</v>
      </c>
      <c r="V50" s="193"/>
      <c r="W50" s="229">
        <f>O50+U50</f>
        <v>0</v>
      </c>
      <c r="X50" s="222"/>
    </row>
    <row r="51" spans="1:24" ht="15" customHeight="1" thickTop="1" thickBot="1" x14ac:dyDescent="0.3">
      <c r="A51" s="34"/>
      <c r="B51" s="35"/>
      <c r="C51" s="296"/>
      <c r="D51" s="193"/>
      <c r="E51" s="193"/>
      <c r="F51" s="193"/>
      <c r="G51" s="193"/>
      <c r="H51" s="193"/>
      <c r="I51" s="193"/>
      <c r="J51" s="193"/>
      <c r="K51" s="193"/>
      <c r="L51" s="193"/>
      <c r="M51" s="36"/>
      <c r="N51" s="36"/>
      <c r="O51" s="36"/>
      <c r="P51" s="36"/>
      <c r="Q51" s="36"/>
      <c r="R51" s="36"/>
      <c r="S51" s="36"/>
      <c r="T51" s="36"/>
      <c r="U51" s="36"/>
      <c r="V51" s="193"/>
      <c r="W51" s="229"/>
      <c r="X51" s="222"/>
    </row>
    <row r="52" spans="1:24" ht="30" customHeight="1" thickTop="1" thickBot="1" x14ac:dyDescent="0.3">
      <c r="A52" s="34"/>
      <c r="B52" s="213" t="s">
        <v>156</v>
      </c>
      <c r="C52" s="43" t="s">
        <v>180</v>
      </c>
      <c r="D52" s="36">
        <f t="shared" ref="D52:U52" si="14">D46+D48+D50</f>
        <v>0</v>
      </c>
      <c r="E52" s="36">
        <f t="shared" si="14"/>
        <v>0</v>
      </c>
      <c r="F52" s="36">
        <f t="shared" si="14"/>
        <v>16585.308000000001</v>
      </c>
      <c r="G52" s="36">
        <f t="shared" si="14"/>
        <v>1860</v>
      </c>
      <c r="H52" s="36">
        <f t="shared" si="14"/>
        <v>10274</v>
      </c>
      <c r="I52" s="36">
        <f t="shared" si="14"/>
        <v>0</v>
      </c>
      <c r="J52" s="36">
        <f t="shared" si="14"/>
        <v>0</v>
      </c>
      <c r="K52" s="36">
        <f t="shared" si="14"/>
        <v>0</v>
      </c>
      <c r="L52" s="36">
        <f t="shared" si="14"/>
        <v>50</v>
      </c>
      <c r="M52" s="36">
        <f t="shared" si="14"/>
        <v>1500</v>
      </c>
      <c r="N52" s="36">
        <f t="shared" si="14"/>
        <v>0</v>
      </c>
      <c r="O52" s="36">
        <f t="shared" si="14"/>
        <v>30269.308000000001</v>
      </c>
      <c r="P52" s="36"/>
      <c r="Q52" s="36">
        <f t="shared" si="14"/>
        <v>0</v>
      </c>
      <c r="R52" s="36">
        <f t="shared" si="14"/>
        <v>220640.39</v>
      </c>
      <c r="S52" s="36">
        <f t="shared" si="14"/>
        <v>0</v>
      </c>
      <c r="T52" s="36">
        <f t="shared" si="14"/>
        <v>0</v>
      </c>
      <c r="U52" s="36">
        <f t="shared" si="14"/>
        <v>220640.39</v>
      </c>
      <c r="V52" s="193"/>
      <c r="W52" s="229">
        <f>W46+W48+W50</f>
        <v>250909.698</v>
      </c>
      <c r="X52" s="222">
        <f>X46+X48</f>
        <v>4137144.6430000002</v>
      </c>
    </row>
    <row r="53" spans="1:24" ht="24.95" hidden="1" customHeight="1" thickTop="1" x14ac:dyDescent="0.25">
      <c r="A53" s="21"/>
      <c r="B53" s="22"/>
      <c r="C53" s="23" t="s">
        <v>18</v>
      </c>
      <c r="D53" s="24">
        <f t="shared" ref="D53:L53" si="15">D52</f>
        <v>0</v>
      </c>
      <c r="E53" s="24">
        <f t="shared" si="15"/>
        <v>0</v>
      </c>
      <c r="F53" s="24">
        <f t="shared" si="15"/>
        <v>16585.308000000001</v>
      </c>
      <c r="G53" s="24">
        <f t="shared" si="15"/>
        <v>1860</v>
      </c>
      <c r="H53" s="24">
        <f t="shared" si="15"/>
        <v>10274</v>
      </c>
      <c r="I53" s="24">
        <f t="shared" si="15"/>
        <v>0</v>
      </c>
      <c r="J53" s="24">
        <f t="shared" si="15"/>
        <v>0</v>
      </c>
      <c r="K53" s="24">
        <f t="shared" si="15"/>
        <v>0</v>
      </c>
      <c r="L53" s="24">
        <f t="shared" si="15"/>
        <v>50</v>
      </c>
      <c r="M53" s="24">
        <f t="shared" ref="M53:U53" si="16">M52</f>
        <v>1500</v>
      </c>
      <c r="N53" s="24">
        <f t="shared" si="16"/>
        <v>0</v>
      </c>
      <c r="O53" s="24">
        <f t="shared" si="16"/>
        <v>30269.308000000001</v>
      </c>
      <c r="P53" s="24"/>
      <c r="Q53" s="24">
        <f>Q52</f>
        <v>0</v>
      </c>
      <c r="R53" s="24">
        <f>R52</f>
        <v>220640.39</v>
      </c>
      <c r="S53" s="24">
        <f t="shared" si="16"/>
        <v>0</v>
      </c>
      <c r="T53" s="24">
        <f t="shared" si="16"/>
        <v>0</v>
      </c>
      <c r="U53" s="24">
        <f t="shared" si="16"/>
        <v>220640.39</v>
      </c>
      <c r="V53" s="24"/>
      <c r="W53" s="230">
        <f>O53+U53</f>
        <v>250909.698</v>
      </c>
      <c r="X53" s="236">
        <f>X52</f>
        <v>4137144.6430000002</v>
      </c>
    </row>
    <row r="54" spans="1:24" ht="24.95" hidden="1" customHeight="1" x14ac:dyDescent="0.25">
      <c r="A54" s="489"/>
      <c r="B54" s="490"/>
      <c r="C54" s="491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10"/>
      <c r="W54" s="492"/>
      <c r="X54" s="493"/>
    </row>
    <row r="55" spans="1:24" ht="30" hidden="1" customHeight="1" x14ac:dyDescent="0.2">
      <c r="A55" s="39">
        <v>1</v>
      </c>
      <c r="B55" s="169"/>
      <c r="C55" s="32"/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494">
        <f t="shared" ref="O55:O70" si="17">SUM(D55:N55)</f>
        <v>0</v>
      </c>
      <c r="P55" s="309"/>
      <c r="Q55" s="309"/>
      <c r="R55" s="309"/>
      <c r="S55" s="309"/>
      <c r="T55" s="309"/>
      <c r="U55" s="494">
        <f t="shared" ref="U55:U69" si="18">SUM(Q55:T55)</f>
        <v>0</v>
      </c>
      <c r="V55" s="310"/>
      <c r="W55" s="237">
        <f t="shared" ref="W55:W69" si="19">O55+U55</f>
        <v>0</v>
      </c>
      <c r="X55" s="370"/>
    </row>
    <row r="56" spans="1:24" ht="30" hidden="1" customHeight="1" x14ac:dyDescent="0.2">
      <c r="A56" s="39">
        <v>2</v>
      </c>
      <c r="B56" s="29"/>
      <c r="C56" s="4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>
        <f t="shared" si="17"/>
        <v>0</v>
      </c>
      <c r="P56" s="220"/>
      <c r="Q56" s="220"/>
      <c r="R56" s="220"/>
      <c r="S56" s="220"/>
      <c r="T56" s="220"/>
      <c r="U56" s="220">
        <f t="shared" si="18"/>
        <v>0</v>
      </c>
      <c r="V56" s="221"/>
      <c r="W56" s="237">
        <f t="shared" si="19"/>
        <v>0</v>
      </c>
      <c r="X56" s="370"/>
    </row>
    <row r="57" spans="1:24" ht="30" hidden="1" customHeight="1" x14ac:dyDescent="0.2">
      <c r="A57" s="39">
        <v>3</v>
      </c>
      <c r="B57" s="29"/>
      <c r="C57" s="4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>
        <f t="shared" si="17"/>
        <v>0</v>
      </c>
      <c r="P57" s="220"/>
      <c r="Q57" s="220"/>
      <c r="R57" s="220"/>
      <c r="S57" s="220"/>
      <c r="T57" s="220"/>
      <c r="U57" s="220">
        <f t="shared" si="18"/>
        <v>0</v>
      </c>
      <c r="V57" s="221"/>
      <c r="W57" s="237">
        <f t="shared" si="19"/>
        <v>0</v>
      </c>
      <c r="X57" s="370"/>
    </row>
    <row r="58" spans="1:24" ht="24.95" hidden="1" customHeight="1" x14ac:dyDescent="0.2">
      <c r="A58" s="39">
        <v>4</v>
      </c>
      <c r="B58" s="26"/>
      <c r="C58" s="33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>
        <f t="shared" si="17"/>
        <v>0</v>
      </c>
      <c r="P58" s="220"/>
      <c r="Q58" s="220"/>
      <c r="R58" s="220"/>
      <c r="S58" s="220"/>
      <c r="T58" s="220"/>
      <c r="U58" s="220">
        <f t="shared" si="18"/>
        <v>0</v>
      </c>
      <c r="V58" s="221"/>
      <c r="W58" s="237">
        <f t="shared" si="19"/>
        <v>0</v>
      </c>
      <c r="X58" s="238"/>
    </row>
    <row r="59" spans="1:24" ht="24.95" hidden="1" customHeight="1" x14ac:dyDescent="0.2">
      <c r="A59" s="39">
        <v>5</v>
      </c>
      <c r="B59" s="26"/>
      <c r="C59" s="27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>
        <f t="shared" si="17"/>
        <v>0</v>
      </c>
      <c r="P59" s="220"/>
      <c r="Q59" s="220"/>
      <c r="R59" s="220"/>
      <c r="S59" s="220"/>
      <c r="T59" s="220"/>
      <c r="U59" s="220">
        <f t="shared" si="18"/>
        <v>0</v>
      </c>
      <c r="V59" s="221"/>
      <c r="W59" s="237">
        <f t="shared" si="19"/>
        <v>0</v>
      </c>
      <c r="X59" s="238"/>
    </row>
    <row r="60" spans="1:24" ht="24.95" hidden="1" customHeight="1" x14ac:dyDescent="0.2">
      <c r="A60" s="39">
        <v>6</v>
      </c>
      <c r="B60" s="74"/>
      <c r="C60" s="33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>
        <f t="shared" si="17"/>
        <v>0</v>
      </c>
      <c r="P60" s="220"/>
      <c r="Q60" s="220"/>
      <c r="R60" s="220"/>
      <c r="S60" s="220"/>
      <c r="T60" s="220"/>
      <c r="U60" s="220">
        <f t="shared" si="18"/>
        <v>0</v>
      </c>
      <c r="V60" s="221"/>
      <c r="W60" s="237">
        <f t="shared" si="19"/>
        <v>0</v>
      </c>
      <c r="X60" s="238"/>
    </row>
    <row r="61" spans="1:24" ht="24.95" hidden="1" customHeight="1" x14ac:dyDescent="0.2">
      <c r="A61" s="39">
        <v>7</v>
      </c>
      <c r="B61" s="308"/>
      <c r="C61" s="33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>
        <f t="shared" si="17"/>
        <v>0</v>
      </c>
      <c r="P61" s="220"/>
      <c r="Q61" s="220"/>
      <c r="R61" s="220"/>
      <c r="S61" s="220"/>
      <c r="T61" s="220"/>
      <c r="U61" s="220">
        <f t="shared" si="18"/>
        <v>0</v>
      </c>
      <c r="V61" s="221"/>
      <c r="W61" s="237">
        <f t="shared" si="19"/>
        <v>0</v>
      </c>
      <c r="X61" s="238"/>
    </row>
    <row r="62" spans="1:24" ht="24.95" hidden="1" customHeight="1" x14ac:dyDescent="0.2">
      <c r="A62" s="39">
        <v>8</v>
      </c>
      <c r="B62" s="26"/>
      <c r="C62" s="33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>
        <f t="shared" si="17"/>
        <v>0</v>
      </c>
      <c r="P62" s="220"/>
      <c r="Q62" s="220"/>
      <c r="R62" s="220"/>
      <c r="S62" s="220"/>
      <c r="T62" s="220"/>
      <c r="U62" s="220">
        <f t="shared" si="18"/>
        <v>0</v>
      </c>
      <c r="V62" s="221"/>
      <c r="W62" s="237">
        <f t="shared" si="19"/>
        <v>0</v>
      </c>
      <c r="X62" s="238"/>
    </row>
    <row r="63" spans="1:24" ht="24.95" hidden="1" customHeight="1" x14ac:dyDescent="0.2">
      <c r="A63" s="39">
        <v>9</v>
      </c>
      <c r="B63" s="307"/>
      <c r="C63" s="27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>
        <f t="shared" si="17"/>
        <v>0</v>
      </c>
      <c r="P63" s="220"/>
      <c r="Q63" s="220"/>
      <c r="R63" s="220"/>
      <c r="S63" s="220"/>
      <c r="T63" s="220"/>
      <c r="U63" s="220">
        <f t="shared" si="18"/>
        <v>0</v>
      </c>
      <c r="V63" s="221"/>
      <c r="W63" s="237">
        <f t="shared" si="19"/>
        <v>0</v>
      </c>
      <c r="X63" s="238"/>
    </row>
    <row r="64" spans="1:24" ht="24.95" hidden="1" customHeight="1" x14ac:dyDescent="0.2">
      <c r="A64" s="39">
        <v>10</v>
      </c>
      <c r="B64" s="26"/>
      <c r="C64" s="27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>
        <f t="shared" si="17"/>
        <v>0</v>
      </c>
      <c r="P64" s="220"/>
      <c r="Q64" s="220"/>
      <c r="R64" s="220"/>
      <c r="S64" s="220"/>
      <c r="T64" s="220"/>
      <c r="U64" s="220">
        <f t="shared" si="18"/>
        <v>0</v>
      </c>
      <c r="V64" s="221"/>
      <c r="W64" s="237">
        <f t="shared" si="19"/>
        <v>0</v>
      </c>
      <c r="X64" s="238"/>
    </row>
    <row r="65" spans="1:24" ht="24.95" hidden="1" customHeight="1" x14ac:dyDescent="0.2">
      <c r="A65" s="39">
        <v>11</v>
      </c>
      <c r="B65" s="308"/>
      <c r="C65" s="27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>
        <f t="shared" si="17"/>
        <v>0</v>
      </c>
      <c r="P65" s="220"/>
      <c r="Q65" s="220"/>
      <c r="R65" s="220"/>
      <c r="S65" s="220"/>
      <c r="T65" s="220"/>
      <c r="U65" s="220">
        <f t="shared" si="18"/>
        <v>0</v>
      </c>
      <c r="V65" s="221"/>
      <c r="W65" s="237">
        <f t="shared" si="19"/>
        <v>0</v>
      </c>
      <c r="X65" s="238"/>
    </row>
    <row r="66" spans="1:24" ht="24.95" hidden="1" customHeight="1" x14ac:dyDescent="0.2">
      <c r="A66" s="39">
        <v>12</v>
      </c>
      <c r="B66" s="74"/>
      <c r="C66" s="27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>
        <f t="shared" si="17"/>
        <v>0</v>
      </c>
      <c r="P66" s="220"/>
      <c r="Q66" s="220"/>
      <c r="R66" s="220"/>
      <c r="S66" s="220"/>
      <c r="T66" s="220"/>
      <c r="U66" s="220">
        <f t="shared" si="18"/>
        <v>0</v>
      </c>
      <c r="V66" s="221"/>
      <c r="W66" s="237">
        <f t="shared" si="19"/>
        <v>0</v>
      </c>
      <c r="X66" s="238"/>
    </row>
    <row r="67" spans="1:24" ht="24.95" hidden="1" customHeight="1" x14ac:dyDescent="0.2">
      <c r="A67" s="39">
        <v>13</v>
      </c>
      <c r="B67" s="74"/>
      <c r="C67" s="4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>
        <f t="shared" si="17"/>
        <v>0</v>
      </c>
      <c r="P67" s="220"/>
      <c r="Q67" s="220"/>
      <c r="R67" s="220"/>
      <c r="S67" s="220"/>
      <c r="T67" s="220"/>
      <c r="U67" s="220">
        <f t="shared" si="18"/>
        <v>0</v>
      </c>
      <c r="V67" s="221"/>
      <c r="W67" s="237">
        <f t="shared" si="19"/>
        <v>0</v>
      </c>
      <c r="X67" s="238"/>
    </row>
    <row r="68" spans="1:24" ht="24.95" hidden="1" customHeight="1" x14ac:dyDescent="0.2">
      <c r="A68" s="39">
        <v>14</v>
      </c>
      <c r="B68" s="26"/>
      <c r="C68" s="4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>
        <f t="shared" si="17"/>
        <v>0</v>
      </c>
      <c r="P68" s="220"/>
      <c r="Q68" s="220"/>
      <c r="R68" s="220"/>
      <c r="S68" s="220"/>
      <c r="T68" s="220"/>
      <c r="U68" s="220">
        <f t="shared" si="18"/>
        <v>0</v>
      </c>
      <c r="V68" s="221"/>
      <c r="W68" s="237">
        <f t="shared" si="19"/>
        <v>0</v>
      </c>
      <c r="X68" s="238"/>
    </row>
    <row r="69" spans="1:24" ht="24.95" hidden="1" customHeight="1" x14ac:dyDescent="0.2">
      <c r="A69" s="39">
        <v>15</v>
      </c>
      <c r="B69" s="26"/>
      <c r="C69" s="4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>
        <f t="shared" si="17"/>
        <v>0</v>
      </c>
      <c r="P69" s="220"/>
      <c r="Q69" s="220"/>
      <c r="R69" s="220"/>
      <c r="S69" s="220"/>
      <c r="T69" s="220"/>
      <c r="U69" s="220">
        <f t="shared" si="18"/>
        <v>0</v>
      </c>
      <c r="V69" s="221"/>
      <c r="W69" s="237">
        <f t="shared" si="19"/>
        <v>0</v>
      </c>
      <c r="X69" s="238"/>
    </row>
    <row r="70" spans="1:24" ht="24.95" hidden="1" customHeight="1" x14ac:dyDescent="0.2">
      <c r="A70" s="39"/>
      <c r="B70" s="26"/>
      <c r="C70" s="4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>
        <f t="shared" si="17"/>
        <v>0</v>
      </c>
      <c r="P70" s="220"/>
      <c r="Q70" s="220"/>
      <c r="R70" s="220"/>
      <c r="S70" s="220"/>
      <c r="T70" s="220"/>
      <c r="U70" s="220"/>
      <c r="V70" s="221"/>
      <c r="W70" s="237"/>
      <c r="X70" s="238"/>
    </row>
    <row r="71" spans="1:24" ht="24.95" hidden="1" customHeight="1" x14ac:dyDescent="0.2">
      <c r="A71" s="39"/>
      <c r="B71" s="123"/>
      <c r="C71" s="4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1"/>
      <c r="W71" s="237"/>
      <c r="X71" s="238"/>
    </row>
    <row r="72" spans="1:24" ht="9.9499999999999993" hidden="1" customHeight="1" x14ac:dyDescent="0.2">
      <c r="A72" s="39"/>
      <c r="B72" s="112"/>
      <c r="C72" s="4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1"/>
      <c r="W72" s="237"/>
      <c r="X72" s="238"/>
    </row>
    <row r="73" spans="1:24" ht="30" hidden="1" customHeight="1" x14ac:dyDescent="0.2">
      <c r="A73" s="199" t="s">
        <v>77</v>
      </c>
      <c r="B73" s="195"/>
      <c r="C73" s="200" t="s">
        <v>75</v>
      </c>
      <c r="D73" s="71">
        <f t="shared" ref="D73:O73" si="20">SUM(D55:D72)</f>
        <v>0</v>
      </c>
      <c r="E73" s="71">
        <f t="shared" si="20"/>
        <v>0</v>
      </c>
      <c r="F73" s="71">
        <f t="shared" si="20"/>
        <v>0</v>
      </c>
      <c r="G73" s="71">
        <f t="shared" si="20"/>
        <v>0</v>
      </c>
      <c r="H73" s="71">
        <f t="shared" si="20"/>
        <v>0</v>
      </c>
      <c r="I73" s="71">
        <f t="shared" si="20"/>
        <v>0</v>
      </c>
      <c r="J73" s="71">
        <f t="shared" si="20"/>
        <v>0</v>
      </c>
      <c r="K73" s="71">
        <f t="shared" si="20"/>
        <v>0</v>
      </c>
      <c r="L73" s="71">
        <f t="shared" si="20"/>
        <v>0</v>
      </c>
      <c r="M73" s="71">
        <f t="shared" si="20"/>
        <v>0</v>
      </c>
      <c r="N73" s="71">
        <f t="shared" si="20"/>
        <v>0</v>
      </c>
      <c r="O73" s="71">
        <f t="shared" si="20"/>
        <v>0</v>
      </c>
      <c r="P73" s="71"/>
      <c r="Q73" s="71">
        <f>SUM(Q55:Q72)</f>
        <v>0</v>
      </c>
      <c r="R73" s="71">
        <f>SUM(R55:R72)</f>
        <v>0</v>
      </c>
      <c r="S73" s="71">
        <f>SUM(S55:S72)</f>
        <v>0</v>
      </c>
      <c r="T73" s="71">
        <f>SUM(T55:T72)</f>
        <v>0</v>
      </c>
      <c r="U73" s="71">
        <f>SUM(U55:U72)</f>
        <v>0</v>
      </c>
      <c r="V73" s="71"/>
      <c r="W73" s="239">
        <f>O73+U73</f>
        <v>0</v>
      </c>
      <c r="X73" s="234">
        <f>SUM(X55:X72)</f>
        <v>0</v>
      </c>
    </row>
    <row r="74" spans="1:24" ht="20.100000000000001" hidden="1" customHeight="1" x14ac:dyDescent="0.2">
      <c r="A74" s="214"/>
      <c r="B74" s="215"/>
      <c r="C74" s="110"/>
      <c r="D74" s="71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1"/>
      <c r="W74" s="237"/>
      <c r="X74" s="238"/>
    </row>
    <row r="75" spans="1:24" ht="30" hidden="1" customHeight="1" x14ac:dyDescent="0.2">
      <c r="A75" s="39" t="s">
        <v>99</v>
      </c>
      <c r="B75" s="30"/>
      <c r="C75" s="40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>
        <f>SUM(D75:N75)</f>
        <v>0</v>
      </c>
      <c r="P75" s="157"/>
      <c r="Q75" s="157"/>
      <c r="R75" s="157"/>
      <c r="S75" s="157"/>
      <c r="T75" s="157"/>
      <c r="U75" s="157">
        <f>SUM(Q75:T75)</f>
        <v>0</v>
      </c>
      <c r="V75" s="158"/>
      <c r="W75" s="487">
        <f>O75+U75</f>
        <v>0</v>
      </c>
      <c r="X75" s="370"/>
    </row>
    <row r="76" spans="1:24" ht="30" hidden="1" customHeight="1" x14ac:dyDescent="0.2">
      <c r="A76" s="168" t="s">
        <v>99</v>
      </c>
      <c r="B76" s="169"/>
      <c r="C76" s="40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>
        <f>SUM(D76:N76)</f>
        <v>0</v>
      </c>
      <c r="P76" s="157"/>
      <c r="Q76" s="157"/>
      <c r="R76" s="157"/>
      <c r="S76" s="157"/>
      <c r="T76" s="157"/>
      <c r="U76" s="157">
        <f>SUM(Q76:T76)</f>
        <v>0</v>
      </c>
      <c r="V76" s="158"/>
      <c r="W76" s="487">
        <f>O76+U76</f>
        <v>0</v>
      </c>
      <c r="X76" s="370"/>
    </row>
    <row r="77" spans="1:24" ht="30" hidden="1" customHeight="1" x14ac:dyDescent="0.2">
      <c r="A77" s="39" t="s">
        <v>99</v>
      </c>
      <c r="B77" s="169"/>
      <c r="C77" s="2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>
        <f>SUM(D77:N77)</f>
        <v>0</v>
      </c>
      <c r="P77" s="157"/>
      <c r="Q77" s="157"/>
      <c r="R77" s="157"/>
      <c r="S77" s="157"/>
      <c r="T77" s="157"/>
      <c r="U77" s="157">
        <f>SUM(Q77:T77)</f>
        <v>0</v>
      </c>
      <c r="V77" s="158"/>
      <c r="W77" s="487">
        <f>O77+U77</f>
        <v>0</v>
      </c>
      <c r="X77" s="370"/>
    </row>
    <row r="78" spans="1:24" ht="24.95" hidden="1" customHeight="1" x14ac:dyDescent="0.2">
      <c r="A78" s="39"/>
      <c r="B78" s="169"/>
      <c r="C78" s="40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8"/>
      <c r="W78" s="487"/>
      <c r="X78" s="370"/>
    </row>
    <row r="79" spans="1:24" ht="24.95" hidden="1" customHeight="1" x14ac:dyDescent="0.2">
      <c r="A79" s="39"/>
      <c r="B79" s="109"/>
      <c r="C79" s="40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8"/>
      <c r="W79" s="487"/>
      <c r="X79" s="370"/>
    </row>
    <row r="80" spans="1:24" ht="9.9499999999999993" hidden="1" customHeight="1" x14ac:dyDescent="0.2">
      <c r="A80" s="39"/>
      <c r="B80" s="109"/>
      <c r="C80" s="4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1"/>
      <c r="W80" s="237"/>
      <c r="X80" s="238"/>
    </row>
    <row r="81" spans="1:24" ht="30" hidden="1" customHeight="1" x14ac:dyDescent="0.2">
      <c r="A81" s="199" t="s">
        <v>78</v>
      </c>
      <c r="B81" s="195"/>
      <c r="C81" s="200" t="s">
        <v>76</v>
      </c>
      <c r="D81" s="142">
        <f t="shared" ref="D81:O81" si="21">SUM(D75:D80)</f>
        <v>0</v>
      </c>
      <c r="E81" s="142">
        <f t="shared" si="21"/>
        <v>0</v>
      </c>
      <c r="F81" s="142">
        <f t="shared" si="21"/>
        <v>0</v>
      </c>
      <c r="G81" s="142">
        <f t="shared" si="21"/>
        <v>0</v>
      </c>
      <c r="H81" s="142">
        <f t="shared" si="21"/>
        <v>0</v>
      </c>
      <c r="I81" s="142">
        <f t="shared" si="21"/>
        <v>0</v>
      </c>
      <c r="J81" s="142">
        <f t="shared" si="21"/>
        <v>0</v>
      </c>
      <c r="K81" s="142">
        <f t="shared" si="21"/>
        <v>0</v>
      </c>
      <c r="L81" s="142">
        <f t="shared" si="21"/>
        <v>0</v>
      </c>
      <c r="M81" s="142">
        <f t="shared" si="21"/>
        <v>0</v>
      </c>
      <c r="N81" s="142">
        <f t="shared" si="21"/>
        <v>0</v>
      </c>
      <c r="O81" s="142">
        <f t="shared" si="21"/>
        <v>0</v>
      </c>
      <c r="P81" s="142"/>
      <c r="Q81" s="142">
        <f>SUM(Q75:Q80)</f>
        <v>0</v>
      </c>
      <c r="R81" s="142">
        <f>SUM(R75:R80)</f>
        <v>0</v>
      </c>
      <c r="S81" s="142">
        <f>SUM(S75:S80)</f>
        <v>0</v>
      </c>
      <c r="T81" s="142">
        <f>SUM(T75:T80)</f>
        <v>0</v>
      </c>
      <c r="U81" s="142">
        <f>SUM(U75:U80)</f>
        <v>0</v>
      </c>
      <c r="V81" s="142"/>
      <c r="W81" s="227">
        <f>O81+U81</f>
        <v>0</v>
      </c>
      <c r="X81" s="316">
        <f>SUM(X75:X80)</f>
        <v>0</v>
      </c>
    </row>
    <row r="82" spans="1:24" ht="9.9499999999999993" hidden="1" customHeight="1" x14ac:dyDescent="0.2">
      <c r="A82" s="39"/>
      <c r="B82" s="109"/>
      <c r="C82" s="4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1"/>
      <c r="W82" s="237"/>
      <c r="X82" s="238"/>
    </row>
    <row r="83" spans="1:24" ht="24.95" hidden="1" customHeight="1" x14ac:dyDescent="0.2">
      <c r="A83" s="39"/>
      <c r="B83" s="109"/>
      <c r="C83" s="40" t="s">
        <v>57</v>
      </c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>
        <f>SUM(D83:N83)</f>
        <v>0</v>
      </c>
      <c r="P83" s="220"/>
      <c r="Q83" s="220"/>
      <c r="R83" s="220"/>
      <c r="S83" s="220"/>
      <c r="T83" s="220"/>
      <c r="U83" s="220">
        <f>SUM(Q83:T83)</f>
        <v>0</v>
      </c>
      <c r="V83" s="221"/>
      <c r="W83" s="237">
        <f>O83+U83</f>
        <v>0</v>
      </c>
      <c r="X83" s="238"/>
    </row>
    <row r="84" spans="1:24" ht="24.95" hidden="1" customHeight="1" thickBot="1" x14ac:dyDescent="0.25">
      <c r="A84" s="39"/>
      <c r="B84" s="101"/>
      <c r="C84" s="102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1"/>
      <c r="W84" s="242"/>
      <c r="X84" s="243"/>
    </row>
    <row r="85" spans="1:24" ht="30" hidden="1" customHeight="1" thickTop="1" thickBot="1" x14ac:dyDescent="0.25">
      <c r="A85" s="46"/>
      <c r="B85" s="106"/>
      <c r="C85" s="43" t="s">
        <v>79</v>
      </c>
      <c r="D85" s="193">
        <f t="shared" ref="D85:O85" si="22">D73+D81</f>
        <v>0</v>
      </c>
      <c r="E85" s="193">
        <f t="shared" si="22"/>
        <v>0</v>
      </c>
      <c r="F85" s="193">
        <f t="shared" si="22"/>
        <v>0</v>
      </c>
      <c r="G85" s="193">
        <f t="shared" si="22"/>
        <v>0</v>
      </c>
      <c r="H85" s="193">
        <f t="shared" si="22"/>
        <v>0</v>
      </c>
      <c r="I85" s="193">
        <f t="shared" si="22"/>
        <v>0</v>
      </c>
      <c r="J85" s="193">
        <f t="shared" si="22"/>
        <v>0</v>
      </c>
      <c r="K85" s="193">
        <f t="shared" si="22"/>
        <v>0</v>
      </c>
      <c r="L85" s="193">
        <f t="shared" si="22"/>
        <v>0</v>
      </c>
      <c r="M85" s="193">
        <f t="shared" si="22"/>
        <v>0</v>
      </c>
      <c r="N85" s="193">
        <f t="shared" si="22"/>
        <v>0</v>
      </c>
      <c r="O85" s="193">
        <f t="shared" si="22"/>
        <v>0</v>
      </c>
      <c r="P85" s="193"/>
      <c r="Q85" s="193">
        <f>Q73+Q81</f>
        <v>0</v>
      </c>
      <c r="R85" s="193">
        <f>R73+R81</f>
        <v>0</v>
      </c>
      <c r="S85" s="193">
        <f>S73+S81</f>
        <v>0</v>
      </c>
      <c r="T85" s="193">
        <f>T73+T81</f>
        <v>0</v>
      </c>
      <c r="U85" s="193">
        <f>U73+U81</f>
        <v>0</v>
      </c>
      <c r="V85" s="193"/>
      <c r="W85" s="244">
        <f>W73+W81</f>
        <v>0</v>
      </c>
      <c r="X85" s="222">
        <f>X73+X81</f>
        <v>0</v>
      </c>
    </row>
    <row r="86" spans="1:24" ht="30" hidden="1" customHeight="1" thickTop="1" thickBot="1" x14ac:dyDescent="0.25">
      <c r="A86" s="41"/>
      <c r="B86" s="106" t="s">
        <v>161</v>
      </c>
      <c r="C86" s="43" t="s">
        <v>136</v>
      </c>
      <c r="D86" s="245">
        <f t="shared" ref="D86:O86" si="23">D53+D85</f>
        <v>0</v>
      </c>
      <c r="E86" s="245">
        <f t="shared" si="23"/>
        <v>0</v>
      </c>
      <c r="F86" s="245">
        <f t="shared" si="23"/>
        <v>16585.308000000001</v>
      </c>
      <c r="G86" s="245">
        <f t="shared" si="23"/>
        <v>1860</v>
      </c>
      <c r="H86" s="245">
        <f t="shared" si="23"/>
        <v>10274</v>
      </c>
      <c r="I86" s="245">
        <f t="shared" si="23"/>
        <v>0</v>
      </c>
      <c r="J86" s="245">
        <f t="shared" si="23"/>
        <v>0</v>
      </c>
      <c r="K86" s="245">
        <f t="shared" si="23"/>
        <v>0</v>
      </c>
      <c r="L86" s="245">
        <f t="shared" si="23"/>
        <v>50</v>
      </c>
      <c r="M86" s="245">
        <f t="shared" si="23"/>
        <v>1500</v>
      </c>
      <c r="N86" s="245">
        <f t="shared" si="23"/>
        <v>0</v>
      </c>
      <c r="O86" s="245">
        <f t="shared" si="23"/>
        <v>30269.308000000001</v>
      </c>
      <c r="P86" s="245"/>
      <c r="Q86" s="245">
        <f>Q53+Q85</f>
        <v>0</v>
      </c>
      <c r="R86" s="245">
        <f>R53+R85</f>
        <v>220640.39</v>
      </c>
      <c r="S86" s="245">
        <f>S53+S85</f>
        <v>0</v>
      </c>
      <c r="T86" s="245">
        <f>T53+T85</f>
        <v>0</v>
      </c>
      <c r="U86" s="245">
        <f>U53+U85</f>
        <v>220640.39</v>
      </c>
      <c r="V86" s="245"/>
      <c r="W86" s="244">
        <f>W53+W85</f>
        <v>250909.698</v>
      </c>
      <c r="X86" s="222">
        <f>X53+X85</f>
        <v>4137144.6430000002</v>
      </c>
    </row>
    <row r="87" spans="1:24" ht="24.95" hidden="1" customHeight="1" thickTop="1" x14ac:dyDescent="0.25">
      <c r="A87" s="21"/>
      <c r="B87" s="502" t="s">
        <v>165</v>
      </c>
      <c r="C87" s="23" t="s">
        <v>18</v>
      </c>
      <c r="D87" s="24">
        <f t="shared" ref="D87:U87" si="24">D86</f>
        <v>0</v>
      </c>
      <c r="E87" s="24">
        <f t="shared" si="24"/>
        <v>0</v>
      </c>
      <c r="F87" s="24">
        <f t="shared" si="24"/>
        <v>16585.308000000001</v>
      </c>
      <c r="G87" s="24">
        <f t="shared" si="24"/>
        <v>1860</v>
      </c>
      <c r="H87" s="24">
        <f t="shared" si="24"/>
        <v>10274</v>
      </c>
      <c r="I87" s="24">
        <f t="shared" si="24"/>
        <v>0</v>
      </c>
      <c r="J87" s="24">
        <f t="shared" si="24"/>
        <v>0</v>
      </c>
      <c r="K87" s="24">
        <f t="shared" si="24"/>
        <v>0</v>
      </c>
      <c r="L87" s="24">
        <f t="shared" si="24"/>
        <v>50</v>
      </c>
      <c r="M87" s="24">
        <f t="shared" si="24"/>
        <v>1500</v>
      </c>
      <c r="N87" s="24">
        <f t="shared" si="24"/>
        <v>0</v>
      </c>
      <c r="O87" s="24">
        <f t="shared" si="24"/>
        <v>30269.308000000001</v>
      </c>
      <c r="P87" s="24"/>
      <c r="Q87" s="24">
        <f t="shared" si="24"/>
        <v>0</v>
      </c>
      <c r="R87" s="24">
        <f t="shared" si="24"/>
        <v>220640.39</v>
      </c>
      <c r="S87" s="24">
        <f t="shared" si="24"/>
        <v>0</v>
      </c>
      <c r="T87" s="24">
        <f t="shared" si="24"/>
        <v>0</v>
      </c>
      <c r="U87" s="24">
        <f t="shared" si="24"/>
        <v>220640.39</v>
      </c>
      <c r="V87" s="24"/>
      <c r="W87" s="230">
        <f t="shared" ref="W87:W92" si="25">O87+U87</f>
        <v>250909.698</v>
      </c>
      <c r="X87" s="236">
        <f>X86</f>
        <v>4137144.6430000002</v>
      </c>
    </row>
    <row r="88" spans="1:24" ht="30.75" hidden="1" customHeight="1" x14ac:dyDescent="0.2">
      <c r="A88" s="39">
        <v>1</v>
      </c>
      <c r="B88" s="517"/>
      <c r="C88" s="40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>
        <f>SUM(D88:N88)</f>
        <v>0</v>
      </c>
      <c r="P88" s="71"/>
      <c r="Q88" s="71"/>
      <c r="R88" s="71"/>
      <c r="S88" s="71"/>
      <c r="T88" s="71"/>
      <c r="U88" s="71">
        <f>SUM(Q88:T88)</f>
        <v>0</v>
      </c>
      <c r="V88" s="72"/>
      <c r="W88" s="246">
        <f t="shared" si="25"/>
        <v>0</v>
      </c>
      <c r="X88" s="316"/>
    </row>
    <row r="89" spans="1:24" ht="30.75" hidden="1" customHeight="1" x14ac:dyDescent="0.2">
      <c r="A89" s="168">
        <v>2</v>
      </c>
      <c r="B89" s="517"/>
      <c r="C89" s="40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>
        <f>SUM(D89:N89)</f>
        <v>0</v>
      </c>
      <c r="P89" s="71"/>
      <c r="Q89" s="71"/>
      <c r="R89" s="71"/>
      <c r="S89" s="71"/>
      <c r="T89" s="71"/>
      <c r="U89" s="71">
        <f>SUM(Q89:T89)</f>
        <v>0</v>
      </c>
      <c r="V89" s="72"/>
      <c r="W89" s="246">
        <f t="shared" si="25"/>
        <v>0</v>
      </c>
      <c r="X89" s="316"/>
    </row>
    <row r="90" spans="1:24" ht="30.75" hidden="1" customHeight="1" x14ac:dyDescent="0.2">
      <c r="A90" s="39">
        <v>3</v>
      </c>
      <c r="B90" s="518"/>
      <c r="C90" s="4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>
        <f>SUM(D90:N90)</f>
        <v>0</v>
      </c>
      <c r="P90" s="71"/>
      <c r="Q90" s="71"/>
      <c r="R90" s="71"/>
      <c r="S90" s="71"/>
      <c r="T90" s="71"/>
      <c r="U90" s="71">
        <f>SUM(Q90:T90)</f>
        <v>0</v>
      </c>
      <c r="V90" s="72"/>
      <c r="W90" s="246">
        <f t="shared" si="25"/>
        <v>0</v>
      </c>
      <c r="X90" s="316"/>
    </row>
    <row r="91" spans="1:24" ht="30.75" hidden="1" customHeight="1" x14ac:dyDescent="0.2">
      <c r="A91" s="168">
        <v>4</v>
      </c>
      <c r="B91" s="518"/>
      <c r="C91" s="40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>
        <f>SUM(D91:N91)</f>
        <v>0</v>
      </c>
      <c r="P91" s="71"/>
      <c r="Q91" s="71"/>
      <c r="R91" s="71"/>
      <c r="S91" s="71"/>
      <c r="T91" s="71"/>
      <c r="U91" s="71">
        <f>SUM(Q91:T91)</f>
        <v>0</v>
      </c>
      <c r="V91" s="72"/>
      <c r="W91" s="246">
        <f t="shared" si="25"/>
        <v>0</v>
      </c>
      <c r="X91" s="316"/>
    </row>
    <row r="92" spans="1:24" ht="30.75" hidden="1" customHeight="1" x14ac:dyDescent="0.2">
      <c r="A92" s="39">
        <v>5</v>
      </c>
      <c r="B92" s="518"/>
      <c r="C92" s="40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>
        <f>SUM(D92:N92)</f>
        <v>0</v>
      </c>
      <c r="P92" s="71"/>
      <c r="Q92" s="71"/>
      <c r="R92" s="71"/>
      <c r="S92" s="71"/>
      <c r="T92" s="71"/>
      <c r="U92" s="71">
        <f>SUM(Q92:T92)</f>
        <v>0</v>
      </c>
      <c r="V92" s="72"/>
      <c r="W92" s="246">
        <f t="shared" si="25"/>
        <v>0</v>
      </c>
      <c r="X92" s="316"/>
    </row>
    <row r="93" spans="1:24" ht="30.75" hidden="1" customHeight="1" x14ac:dyDescent="0.2">
      <c r="A93" s="39"/>
      <c r="B93" s="518"/>
      <c r="C93" s="40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2"/>
      <c r="W93" s="246"/>
      <c r="X93" s="316"/>
    </row>
    <row r="94" spans="1:24" ht="30.75" hidden="1" customHeight="1" x14ac:dyDescent="0.2">
      <c r="A94" s="39"/>
      <c r="B94" s="518"/>
      <c r="C94" s="40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2"/>
      <c r="W94" s="246"/>
      <c r="X94" s="316"/>
    </row>
    <row r="95" spans="1:24" ht="24.95" hidden="1" customHeight="1" x14ac:dyDescent="0.2">
      <c r="A95" s="39"/>
      <c r="B95" s="31"/>
      <c r="C95" s="40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2"/>
      <c r="W95" s="246">
        <f>SUM(D95:V95)</f>
        <v>0</v>
      </c>
      <c r="X95" s="316"/>
    </row>
    <row r="96" spans="1:24" ht="24.95" hidden="1" customHeight="1" x14ac:dyDescent="0.2">
      <c r="A96" s="199" t="s">
        <v>77</v>
      </c>
      <c r="B96" s="195"/>
      <c r="C96" s="200" t="s">
        <v>75</v>
      </c>
      <c r="D96" s="157">
        <f t="shared" ref="D96:X96" si="26">SUM(D88:D95)</f>
        <v>0</v>
      </c>
      <c r="E96" s="157">
        <f t="shared" si="26"/>
        <v>0</v>
      </c>
      <c r="F96" s="157">
        <f t="shared" si="26"/>
        <v>0</v>
      </c>
      <c r="G96" s="157">
        <f t="shared" si="26"/>
        <v>0</v>
      </c>
      <c r="H96" s="157">
        <f t="shared" si="26"/>
        <v>0</v>
      </c>
      <c r="I96" s="157">
        <f t="shared" si="26"/>
        <v>0</v>
      </c>
      <c r="J96" s="157">
        <f t="shared" si="26"/>
        <v>0</v>
      </c>
      <c r="K96" s="157">
        <f t="shared" si="26"/>
        <v>0</v>
      </c>
      <c r="L96" s="157">
        <f t="shared" si="26"/>
        <v>0</v>
      </c>
      <c r="M96" s="157">
        <f t="shared" si="26"/>
        <v>0</v>
      </c>
      <c r="N96" s="157">
        <f t="shared" si="26"/>
        <v>0</v>
      </c>
      <c r="O96" s="157">
        <f t="shared" si="26"/>
        <v>0</v>
      </c>
      <c r="P96" s="157"/>
      <c r="Q96" s="157">
        <f t="shared" si="26"/>
        <v>0</v>
      </c>
      <c r="R96" s="157">
        <f t="shared" si="26"/>
        <v>0</v>
      </c>
      <c r="S96" s="157">
        <f t="shared" si="26"/>
        <v>0</v>
      </c>
      <c r="T96" s="157">
        <f t="shared" si="26"/>
        <v>0</v>
      </c>
      <c r="U96" s="157">
        <f t="shared" si="26"/>
        <v>0</v>
      </c>
      <c r="V96" s="157"/>
      <c r="W96" s="239">
        <f t="shared" si="26"/>
        <v>0</v>
      </c>
      <c r="X96" s="320">
        <f t="shared" si="26"/>
        <v>0</v>
      </c>
    </row>
    <row r="97" spans="1:24" ht="15.75" hidden="1" customHeight="1" x14ac:dyDescent="0.2">
      <c r="A97" s="39"/>
      <c r="B97" s="30"/>
      <c r="C97" s="40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2"/>
      <c r="W97" s="246"/>
      <c r="X97" s="316"/>
    </row>
    <row r="98" spans="1:24" ht="30.75" hidden="1" customHeight="1" x14ac:dyDescent="0.2">
      <c r="A98" s="39" t="s">
        <v>99</v>
      </c>
      <c r="B98" s="518"/>
      <c r="C98" s="40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>
        <f>SUM(D98:N98)</f>
        <v>0</v>
      </c>
      <c r="P98" s="142"/>
      <c r="Q98" s="142"/>
      <c r="R98" s="142"/>
      <c r="S98" s="142"/>
      <c r="T98" s="142"/>
      <c r="U98" s="142">
        <f>SUM(Q98:T98)</f>
        <v>0</v>
      </c>
      <c r="V98" s="148"/>
      <c r="W98" s="516">
        <f>O98+U98</f>
        <v>0</v>
      </c>
      <c r="X98" s="316"/>
    </row>
    <row r="99" spans="1:24" ht="30.75" hidden="1" customHeight="1" x14ac:dyDescent="0.2">
      <c r="A99" s="39" t="s">
        <v>99</v>
      </c>
      <c r="B99" s="518"/>
      <c r="C99" s="40"/>
      <c r="D99" s="142"/>
      <c r="E99" s="142"/>
      <c r="F99" s="142"/>
      <c r="G99" s="142"/>
      <c r="H99" s="142"/>
      <c r="I99" s="142"/>
      <c r="J99" s="142"/>
      <c r="K99" s="142"/>
      <c r="L99" s="156"/>
      <c r="M99" s="142"/>
      <c r="N99" s="142"/>
      <c r="O99" s="142">
        <f>SUM(D99:N99)</f>
        <v>0</v>
      </c>
      <c r="P99" s="142"/>
      <c r="Q99" s="142"/>
      <c r="R99" s="142"/>
      <c r="S99" s="142"/>
      <c r="T99" s="142"/>
      <c r="U99" s="142">
        <f>SUM(Q99:T99)</f>
        <v>0</v>
      </c>
      <c r="V99" s="148"/>
      <c r="W99" s="516">
        <f>O99+U99</f>
        <v>0</v>
      </c>
      <c r="X99" s="316"/>
    </row>
    <row r="100" spans="1:24" ht="30.75" hidden="1" customHeight="1" x14ac:dyDescent="0.2">
      <c r="A100" s="39" t="s">
        <v>99</v>
      </c>
      <c r="B100" s="518"/>
      <c r="C100" s="40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56"/>
      <c r="O100" s="142">
        <f>SUM(D100:N100)</f>
        <v>0</v>
      </c>
      <c r="P100" s="142"/>
      <c r="Q100" s="142"/>
      <c r="R100" s="142"/>
      <c r="S100" s="142"/>
      <c r="T100" s="142"/>
      <c r="U100" s="142">
        <f>SUM(Q100:T100)</f>
        <v>0</v>
      </c>
      <c r="V100" s="148"/>
      <c r="W100" s="516">
        <f>O100+U100</f>
        <v>0</v>
      </c>
      <c r="X100" s="316"/>
    </row>
    <row r="101" spans="1:24" ht="24.95" hidden="1" customHeight="1" x14ac:dyDescent="0.2">
      <c r="A101" s="39" t="s">
        <v>99</v>
      </c>
      <c r="B101" s="216"/>
      <c r="C101" s="40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>
        <f>SUM(D101:N101)</f>
        <v>0</v>
      </c>
      <c r="P101" s="142"/>
      <c r="Q101" s="142"/>
      <c r="R101" s="142"/>
      <c r="S101" s="142"/>
      <c r="T101" s="142"/>
      <c r="U101" s="142">
        <f>SUM(Q101:T101)</f>
        <v>0</v>
      </c>
      <c r="V101" s="148"/>
      <c r="W101" s="516">
        <f>O101+U101</f>
        <v>0</v>
      </c>
      <c r="X101" s="316"/>
    </row>
    <row r="102" spans="1:24" ht="24.95" hidden="1" customHeight="1" x14ac:dyDescent="0.2">
      <c r="A102" s="39" t="s">
        <v>99</v>
      </c>
      <c r="B102" s="216"/>
      <c r="C102" s="40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>
        <f>SUM(D102:N102)</f>
        <v>0</v>
      </c>
      <c r="P102" s="142"/>
      <c r="Q102" s="142"/>
      <c r="R102" s="142"/>
      <c r="S102" s="142"/>
      <c r="T102" s="142"/>
      <c r="U102" s="142">
        <f>SUM(Q102:T102)</f>
        <v>0</v>
      </c>
      <c r="V102" s="148"/>
      <c r="W102" s="516">
        <f>O102+U102</f>
        <v>0</v>
      </c>
      <c r="X102" s="316"/>
    </row>
    <row r="103" spans="1:24" ht="24.95" hidden="1" customHeight="1" x14ac:dyDescent="0.2">
      <c r="A103" s="39"/>
      <c r="B103" s="216"/>
      <c r="C103" s="40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8"/>
      <c r="W103" s="516"/>
      <c r="X103" s="316"/>
    </row>
    <row r="104" spans="1:24" ht="24.95" hidden="1" customHeight="1" x14ac:dyDescent="0.2">
      <c r="A104" s="39"/>
      <c r="B104" s="30"/>
      <c r="C104" s="4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2"/>
      <c r="W104" s="246"/>
      <c r="X104" s="316"/>
    </row>
    <row r="105" spans="1:24" ht="24.95" hidden="1" customHeight="1" x14ac:dyDescent="0.2">
      <c r="A105" s="199" t="s">
        <v>78</v>
      </c>
      <c r="B105" s="195"/>
      <c r="C105" s="200" t="s">
        <v>76</v>
      </c>
      <c r="D105" s="157">
        <f t="shared" ref="D105:X105" si="27">SUM(D98:D104)</f>
        <v>0</v>
      </c>
      <c r="E105" s="157">
        <f t="shared" si="27"/>
        <v>0</v>
      </c>
      <c r="F105" s="157">
        <f t="shared" si="27"/>
        <v>0</v>
      </c>
      <c r="G105" s="157">
        <f t="shared" si="27"/>
        <v>0</v>
      </c>
      <c r="H105" s="157">
        <f t="shared" si="27"/>
        <v>0</v>
      </c>
      <c r="I105" s="157">
        <f t="shared" si="27"/>
        <v>0</v>
      </c>
      <c r="J105" s="157">
        <f t="shared" si="27"/>
        <v>0</v>
      </c>
      <c r="K105" s="157">
        <f t="shared" si="27"/>
        <v>0</v>
      </c>
      <c r="L105" s="157">
        <f t="shared" si="27"/>
        <v>0</v>
      </c>
      <c r="M105" s="157">
        <f t="shared" si="27"/>
        <v>0</v>
      </c>
      <c r="N105" s="157">
        <f t="shared" si="27"/>
        <v>0</v>
      </c>
      <c r="O105" s="157">
        <f t="shared" si="27"/>
        <v>0</v>
      </c>
      <c r="P105" s="157"/>
      <c r="Q105" s="157">
        <f t="shared" si="27"/>
        <v>0</v>
      </c>
      <c r="R105" s="157">
        <f t="shared" si="27"/>
        <v>0</v>
      </c>
      <c r="S105" s="157">
        <f t="shared" si="27"/>
        <v>0</v>
      </c>
      <c r="T105" s="157">
        <f t="shared" si="27"/>
        <v>0</v>
      </c>
      <c r="U105" s="157">
        <f t="shared" si="27"/>
        <v>0</v>
      </c>
      <c r="V105" s="157"/>
      <c r="W105" s="251">
        <f t="shared" si="27"/>
        <v>0</v>
      </c>
      <c r="X105" s="251">
        <f t="shared" si="27"/>
        <v>0</v>
      </c>
    </row>
    <row r="106" spans="1:24" ht="12" hidden="1" customHeight="1" x14ac:dyDescent="0.2">
      <c r="A106" s="39"/>
      <c r="B106" s="30"/>
      <c r="C106" s="40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2"/>
      <c r="W106" s="246">
        <f>SUM(D106:V106)</f>
        <v>0</v>
      </c>
      <c r="X106" s="316"/>
    </row>
    <row r="107" spans="1:24" ht="24.95" hidden="1" customHeight="1" thickBot="1" x14ac:dyDescent="0.25">
      <c r="A107" s="39"/>
      <c r="B107" s="31"/>
      <c r="C107" s="33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2"/>
      <c r="W107" s="246"/>
      <c r="X107" s="316"/>
    </row>
    <row r="108" spans="1:24" ht="24.95" hidden="1" customHeight="1" thickTop="1" thickBot="1" x14ac:dyDescent="0.25">
      <c r="A108" s="41"/>
      <c r="B108" s="106" t="s">
        <v>165</v>
      </c>
      <c r="C108" s="43" t="s">
        <v>79</v>
      </c>
      <c r="D108" s="193">
        <f>D96+D105</f>
        <v>0</v>
      </c>
      <c r="E108" s="193">
        <f t="shared" ref="E108:U108" si="28">E96+E105</f>
        <v>0</v>
      </c>
      <c r="F108" s="193">
        <f t="shared" si="28"/>
        <v>0</v>
      </c>
      <c r="G108" s="193">
        <f t="shared" si="28"/>
        <v>0</v>
      </c>
      <c r="H108" s="193">
        <f t="shared" si="28"/>
        <v>0</v>
      </c>
      <c r="I108" s="193">
        <f t="shared" si="28"/>
        <v>0</v>
      </c>
      <c r="J108" s="193">
        <f t="shared" si="28"/>
        <v>0</v>
      </c>
      <c r="K108" s="193">
        <f t="shared" si="28"/>
        <v>0</v>
      </c>
      <c r="L108" s="193">
        <f>L96+L105</f>
        <v>0</v>
      </c>
      <c r="M108" s="193">
        <f t="shared" si="28"/>
        <v>0</v>
      </c>
      <c r="N108" s="193">
        <f t="shared" si="28"/>
        <v>0</v>
      </c>
      <c r="O108" s="193">
        <f t="shared" si="28"/>
        <v>0</v>
      </c>
      <c r="P108" s="193"/>
      <c r="Q108" s="193">
        <f>Q96+Q105</f>
        <v>0</v>
      </c>
      <c r="R108" s="193">
        <f t="shared" si="28"/>
        <v>0</v>
      </c>
      <c r="S108" s="193">
        <f t="shared" si="28"/>
        <v>0</v>
      </c>
      <c r="T108" s="193">
        <f t="shared" si="28"/>
        <v>0</v>
      </c>
      <c r="U108" s="193">
        <f t="shared" si="28"/>
        <v>0</v>
      </c>
      <c r="V108" s="193"/>
      <c r="W108" s="244">
        <f>W96+W105</f>
        <v>0</v>
      </c>
      <c r="X108" s="162">
        <f>X96+X105</f>
        <v>0</v>
      </c>
    </row>
    <row r="109" spans="1:24" ht="30" hidden="1" customHeight="1" thickTop="1" thickBot="1" x14ac:dyDescent="0.25">
      <c r="A109" s="41"/>
      <c r="B109" s="501" t="s">
        <v>172</v>
      </c>
      <c r="C109" s="43" t="s">
        <v>136</v>
      </c>
      <c r="D109" s="245">
        <f t="shared" ref="D109:O109" si="29">D53+D85+D108</f>
        <v>0</v>
      </c>
      <c r="E109" s="245">
        <f t="shared" si="29"/>
        <v>0</v>
      </c>
      <c r="F109" s="245">
        <f t="shared" si="29"/>
        <v>16585.308000000001</v>
      </c>
      <c r="G109" s="245">
        <f t="shared" si="29"/>
        <v>1860</v>
      </c>
      <c r="H109" s="245">
        <f t="shared" si="29"/>
        <v>10274</v>
      </c>
      <c r="I109" s="245">
        <f t="shared" si="29"/>
        <v>0</v>
      </c>
      <c r="J109" s="245">
        <f t="shared" si="29"/>
        <v>0</v>
      </c>
      <c r="K109" s="245">
        <f t="shared" si="29"/>
        <v>0</v>
      </c>
      <c r="L109" s="245">
        <f t="shared" si="29"/>
        <v>50</v>
      </c>
      <c r="M109" s="245">
        <f t="shared" si="29"/>
        <v>1500</v>
      </c>
      <c r="N109" s="245">
        <f t="shared" si="29"/>
        <v>0</v>
      </c>
      <c r="O109" s="245">
        <f t="shared" si="29"/>
        <v>30269.308000000001</v>
      </c>
      <c r="P109" s="245"/>
      <c r="Q109" s="245">
        <f>Q53+Q85+Q108</f>
        <v>0</v>
      </c>
      <c r="R109" s="245">
        <f>R53+R85+R108</f>
        <v>220640.39</v>
      </c>
      <c r="S109" s="245">
        <f>S53+S85+S108</f>
        <v>0</v>
      </c>
      <c r="T109" s="245">
        <f>T53+T85+T108</f>
        <v>0</v>
      </c>
      <c r="U109" s="245">
        <f>U53+U85+U108</f>
        <v>220640.39</v>
      </c>
      <c r="V109" s="245"/>
      <c r="W109" s="244">
        <f>W53+W85+W108</f>
        <v>250909.698</v>
      </c>
      <c r="X109" s="222">
        <f>X53+X85+X108</f>
        <v>4137144.6430000002</v>
      </c>
    </row>
    <row r="110" spans="1:24" ht="24.95" hidden="1" customHeight="1" thickTop="1" x14ac:dyDescent="0.2">
      <c r="A110" s="170"/>
      <c r="B110" s="547" t="s">
        <v>170</v>
      </c>
      <c r="C110" s="23" t="s">
        <v>18</v>
      </c>
      <c r="D110" s="24">
        <f t="shared" ref="D110:U110" si="30">D109</f>
        <v>0</v>
      </c>
      <c r="E110" s="24">
        <f t="shared" si="30"/>
        <v>0</v>
      </c>
      <c r="F110" s="24">
        <f t="shared" si="30"/>
        <v>16585.308000000001</v>
      </c>
      <c r="G110" s="24">
        <f t="shared" si="30"/>
        <v>1860</v>
      </c>
      <c r="H110" s="24">
        <f t="shared" si="30"/>
        <v>10274</v>
      </c>
      <c r="I110" s="24">
        <f t="shared" si="30"/>
        <v>0</v>
      </c>
      <c r="J110" s="24">
        <f t="shared" si="30"/>
        <v>0</v>
      </c>
      <c r="K110" s="24">
        <f t="shared" si="30"/>
        <v>0</v>
      </c>
      <c r="L110" s="24">
        <f t="shared" si="30"/>
        <v>50</v>
      </c>
      <c r="M110" s="24">
        <f t="shared" si="30"/>
        <v>1500</v>
      </c>
      <c r="N110" s="24">
        <f t="shared" si="30"/>
        <v>0</v>
      </c>
      <c r="O110" s="24">
        <f t="shared" si="30"/>
        <v>30269.308000000001</v>
      </c>
      <c r="P110" s="24"/>
      <c r="Q110" s="24">
        <f>Q109</f>
        <v>0</v>
      </c>
      <c r="R110" s="24">
        <f>R109</f>
        <v>220640.39</v>
      </c>
      <c r="S110" s="24">
        <f t="shared" si="30"/>
        <v>0</v>
      </c>
      <c r="T110" s="24">
        <f t="shared" si="30"/>
        <v>0</v>
      </c>
      <c r="U110" s="24">
        <f t="shared" si="30"/>
        <v>220640.39</v>
      </c>
      <c r="V110" s="24"/>
      <c r="W110" s="230">
        <f t="shared" ref="W110:W115" si="31">O110+U110</f>
        <v>250909.698</v>
      </c>
      <c r="X110" s="236">
        <f>X109</f>
        <v>4137144.6430000002</v>
      </c>
    </row>
    <row r="111" spans="1:24" ht="30.75" hidden="1" customHeight="1" x14ac:dyDescent="0.2">
      <c r="A111" s="39">
        <v>1</v>
      </c>
      <c r="B111" s="321"/>
      <c r="C111" s="2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>
        <f>SUM(D111:N111)</f>
        <v>0</v>
      </c>
      <c r="P111" s="157"/>
      <c r="Q111" s="157"/>
      <c r="R111" s="157"/>
      <c r="S111" s="157"/>
      <c r="T111" s="157"/>
      <c r="U111" s="157">
        <f>SUM(Q111:T111)</f>
        <v>0</v>
      </c>
      <c r="V111" s="158"/>
      <c r="W111" s="159">
        <f t="shared" si="31"/>
        <v>0</v>
      </c>
      <c r="X111" s="436"/>
    </row>
    <row r="112" spans="1:24" ht="30.75" hidden="1" customHeight="1" x14ac:dyDescent="0.2">
      <c r="A112" s="168"/>
      <c r="B112" s="217"/>
      <c r="C112" s="2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>
        <f>SUM(D112:N112)</f>
        <v>0</v>
      </c>
      <c r="P112" s="157"/>
      <c r="Q112" s="157"/>
      <c r="R112" s="157"/>
      <c r="S112" s="157"/>
      <c r="T112" s="157"/>
      <c r="U112" s="157">
        <f>SUM(Q112:T112)</f>
        <v>0</v>
      </c>
      <c r="V112" s="158"/>
      <c r="W112" s="159">
        <f t="shared" si="31"/>
        <v>0</v>
      </c>
      <c r="X112" s="370"/>
    </row>
    <row r="113" spans="1:24" ht="30.75" hidden="1" customHeight="1" x14ac:dyDescent="0.2">
      <c r="A113" s="168"/>
      <c r="B113" s="217"/>
      <c r="C113" s="2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>
        <f>SUM(D113:N113)</f>
        <v>0</v>
      </c>
      <c r="P113" s="157"/>
      <c r="Q113" s="157"/>
      <c r="R113" s="157"/>
      <c r="S113" s="157"/>
      <c r="T113" s="157"/>
      <c r="U113" s="157">
        <f>SUM(Q113:T113)</f>
        <v>0</v>
      </c>
      <c r="V113" s="158"/>
      <c r="W113" s="159">
        <f t="shared" si="31"/>
        <v>0</v>
      </c>
      <c r="X113" s="370"/>
    </row>
    <row r="114" spans="1:24" ht="24.95" hidden="1" customHeight="1" x14ac:dyDescent="0.2">
      <c r="A114" s="39"/>
      <c r="B114" s="29"/>
      <c r="C114" s="2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>
        <f>SUM(D114:N114)</f>
        <v>0</v>
      </c>
      <c r="P114" s="157"/>
      <c r="Q114" s="157"/>
      <c r="R114" s="157"/>
      <c r="S114" s="157"/>
      <c r="T114" s="157"/>
      <c r="U114" s="157">
        <f>SUM(Q114:T114)</f>
        <v>0</v>
      </c>
      <c r="V114" s="158"/>
      <c r="W114" s="159">
        <f t="shared" si="31"/>
        <v>0</v>
      </c>
      <c r="X114" s="370"/>
    </row>
    <row r="115" spans="1:24" ht="24.95" hidden="1" customHeight="1" x14ac:dyDescent="0.2">
      <c r="A115" s="39"/>
      <c r="B115" s="30"/>
      <c r="C115" s="40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>
        <f>SUM(D115:N115)</f>
        <v>0</v>
      </c>
      <c r="P115" s="157"/>
      <c r="Q115" s="157"/>
      <c r="R115" s="157"/>
      <c r="S115" s="157"/>
      <c r="T115" s="157"/>
      <c r="U115" s="157">
        <f>SUM(Q115:T115)</f>
        <v>0</v>
      </c>
      <c r="V115" s="158"/>
      <c r="W115" s="159">
        <f t="shared" si="31"/>
        <v>0</v>
      </c>
      <c r="X115" s="370"/>
    </row>
    <row r="116" spans="1:24" ht="24.95" hidden="1" customHeight="1" x14ac:dyDescent="0.2">
      <c r="A116" s="39"/>
      <c r="B116" s="30"/>
      <c r="C116" s="40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8"/>
      <c r="W116" s="159"/>
      <c r="X116" s="370"/>
    </row>
    <row r="117" spans="1:24" ht="9.9499999999999993" hidden="1" customHeight="1" x14ac:dyDescent="0.2">
      <c r="A117" s="39"/>
      <c r="B117" s="112"/>
      <c r="C117" s="40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8"/>
      <c r="W117" s="159"/>
      <c r="X117" s="238"/>
    </row>
    <row r="118" spans="1:24" ht="24.95" hidden="1" customHeight="1" x14ac:dyDescent="0.2">
      <c r="A118" s="199" t="s">
        <v>77</v>
      </c>
      <c r="B118" s="195"/>
      <c r="C118" s="200" t="s">
        <v>75</v>
      </c>
      <c r="D118" s="157">
        <f t="shared" ref="D118:X118" si="32">SUM(D111:D117)</f>
        <v>0</v>
      </c>
      <c r="E118" s="157">
        <f t="shared" si="32"/>
        <v>0</v>
      </c>
      <c r="F118" s="157">
        <f t="shared" si="32"/>
        <v>0</v>
      </c>
      <c r="G118" s="157">
        <f t="shared" si="32"/>
        <v>0</v>
      </c>
      <c r="H118" s="157">
        <f t="shared" si="32"/>
        <v>0</v>
      </c>
      <c r="I118" s="157">
        <f t="shared" si="32"/>
        <v>0</v>
      </c>
      <c r="J118" s="157">
        <f t="shared" si="32"/>
        <v>0</v>
      </c>
      <c r="K118" s="157">
        <f t="shared" si="32"/>
        <v>0</v>
      </c>
      <c r="L118" s="157">
        <f t="shared" si="32"/>
        <v>0</v>
      </c>
      <c r="M118" s="157">
        <f t="shared" si="32"/>
        <v>0</v>
      </c>
      <c r="N118" s="157">
        <f t="shared" si="32"/>
        <v>0</v>
      </c>
      <c r="O118" s="157">
        <f t="shared" si="32"/>
        <v>0</v>
      </c>
      <c r="P118" s="157"/>
      <c r="Q118" s="157">
        <f t="shared" si="32"/>
        <v>0</v>
      </c>
      <c r="R118" s="157">
        <f t="shared" si="32"/>
        <v>0</v>
      </c>
      <c r="S118" s="157">
        <f t="shared" si="32"/>
        <v>0</v>
      </c>
      <c r="T118" s="157">
        <f t="shared" si="32"/>
        <v>0</v>
      </c>
      <c r="U118" s="157">
        <f t="shared" si="32"/>
        <v>0</v>
      </c>
      <c r="V118" s="157"/>
      <c r="W118" s="251">
        <f t="shared" si="32"/>
        <v>0</v>
      </c>
      <c r="X118" s="370">
        <f t="shared" si="32"/>
        <v>0</v>
      </c>
    </row>
    <row r="119" spans="1:24" ht="9.9499999999999993" hidden="1" customHeight="1" x14ac:dyDescent="0.2">
      <c r="A119" s="39"/>
      <c r="B119" s="30"/>
      <c r="C119" s="40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9"/>
      <c r="X119" s="238"/>
    </row>
    <row r="120" spans="1:24" ht="30.75" hidden="1" customHeight="1" x14ac:dyDescent="0.2">
      <c r="A120" s="168" t="s">
        <v>99</v>
      </c>
      <c r="B120" s="216"/>
      <c r="C120" s="40"/>
      <c r="D120" s="157"/>
      <c r="E120" s="157"/>
      <c r="F120" s="157"/>
      <c r="G120" s="157"/>
      <c r="H120" s="157"/>
      <c r="I120" s="157"/>
      <c r="J120" s="157"/>
      <c r="K120" s="157"/>
      <c r="M120" s="157"/>
      <c r="N120" s="157"/>
      <c r="O120" s="157">
        <f>SUM(D120:N120)</f>
        <v>0</v>
      </c>
      <c r="P120" s="157"/>
      <c r="Q120" s="157"/>
      <c r="R120" s="157"/>
      <c r="S120" s="157"/>
      <c r="T120" s="157"/>
      <c r="U120" s="157">
        <f>SUM(Q120:T120)</f>
        <v>0</v>
      </c>
      <c r="V120" s="157"/>
      <c r="W120" s="159">
        <f>O120+U120</f>
        <v>0</v>
      </c>
      <c r="X120" s="238"/>
    </row>
    <row r="121" spans="1:24" ht="30.75" hidden="1" customHeight="1" x14ac:dyDescent="0.2">
      <c r="A121" s="168"/>
      <c r="B121" s="216"/>
      <c r="C121" s="40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>
        <f>SUM(D121:N121)</f>
        <v>0</v>
      </c>
      <c r="P121" s="157"/>
      <c r="Q121" s="157"/>
      <c r="R121" s="157"/>
      <c r="S121" s="157"/>
      <c r="T121" s="157"/>
      <c r="U121" s="157">
        <f>SUM(Q121:T121)</f>
        <v>0</v>
      </c>
      <c r="V121" s="157"/>
      <c r="W121" s="159">
        <f>O121+U121</f>
        <v>0</v>
      </c>
      <c r="X121" s="238"/>
    </row>
    <row r="122" spans="1:24" ht="30.75" hidden="1" customHeight="1" x14ac:dyDescent="0.2">
      <c r="A122" s="39"/>
      <c r="B122" s="30"/>
      <c r="C122" s="40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>
        <f>SUM(D122:N122)</f>
        <v>0</v>
      </c>
      <c r="P122" s="157"/>
      <c r="Q122" s="157"/>
      <c r="R122" s="157"/>
      <c r="S122" s="157"/>
      <c r="T122" s="157"/>
      <c r="U122" s="157">
        <f>SUM(Q122:T122)</f>
        <v>0</v>
      </c>
      <c r="V122" s="157"/>
      <c r="W122" s="159">
        <f>O122+U122</f>
        <v>0</v>
      </c>
      <c r="X122" s="238"/>
    </row>
    <row r="123" spans="1:24" ht="24.95" hidden="1" customHeight="1" x14ac:dyDescent="0.2">
      <c r="A123" s="39"/>
      <c r="B123" s="109"/>
      <c r="C123" s="40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>
        <f>SUM(D123:N123)</f>
        <v>0</v>
      </c>
      <c r="P123" s="157"/>
      <c r="Q123" s="157"/>
      <c r="R123" s="157"/>
      <c r="S123" s="157"/>
      <c r="T123" s="157"/>
      <c r="U123" s="157">
        <f>SUM(Q123:T123)</f>
        <v>0</v>
      </c>
      <c r="V123" s="157"/>
      <c r="W123" s="159">
        <f>O123+U123</f>
        <v>0</v>
      </c>
      <c r="X123" s="238"/>
    </row>
    <row r="124" spans="1:24" ht="9.9499999999999993" hidden="1" customHeight="1" x14ac:dyDescent="0.2">
      <c r="A124" s="39"/>
      <c r="B124" s="109"/>
      <c r="C124" s="40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9"/>
      <c r="X124" s="234"/>
    </row>
    <row r="125" spans="1:24" ht="24.95" hidden="1" customHeight="1" x14ac:dyDescent="0.2">
      <c r="A125" s="199" t="s">
        <v>78</v>
      </c>
      <c r="B125" s="195"/>
      <c r="C125" s="200" t="s">
        <v>76</v>
      </c>
      <c r="D125" s="157">
        <f>SUM(D120:D124)</f>
        <v>0</v>
      </c>
      <c r="E125" s="157">
        <f t="shared" ref="E125:K125" si="33">SUM(E120:E124)</f>
        <v>0</v>
      </c>
      <c r="F125" s="157">
        <f t="shared" si="33"/>
        <v>0</v>
      </c>
      <c r="G125" s="157">
        <f t="shared" si="33"/>
        <v>0</v>
      </c>
      <c r="H125" s="157">
        <f t="shared" si="33"/>
        <v>0</v>
      </c>
      <c r="I125" s="157">
        <f t="shared" si="33"/>
        <v>0</v>
      </c>
      <c r="J125" s="157">
        <f t="shared" si="33"/>
        <v>0</v>
      </c>
      <c r="K125" s="157">
        <f t="shared" si="33"/>
        <v>0</v>
      </c>
      <c r="L125" s="157">
        <f>SUM(L120:L124)</f>
        <v>0</v>
      </c>
      <c r="M125" s="157">
        <f t="shared" ref="M125:X125" si="34">SUM(M120:M124)</f>
        <v>0</v>
      </c>
      <c r="N125" s="157">
        <f>SUM(N120:N124)</f>
        <v>0</v>
      </c>
      <c r="O125" s="157">
        <f t="shared" si="34"/>
        <v>0</v>
      </c>
      <c r="P125" s="157"/>
      <c r="Q125" s="157">
        <f>SUM(Q120:Q124)</f>
        <v>0</v>
      </c>
      <c r="R125" s="157">
        <f>SUM(R120:R124)</f>
        <v>0</v>
      </c>
      <c r="S125" s="157">
        <f t="shared" si="34"/>
        <v>0</v>
      </c>
      <c r="T125" s="157">
        <f t="shared" si="34"/>
        <v>0</v>
      </c>
      <c r="U125" s="157">
        <f t="shared" si="34"/>
        <v>0</v>
      </c>
      <c r="V125" s="157"/>
      <c r="W125" s="251">
        <f t="shared" si="34"/>
        <v>0</v>
      </c>
      <c r="X125" s="251">
        <f t="shared" si="34"/>
        <v>0</v>
      </c>
    </row>
    <row r="126" spans="1:24" ht="24.95" hidden="1" customHeight="1" x14ac:dyDescent="0.2">
      <c r="A126" s="39"/>
      <c r="B126" s="30"/>
      <c r="C126" s="40"/>
      <c r="D126" s="157"/>
      <c r="E126" s="157"/>
      <c r="F126" s="157"/>
      <c r="G126" s="157"/>
      <c r="H126" s="157"/>
      <c r="I126" s="157"/>
      <c r="J126" s="157"/>
      <c r="K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9"/>
      <c r="X126" s="238"/>
    </row>
    <row r="127" spans="1:24" ht="24.95" hidden="1" customHeight="1" thickBot="1" x14ac:dyDescent="0.25">
      <c r="A127" s="39"/>
      <c r="B127" s="31"/>
      <c r="C127" s="33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9"/>
      <c r="X127" s="238"/>
    </row>
    <row r="128" spans="1:24" ht="24.95" hidden="1" customHeight="1" thickTop="1" thickBot="1" x14ac:dyDescent="0.25">
      <c r="A128" s="45"/>
      <c r="B128" s="250" t="s">
        <v>171</v>
      </c>
      <c r="C128" s="43" t="s">
        <v>79</v>
      </c>
      <c r="D128" s="161">
        <f t="shared" ref="D128:X128" si="35">D118+D125</f>
        <v>0</v>
      </c>
      <c r="E128" s="161">
        <f t="shared" si="35"/>
        <v>0</v>
      </c>
      <c r="F128" s="161">
        <f t="shared" si="35"/>
        <v>0</v>
      </c>
      <c r="G128" s="161">
        <f t="shared" si="35"/>
        <v>0</v>
      </c>
      <c r="H128" s="161">
        <f t="shared" si="35"/>
        <v>0</v>
      </c>
      <c r="I128" s="161">
        <f t="shared" si="35"/>
        <v>0</v>
      </c>
      <c r="J128" s="161">
        <f t="shared" si="35"/>
        <v>0</v>
      </c>
      <c r="K128" s="161">
        <f t="shared" si="35"/>
        <v>0</v>
      </c>
      <c r="L128" s="161">
        <f t="shared" si="35"/>
        <v>0</v>
      </c>
      <c r="M128" s="161">
        <f t="shared" si="35"/>
        <v>0</v>
      </c>
      <c r="N128" s="161">
        <f t="shared" si="35"/>
        <v>0</v>
      </c>
      <c r="O128" s="161">
        <f t="shared" si="35"/>
        <v>0</v>
      </c>
      <c r="P128" s="161"/>
      <c r="Q128" s="161">
        <f>Q118+Q125</f>
        <v>0</v>
      </c>
      <c r="R128" s="161">
        <f>R118+R125</f>
        <v>0</v>
      </c>
      <c r="S128" s="161">
        <f t="shared" si="35"/>
        <v>0</v>
      </c>
      <c r="T128" s="161">
        <f t="shared" si="35"/>
        <v>0</v>
      </c>
      <c r="U128" s="161">
        <f t="shared" si="35"/>
        <v>0</v>
      </c>
      <c r="V128" s="161"/>
      <c r="W128" s="162">
        <f t="shared" si="35"/>
        <v>0</v>
      </c>
      <c r="X128" s="162">
        <f t="shared" si="35"/>
        <v>0</v>
      </c>
    </row>
    <row r="129" spans="1:27" ht="24.95" hidden="1" customHeight="1" thickTop="1" thickBot="1" x14ac:dyDescent="0.25">
      <c r="A129" s="41"/>
      <c r="B129" s="42" t="s">
        <v>170</v>
      </c>
      <c r="C129" s="43" t="s">
        <v>136</v>
      </c>
      <c r="D129" s="193">
        <f t="shared" ref="D129:U129" si="36">D110+D128</f>
        <v>0</v>
      </c>
      <c r="E129" s="193">
        <f t="shared" si="36"/>
        <v>0</v>
      </c>
      <c r="F129" s="193">
        <f t="shared" si="36"/>
        <v>16585.308000000001</v>
      </c>
      <c r="G129" s="193">
        <f t="shared" si="36"/>
        <v>1860</v>
      </c>
      <c r="H129" s="193">
        <f t="shared" si="36"/>
        <v>10274</v>
      </c>
      <c r="I129" s="193">
        <f t="shared" si="36"/>
        <v>0</v>
      </c>
      <c r="J129" s="193">
        <f t="shared" si="36"/>
        <v>0</v>
      </c>
      <c r="K129" s="193">
        <f t="shared" si="36"/>
        <v>0</v>
      </c>
      <c r="L129" s="193">
        <f t="shared" si="36"/>
        <v>50</v>
      </c>
      <c r="M129" s="193">
        <f t="shared" si="36"/>
        <v>1500</v>
      </c>
      <c r="N129" s="193">
        <f t="shared" si="36"/>
        <v>0</v>
      </c>
      <c r="O129" s="193">
        <f t="shared" si="36"/>
        <v>30269.308000000001</v>
      </c>
      <c r="P129" s="193"/>
      <c r="Q129" s="193">
        <f t="shared" si="36"/>
        <v>0</v>
      </c>
      <c r="R129" s="193">
        <f t="shared" si="36"/>
        <v>220640.39</v>
      </c>
      <c r="S129" s="193">
        <f t="shared" si="36"/>
        <v>0</v>
      </c>
      <c r="T129" s="193">
        <f t="shared" si="36"/>
        <v>0</v>
      </c>
      <c r="U129" s="193">
        <f t="shared" si="36"/>
        <v>220640.39</v>
      </c>
      <c r="V129" s="193"/>
      <c r="W129" s="162">
        <f>O129+U129</f>
        <v>250909.698</v>
      </c>
      <c r="X129" s="162">
        <f>X109+X128</f>
        <v>4137144.6430000002</v>
      </c>
      <c r="Y129" s="28"/>
      <c r="Z129" s="28"/>
      <c r="AA129" s="28"/>
    </row>
    <row r="130" spans="1:27" ht="24.95" hidden="1" customHeight="1" thickTop="1" x14ac:dyDescent="0.2">
      <c r="A130" s="170"/>
      <c r="B130" s="547" t="s">
        <v>174</v>
      </c>
      <c r="C130" s="23" t="s">
        <v>18</v>
      </c>
      <c r="D130" s="24">
        <f t="shared" ref="D130:O130" si="37">D129</f>
        <v>0</v>
      </c>
      <c r="E130" s="24">
        <f t="shared" si="37"/>
        <v>0</v>
      </c>
      <c r="F130" s="24">
        <f t="shared" si="37"/>
        <v>16585.308000000001</v>
      </c>
      <c r="G130" s="24">
        <f t="shared" si="37"/>
        <v>1860</v>
      </c>
      <c r="H130" s="24">
        <f t="shared" si="37"/>
        <v>10274</v>
      </c>
      <c r="I130" s="24">
        <f t="shared" si="37"/>
        <v>0</v>
      </c>
      <c r="J130" s="24">
        <f t="shared" si="37"/>
        <v>0</v>
      </c>
      <c r="K130" s="24">
        <f t="shared" si="37"/>
        <v>0</v>
      </c>
      <c r="L130" s="24">
        <f t="shared" si="37"/>
        <v>50</v>
      </c>
      <c r="M130" s="24">
        <f t="shared" si="37"/>
        <v>1500</v>
      </c>
      <c r="N130" s="24">
        <f t="shared" si="37"/>
        <v>0</v>
      </c>
      <c r="O130" s="24">
        <f t="shared" si="37"/>
        <v>30269.308000000001</v>
      </c>
      <c r="P130" s="24"/>
      <c r="Q130" s="24">
        <f>Q129</f>
        <v>0</v>
      </c>
      <c r="R130" s="24">
        <f>R129</f>
        <v>220640.39</v>
      </c>
      <c r="S130" s="24">
        <f>S129</f>
        <v>0</v>
      </c>
      <c r="T130" s="24">
        <f>T129</f>
        <v>0</v>
      </c>
      <c r="U130" s="24">
        <f>U129</f>
        <v>220640.39</v>
      </c>
      <c r="V130" s="24"/>
      <c r="W130" s="230">
        <f>O130+U130</f>
        <v>250909.698</v>
      </c>
      <c r="X130" s="236">
        <f>X129</f>
        <v>4137144.6430000002</v>
      </c>
      <c r="Y130" s="28"/>
      <c r="Z130" s="28"/>
      <c r="AA130" s="28"/>
    </row>
    <row r="131" spans="1:27" ht="24.95" hidden="1" customHeight="1" x14ac:dyDescent="0.2">
      <c r="A131" s="196"/>
      <c r="B131" s="579"/>
      <c r="C131" s="491"/>
      <c r="D131" s="309"/>
      <c r="E131" s="309"/>
      <c r="F131" s="309"/>
      <c r="G131" s="309"/>
      <c r="H131" s="309"/>
      <c r="I131" s="309"/>
      <c r="J131" s="309"/>
      <c r="K131" s="309"/>
      <c r="L131" s="309"/>
      <c r="M131" s="309"/>
      <c r="N131" s="309"/>
      <c r="O131" s="309"/>
      <c r="P131" s="309"/>
      <c r="Q131" s="309"/>
      <c r="R131" s="309"/>
      <c r="S131" s="309"/>
      <c r="T131" s="309"/>
      <c r="U131" s="309"/>
      <c r="V131" s="310"/>
      <c r="W131" s="492"/>
      <c r="X131" s="580"/>
      <c r="Y131" s="28"/>
      <c r="Z131" s="28"/>
      <c r="AA131" s="28"/>
    </row>
    <row r="132" spans="1:27" ht="24.95" hidden="1" customHeight="1" x14ac:dyDescent="0.2">
      <c r="A132" s="168">
        <v>1</v>
      </c>
      <c r="B132" s="578"/>
      <c r="C132" s="2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>
        <f>SUM(D132:N132)</f>
        <v>0</v>
      </c>
      <c r="P132" s="157"/>
      <c r="Q132" s="157"/>
      <c r="R132" s="157"/>
      <c r="S132" s="157"/>
      <c r="T132" s="157"/>
      <c r="U132" s="157">
        <f>SUM(Q132:T132)</f>
        <v>0</v>
      </c>
      <c r="V132" s="158"/>
      <c r="W132" s="159">
        <f t="shared" ref="W132:W137" si="38">O132+U132</f>
        <v>0</v>
      </c>
      <c r="X132" s="370"/>
      <c r="Y132" s="28"/>
      <c r="Z132" s="28"/>
      <c r="AA132" s="28"/>
    </row>
    <row r="133" spans="1:27" ht="24.95" hidden="1" customHeight="1" x14ac:dyDescent="0.2">
      <c r="A133" s="168">
        <v>2</v>
      </c>
      <c r="B133" s="577"/>
      <c r="C133" s="2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>
        <f>SUM(D133:N133)</f>
        <v>0</v>
      </c>
      <c r="P133" s="157"/>
      <c r="Q133" s="157"/>
      <c r="R133" s="157"/>
      <c r="S133" s="157"/>
      <c r="T133" s="157"/>
      <c r="U133" s="157">
        <f>SUM(Q133:T133)</f>
        <v>0</v>
      </c>
      <c r="V133" s="158"/>
      <c r="W133" s="159">
        <f t="shared" si="38"/>
        <v>0</v>
      </c>
      <c r="X133" s="370"/>
      <c r="Y133" s="28"/>
      <c r="Z133" s="28"/>
      <c r="AA133" s="28"/>
    </row>
    <row r="134" spans="1:27" ht="24.95" hidden="1" customHeight="1" x14ac:dyDescent="0.2">
      <c r="A134" s="168">
        <v>3</v>
      </c>
      <c r="B134" s="578"/>
      <c r="C134" s="2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>
        <f>SUM(D134:N134)</f>
        <v>0</v>
      </c>
      <c r="P134" s="157"/>
      <c r="Q134" s="157"/>
      <c r="R134" s="157"/>
      <c r="S134" s="157"/>
      <c r="T134" s="157"/>
      <c r="U134" s="157">
        <f>SUM(Q134:T134)</f>
        <v>0</v>
      </c>
      <c r="V134" s="158"/>
      <c r="W134" s="159">
        <f t="shared" si="38"/>
        <v>0</v>
      </c>
      <c r="X134" s="370"/>
      <c r="Y134" s="28"/>
      <c r="Z134" s="28"/>
      <c r="AA134" s="28"/>
    </row>
    <row r="135" spans="1:27" ht="24.95" hidden="1" customHeight="1" x14ac:dyDescent="0.2">
      <c r="A135" s="39">
        <v>4</v>
      </c>
      <c r="B135" s="578"/>
      <c r="C135" s="2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>
        <f>SUM(D135:N135)</f>
        <v>0</v>
      </c>
      <c r="P135" s="157"/>
      <c r="Q135" s="157"/>
      <c r="R135" s="157"/>
      <c r="S135" s="157"/>
      <c r="T135" s="157"/>
      <c r="U135" s="157">
        <f>SUM(Q135:T135)</f>
        <v>0</v>
      </c>
      <c r="V135" s="158"/>
      <c r="W135" s="159">
        <f t="shared" si="38"/>
        <v>0</v>
      </c>
      <c r="X135" s="370"/>
      <c r="Y135" s="28"/>
      <c r="Z135" s="28"/>
      <c r="AA135" s="28"/>
    </row>
    <row r="136" spans="1:27" ht="24.95" hidden="1" customHeight="1" x14ac:dyDescent="0.2">
      <c r="A136" s="39"/>
      <c r="B136" s="30"/>
      <c r="C136" s="40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>
        <f>SUM(D136:N136)</f>
        <v>0</v>
      </c>
      <c r="P136" s="157"/>
      <c r="Q136" s="157"/>
      <c r="R136" s="157"/>
      <c r="S136" s="157"/>
      <c r="T136" s="157"/>
      <c r="U136" s="157">
        <f>SUM(Q136:T136)</f>
        <v>0</v>
      </c>
      <c r="V136" s="158"/>
      <c r="W136" s="159">
        <f t="shared" si="38"/>
        <v>0</v>
      </c>
      <c r="X136" s="370"/>
      <c r="Y136" s="28"/>
      <c r="Z136" s="28"/>
      <c r="AA136" s="28"/>
    </row>
    <row r="137" spans="1:27" ht="24.95" hidden="1" customHeight="1" x14ac:dyDescent="0.2">
      <c r="A137" s="39"/>
      <c r="B137" s="30"/>
      <c r="C137" s="40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8"/>
      <c r="W137" s="159">
        <f t="shared" si="38"/>
        <v>0</v>
      </c>
      <c r="X137" s="370"/>
      <c r="Y137" s="28"/>
      <c r="Z137" s="28"/>
      <c r="AA137" s="28"/>
    </row>
    <row r="138" spans="1:27" ht="24.95" hidden="1" customHeight="1" x14ac:dyDescent="0.2">
      <c r="A138" s="39"/>
      <c r="B138" s="112"/>
      <c r="C138" s="40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8"/>
      <c r="W138" s="159"/>
      <c r="X138" s="238"/>
      <c r="Y138" s="28"/>
      <c r="Z138" s="28"/>
      <c r="AA138" s="28"/>
    </row>
    <row r="139" spans="1:27" ht="24.95" hidden="1" customHeight="1" x14ac:dyDescent="0.2">
      <c r="A139" s="199" t="s">
        <v>77</v>
      </c>
      <c r="B139" s="195"/>
      <c r="C139" s="200" t="s">
        <v>75</v>
      </c>
      <c r="D139" s="157">
        <f t="shared" ref="D139:X139" si="39">SUM(D132:D138)</f>
        <v>0</v>
      </c>
      <c r="E139" s="157">
        <f t="shared" si="39"/>
        <v>0</v>
      </c>
      <c r="F139" s="157">
        <f t="shared" si="39"/>
        <v>0</v>
      </c>
      <c r="G139" s="157">
        <f t="shared" si="39"/>
        <v>0</v>
      </c>
      <c r="H139" s="157">
        <f t="shared" si="39"/>
        <v>0</v>
      </c>
      <c r="I139" s="157">
        <f t="shared" si="39"/>
        <v>0</v>
      </c>
      <c r="J139" s="157">
        <f t="shared" si="39"/>
        <v>0</v>
      </c>
      <c r="K139" s="157">
        <f t="shared" si="39"/>
        <v>0</v>
      </c>
      <c r="L139" s="157">
        <f t="shared" si="39"/>
        <v>0</v>
      </c>
      <c r="M139" s="157">
        <f t="shared" si="39"/>
        <v>0</v>
      </c>
      <c r="N139" s="157">
        <f t="shared" si="39"/>
        <v>0</v>
      </c>
      <c r="O139" s="157">
        <f t="shared" si="39"/>
        <v>0</v>
      </c>
      <c r="P139" s="157"/>
      <c r="Q139" s="157">
        <f t="shared" si="39"/>
        <v>0</v>
      </c>
      <c r="R139" s="157">
        <f t="shared" si="39"/>
        <v>0</v>
      </c>
      <c r="S139" s="157">
        <f t="shared" si="39"/>
        <v>0</v>
      </c>
      <c r="T139" s="157">
        <f t="shared" si="39"/>
        <v>0</v>
      </c>
      <c r="U139" s="157">
        <f t="shared" si="39"/>
        <v>0</v>
      </c>
      <c r="V139" s="157"/>
      <c r="W139" s="251">
        <f t="shared" si="39"/>
        <v>0</v>
      </c>
      <c r="X139" s="370">
        <f t="shared" si="39"/>
        <v>0</v>
      </c>
      <c r="Y139" s="28"/>
      <c r="Z139" s="28"/>
      <c r="AA139" s="28"/>
    </row>
    <row r="140" spans="1:27" ht="24.95" hidden="1" customHeight="1" x14ac:dyDescent="0.25">
      <c r="A140" s="39"/>
      <c r="C140" s="429"/>
      <c r="D140" s="429"/>
      <c r="E140" s="429"/>
      <c r="F140" s="429"/>
      <c r="G140" s="157"/>
      <c r="H140" s="157"/>
      <c r="I140" s="157"/>
      <c r="J140" s="157"/>
      <c r="K140" s="157"/>
      <c r="L140" s="157"/>
      <c r="M140" s="157"/>
      <c r="N140" s="157"/>
      <c r="O140" s="157">
        <f>SUM(D140:N140)</f>
        <v>0</v>
      </c>
      <c r="P140" s="157"/>
      <c r="Q140" s="157"/>
      <c r="R140" s="157"/>
      <c r="S140" s="157"/>
      <c r="T140" s="157"/>
      <c r="U140" s="157"/>
      <c r="V140" s="157"/>
      <c r="W140" s="159"/>
      <c r="X140" s="238"/>
      <c r="Y140" s="28"/>
      <c r="Z140" s="28"/>
      <c r="AA140" s="28"/>
    </row>
    <row r="141" spans="1:27" ht="24.95" hidden="1" customHeight="1" x14ac:dyDescent="0.2">
      <c r="A141" s="168" t="s">
        <v>99</v>
      </c>
      <c r="B141" s="216"/>
      <c r="C141" s="40"/>
      <c r="D141" s="157"/>
      <c r="E141" s="157"/>
      <c r="F141" s="157"/>
      <c r="G141" s="157"/>
      <c r="H141" s="157"/>
      <c r="I141" s="157"/>
      <c r="J141" s="157"/>
      <c r="K141" s="157"/>
      <c r="M141" s="157"/>
      <c r="N141" s="157"/>
      <c r="O141" s="157">
        <f>SUM(D141:N141)</f>
        <v>0</v>
      </c>
      <c r="P141" s="157"/>
      <c r="Q141" s="157"/>
      <c r="R141" s="157"/>
      <c r="S141" s="157"/>
      <c r="T141" s="157"/>
      <c r="U141" s="157">
        <f>SUM(Q141:T141)</f>
        <v>0</v>
      </c>
      <c r="V141" s="157"/>
      <c r="W141" s="159">
        <f>O141+U141</f>
        <v>0</v>
      </c>
      <c r="X141" s="238"/>
      <c r="Y141" s="28"/>
      <c r="Z141" s="28"/>
      <c r="AA141" s="28"/>
    </row>
    <row r="142" spans="1:27" ht="24.95" hidden="1" customHeight="1" x14ac:dyDescent="0.2">
      <c r="A142" s="168" t="s">
        <v>99</v>
      </c>
      <c r="B142" s="216"/>
      <c r="C142" s="40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>
        <f>SUM(D142:N142)</f>
        <v>0</v>
      </c>
      <c r="P142" s="157"/>
      <c r="Q142" s="157"/>
      <c r="R142" s="157"/>
      <c r="S142" s="157"/>
      <c r="T142" s="157"/>
      <c r="U142" s="157">
        <f>SUM(Q142:T142)</f>
        <v>0</v>
      </c>
      <c r="V142" s="157"/>
      <c r="W142" s="159">
        <f>O142+U142</f>
        <v>0</v>
      </c>
      <c r="X142" s="238"/>
      <c r="Y142" s="28"/>
      <c r="Z142" s="28"/>
      <c r="AA142" s="28"/>
    </row>
    <row r="143" spans="1:27" ht="24.95" hidden="1" customHeight="1" x14ac:dyDescent="0.2">
      <c r="A143" s="39"/>
      <c r="B143" s="109"/>
      <c r="C143" s="40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>
        <f>SUM(D143:N143)</f>
        <v>0</v>
      </c>
      <c r="P143" s="157"/>
      <c r="Q143" s="157"/>
      <c r="R143" s="157"/>
      <c r="S143" s="157"/>
      <c r="T143" s="157"/>
      <c r="U143" s="157">
        <f>SUM(Q143:T143)</f>
        <v>0</v>
      </c>
      <c r="V143" s="157"/>
      <c r="W143" s="159">
        <f>O143+U143</f>
        <v>0</v>
      </c>
      <c r="X143" s="238"/>
      <c r="Y143" s="28"/>
      <c r="Z143" s="28"/>
      <c r="AA143" s="28"/>
    </row>
    <row r="144" spans="1:27" ht="24.95" hidden="1" customHeight="1" x14ac:dyDescent="0.2">
      <c r="A144" s="39"/>
      <c r="B144" s="109"/>
      <c r="C144" s="40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9"/>
      <c r="X144" s="234"/>
      <c r="Y144" s="28"/>
      <c r="Z144" s="28"/>
      <c r="AA144" s="28"/>
    </row>
    <row r="145" spans="1:27" ht="24.95" hidden="1" customHeight="1" x14ac:dyDescent="0.2">
      <c r="A145" s="199" t="s">
        <v>78</v>
      </c>
      <c r="B145" s="195"/>
      <c r="C145" s="200" t="s">
        <v>76</v>
      </c>
      <c r="D145" s="157">
        <f t="shared" ref="D145:O145" si="40">SUM(D141:D144)</f>
        <v>0</v>
      </c>
      <c r="E145" s="157">
        <f t="shared" si="40"/>
        <v>0</v>
      </c>
      <c r="F145" s="157">
        <f t="shared" si="40"/>
        <v>0</v>
      </c>
      <c r="G145" s="157">
        <f t="shared" si="40"/>
        <v>0</v>
      </c>
      <c r="H145" s="157">
        <f t="shared" si="40"/>
        <v>0</v>
      </c>
      <c r="I145" s="157">
        <f t="shared" si="40"/>
        <v>0</v>
      </c>
      <c r="J145" s="157">
        <f t="shared" si="40"/>
        <v>0</v>
      </c>
      <c r="K145" s="157">
        <f t="shared" si="40"/>
        <v>0</v>
      </c>
      <c r="L145" s="157">
        <f t="shared" si="40"/>
        <v>0</v>
      </c>
      <c r="M145" s="157">
        <f t="shared" si="40"/>
        <v>0</v>
      </c>
      <c r="N145" s="157">
        <f t="shared" si="40"/>
        <v>0</v>
      </c>
      <c r="O145" s="157">
        <f t="shared" si="40"/>
        <v>0</v>
      </c>
      <c r="P145" s="157"/>
      <c r="Q145" s="157">
        <f>SUM(Q141:Q144)</f>
        <v>0</v>
      </c>
      <c r="R145" s="157">
        <f>SUM(R141:R144)</f>
        <v>0</v>
      </c>
      <c r="S145" s="157">
        <f>SUM(S141:S144)</f>
        <v>0</v>
      </c>
      <c r="T145" s="157">
        <f>SUM(T141:T144)</f>
        <v>0</v>
      </c>
      <c r="U145" s="157">
        <f>SUM(U141:U144)</f>
        <v>0</v>
      </c>
      <c r="V145" s="157"/>
      <c r="W145" s="251">
        <f>SUM(W141:W144)</f>
        <v>0</v>
      </c>
      <c r="X145" s="251">
        <f>SUM(X141:X144)</f>
        <v>0</v>
      </c>
      <c r="Y145" s="28"/>
      <c r="Z145" s="28"/>
      <c r="AA145" s="28"/>
    </row>
    <row r="146" spans="1:27" ht="24.95" hidden="1" customHeight="1" x14ac:dyDescent="0.2">
      <c r="A146" s="39"/>
      <c r="B146" s="30"/>
      <c r="C146" s="40"/>
      <c r="D146" s="157"/>
      <c r="E146" s="157"/>
      <c r="F146" s="157"/>
      <c r="G146" s="157"/>
      <c r="H146" s="157"/>
      <c r="I146" s="157"/>
      <c r="J146" s="157"/>
      <c r="K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9"/>
      <c r="X146" s="238"/>
      <c r="Y146" s="28"/>
      <c r="Z146" s="28"/>
      <c r="AA146" s="28"/>
    </row>
    <row r="147" spans="1:27" ht="24.95" hidden="1" customHeight="1" thickBot="1" x14ac:dyDescent="0.25">
      <c r="A147" s="39"/>
      <c r="B147" s="31"/>
      <c r="C147" s="33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9"/>
      <c r="X147" s="238"/>
      <c r="Y147" s="28"/>
      <c r="Z147" s="28"/>
      <c r="AA147" s="28"/>
    </row>
    <row r="148" spans="1:27" ht="24.95" hidden="1" customHeight="1" thickTop="1" thickBot="1" x14ac:dyDescent="0.25">
      <c r="A148" s="45"/>
      <c r="B148" s="250" t="s">
        <v>173</v>
      </c>
      <c r="C148" s="43" t="s">
        <v>79</v>
      </c>
      <c r="D148" s="161">
        <f t="shared" ref="D148:O148" si="41">D139+D145</f>
        <v>0</v>
      </c>
      <c r="E148" s="161">
        <f t="shared" si="41"/>
        <v>0</v>
      </c>
      <c r="F148" s="161">
        <f t="shared" si="41"/>
        <v>0</v>
      </c>
      <c r="G148" s="161">
        <f t="shared" si="41"/>
        <v>0</v>
      </c>
      <c r="H148" s="161">
        <f t="shared" si="41"/>
        <v>0</v>
      </c>
      <c r="I148" s="161">
        <f t="shared" si="41"/>
        <v>0</v>
      </c>
      <c r="J148" s="161">
        <f t="shared" si="41"/>
        <v>0</v>
      </c>
      <c r="K148" s="161">
        <f t="shared" si="41"/>
        <v>0</v>
      </c>
      <c r="L148" s="161">
        <f t="shared" si="41"/>
        <v>0</v>
      </c>
      <c r="M148" s="161">
        <f t="shared" si="41"/>
        <v>0</v>
      </c>
      <c r="N148" s="161">
        <f t="shared" si="41"/>
        <v>0</v>
      </c>
      <c r="O148" s="161">
        <f t="shared" si="41"/>
        <v>0</v>
      </c>
      <c r="P148" s="161"/>
      <c r="Q148" s="161">
        <f>Q139+Q145</f>
        <v>0</v>
      </c>
      <c r="R148" s="161">
        <f>R139+R145</f>
        <v>0</v>
      </c>
      <c r="S148" s="161">
        <f>S139+S145</f>
        <v>0</v>
      </c>
      <c r="T148" s="161">
        <f>T139+T145</f>
        <v>0</v>
      </c>
      <c r="U148" s="161">
        <f>U139+U145</f>
        <v>0</v>
      </c>
      <c r="V148" s="161"/>
      <c r="W148" s="162">
        <f>W139+W145</f>
        <v>0</v>
      </c>
      <c r="X148" s="162">
        <f>X139+X145</f>
        <v>0</v>
      </c>
      <c r="Y148" s="28"/>
      <c r="Z148" s="28"/>
      <c r="AA148" s="28"/>
    </row>
    <row r="149" spans="1:27" ht="24.95" hidden="1" customHeight="1" thickTop="1" thickBot="1" x14ac:dyDescent="0.25">
      <c r="A149" s="41"/>
      <c r="B149" s="42" t="s">
        <v>174</v>
      </c>
      <c r="C149" s="43" t="s">
        <v>136</v>
      </c>
      <c r="D149" s="193">
        <f t="shared" ref="D149:O149" si="42">D130+D148</f>
        <v>0</v>
      </c>
      <c r="E149" s="193">
        <f t="shared" si="42"/>
        <v>0</v>
      </c>
      <c r="F149" s="193">
        <f t="shared" si="42"/>
        <v>16585.308000000001</v>
      </c>
      <c r="G149" s="193">
        <f t="shared" si="42"/>
        <v>1860</v>
      </c>
      <c r="H149" s="193">
        <f t="shared" si="42"/>
        <v>10274</v>
      </c>
      <c r="I149" s="193">
        <f t="shared" si="42"/>
        <v>0</v>
      </c>
      <c r="J149" s="193">
        <f t="shared" si="42"/>
        <v>0</v>
      </c>
      <c r="K149" s="193">
        <f t="shared" si="42"/>
        <v>0</v>
      </c>
      <c r="L149" s="193">
        <f t="shared" si="42"/>
        <v>50</v>
      </c>
      <c r="M149" s="193">
        <f t="shared" si="42"/>
        <v>1500</v>
      </c>
      <c r="N149" s="193">
        <f t="shared" si="42"/>
        <v>0</v>
      </c>
      <c r="O149" s="193">
        <f t="shared" si="42"/>
        <v>30269.308000000001</v>
      </c>
      <c r="P149" s="193"/>
      <c r="Q149" s="193">
        <f>Q130+Q148</f>
        <v>0</v>
      </c>
      <c r="R149" s="193">
        <f>R130+R148</f>
        <v>220640.39</v>
      </c>
      <c r="S149" s="193">
        <f>S130+S148</f>
        <v>0</v>
      </c>
      <c r="T149" s="193">
        <f>T130+T148</f>
        <v>0</v>
      </c>
      <c r="U149" s="193">
        <f>U130+U148</f>
        <v>220640.39</v>
      </c>
      <c r="V149" s="193"/>
      <c r="W149" s="162">
        <f>O149+U149</f>
        <v>250909.698</v>
      </c>
      <c r="X149" s="162">
        <f>X129+X148</f>
        <v>4137144.6430000002</v>
      </c>
      <c r="Y149" s="28"/>
      <c r="Z149" s="28"/>
      <c r="AA149" s="28"/>
    </row>
    <row r="150" spans="1:27" ht="24.95" hidden="1" customHeight="1" thickTop="1" x14ac:dyDescent="0.2">
      <c r="A150" s="196"/>
      <c r="B150" s="211"/>
      <c r="C150" s="212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>
        <f t="shared" ref="O150:O156" si="43">SUM(D150:N150)</f>
        <v>0</v>
      </c>
      <c r="P150" s="248"/>
      <c r="Q150" s="248"/>
      <c r="R150" s="248"/>
      <c r="S150" s="248"/>
      <c r="T150" s="248"/>
      <c r="U150" s="248">
        <f t="shared" ref="U150:U156" si="44">SUM(Q150:T150)</f>
        <v>0</v>
      </c>
      <c r="V150" s="249"/>
      <c r="W150" s="324">
        <f t="shared" ref="W150:W157" si="45">O150+U150</f>
        <v>0</v>
      </c>
      <c r="X150" s="325"/>
      <c r="Y150" s="28"/>
      <c r="Z150" s="28"/>
      <c r="AA150" s="28"/>
    </row>
    <row r="151" spans="1:27" ht="24.95" hidden="1" customHeight="1" x14ac:dyDescent="0.2">
      <c r="A151" s="196"/>
      <c r="B151" s="211"/>
      <c r="C151" s="212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>
        <f t="shared" si="43"/>
        <v>0</v>
      </c>
      <c r="P151" s="248"/>
      <c r="Q151" s="248"/>
      <c r="R151" s="248"/>
      <c r="S151" s="248"/>
      <c r="T151" s="248"/>
      <c r="U151" s="248">
        <f t="shared" si="44"/>
        <v>0</v>
      </c>
      <c r="V151" s="249"/>
      <c r="W151" s="324">
        <f t="shared" si="45"/>
        <v>0</v>
      </c>
      <c r="X151" s="325"/>
      <c r="Y151" s="28"/>
      <c r="Z151" s="28"/>
      <c r="AA151" s="28"/>
    </row>
    <row r="152" spans="1:27" ht="24.95" hidden="1" customHeight="1" x14ac:dyDescent="0.2">
      <c r="A152" s="196"/>
      <c r="B152" s="211"/>
      <c r="C152" s="212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>
        <f t="shared" si="43"/>
        <v>0</v>
      </c>
      <c r="P152" s="248"/>
      <c r="Q152" s="248"/>
      <c r="R152" s="248"/>
      <c r="S152" s="248"/>
      <c r="T152" s="248"/>
      <c r="U152" s="248">
        <f t="shared" si="44"/>
        <v>0</v>
      </c>
      <c r="V152" s="249"/>
      <c r="W152" s="324">
        <f t="shared" si="45"/>
        <v>0</v>
      </c>
      <c r="X152" s="325"/>
      <c r="Y152" s="28"/>
      <c r="Z152" s="28"/>
      <c r="AA152" s="28"/>
    </row>
    <row r="153" spans="1:27" ht="24.95" hidden="1" customHeight="1" x14ac:dyDescent="0.2">
      <c r="A153" s="39"/>
      <c r="B153" s="47" t="s">
        <v>73</v>
      </c>
      <c r="C153" s="48" t="s">
        <v>23</v>
      </c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>
        <f t="shared" si="43"/>
        <v>0</v>
      </c>
      <c r="P153" s="142"/>
      <c r="Q153" s="142"/>
      <c r="R153" s="142"/>
      <c r="S153" s="142"/>
      <c r="T153" s="142"/>
      <c r="U153" s="142">
        <f t="shared" si="44"/>
        <v>0</v>
      </c>
      <c r="V153" s="148"/>
      <c r="W153" s="159">
        <f t="shared" si="45"/>
        <v>0</v>
      </c>
      <c r="X153" s="267"/>
    </row>
    <row r="154" spans="1:27" ht="24.95" hidden="1" customHeight="1" x14ac:dyDescent="0.2">
      <c r="A154" s="39"/>
      <c r="B154" s="47" t="s">
        <v>25</v>
      </c>
      <c r="C154" s="48" t="s">
        <v>23</v>
      </c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>
        <f t="shared" si="43"/>
        <v>0</v>
      </c>
      <c r="P154" s="142"/>
      <c r="Q154" s="142"/>
      <c r="R154" s="142"/>
      <c r="S154" s="142"/>
      <c r="T154" s="142"/>
      <c r="U154" s="142">
        <f t="shared" si="44"/>
        <v>0</v>
      </c>
      <c r="V154" s="148"/>
      <c r="W154" s="159">
        <f t="shared" si="45"/>
        <v>0</v>
      </c>
      <c r="X154" s="267"/>
    </row>
    <row r="155" spans="1:27" ht="24.95" hidden="1" customHeight="1" x14ac:dyDescent="0.2">
      <c r="A155" s="39"/>
      <c r="B155" s="47" t="s">
        <v>62</v>
      </c>
      <c r="C155" s="48" t="s">
        <v>23</v>
      </c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>
        <f t="shared" si="43"/>
        <v>0</v>
      </c>
      <c r="P155" s="142"/>
      <c r="Q155" s="142"/>
      <c r="R155" s="142"/>
      <c r="S155" s="142"/>
      <c r="T155" s="142"/>
      <c r="U155" s="142">
        <f t="shared" si="44"/>
        <v>0</v>
      </c>
      <c r="V155" s="148"/>
      <c r="W155" s="159">
        <f t="shared" si="45"/>
        <v>0</v>
      </c>
      <c r="X155" s="267"/>
    </row>
    <row r="156" spans="1:27" ht="24.95" hidden="1" customHeight="1" x14ac:dyDescent="0.2">
      <c r="A156" s="39"/>
      <c r="B156" s="47"/>
      <c r="C156" s="40" t="s">
        <v>57</v>
      </c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>
        <f t="shared" si="43"/>
        <v>0</v>
      </c>
      <c r="P156" s="142"/>
      <c r="Q156" s="142"/>
      <c r="R156" s="142"/>
      <c r="S156" s="142"/>
      <c r="T156" s="142"/>
      <c r="U156" s="142">
        <f t="shared" si="44"/>
        <v>0</v>
      </c>
      <c r="V156" s="148"/>
      <c r="W156" s="159">
        <f t="shared" si="45"/>
        <v>0</v>
      </c>
      <c r="X156" s="267"/>
    </row>
    <row r="157" spans="1:27" ht="24.95" hidden="1" customHeight="1" thickBot="1" x14ac:dyDescent="0.25">
      <c r="A157" s="39"/>
      <c r="B157" s="47"/>
      <c r="C157" s="48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8"/>
      <c r="W157" s="159">
        <f t="shared" si="45"/>
        <v>0</v>
      </c>
      <c r="X157" s="267"/>
    </row>
    <row r="158" spans="1:27" ht="24.95" hidden="1" customHeight="1" thickTop="1" thickBot="1" x14ac:dyDescent="0.25">
      <c r="A158" s="46"/>
      <c r="B158" s="42"/>
      <c r="C158" s="43" t="s">
        <v>31</v>
      </c>
      <c r="D158" s="150">
        <f t="shared" ref="D158:M158" si="46">SUM(D153:D157)</f>
        <v>0</v>
      </c>
      <c r="E158" s="150">
        <f t="shared" si="46"/>
        <v>0</v>
      </c>
      <c r="F158" s="150">
        <f t="shared" si="46"/>
        <v>0</v>
      </c>
      <c r="G158" s="150">
        <f t="shared" si="46"/>
        <v>0</v>
      </c>
      <c r="H158" s="150">
        <f t="shared" si="46"/>
        <v>0</v>
      </c>
      <c r="I158" s="150">
        <f t="shared" si="46"/>
        <v>0</v>
      </c>
      <c r="J158" s="150">
        <f t="shared" si="46"/>
        <v>0</v>
      </c>
      <c r="K158" s="150">
        <f t="shared" si="46"/>
        <v>0</v>
      </c>
      <c r="L158" s="150">
        <f t="shared" si="46"/>
        <v>0</v>
      </c>
      <c r="M158" s="150">
        <f t="shared" si="46"/>
        <v>0</v>
      </c>
      <c r="N158" s="150">
        <f t="shared" ref="N158:U158" si="47">SUM(N153:N157)</f>
        <v>0</v>
      </c>
      <c r="O158" s="150">
        <f t="shared" si="47"/>
        <v>0</v>
      </c>
      <c r="P158" s="150"/>
      <c r="Q158" s="150">
        <f>SUM(Q153:Q157)</f>
        <v>0</v>
      </c>
      <c r="R158" s="150">
        <f>SUM(R153:R157)</f>
        <v>0</v>
      </c>
      <c r="S158" s="150">
        <f t="shared" si="47"/>
        <v>0</v>
      </c>
      <c r="T158" s="150">
        <f t="shared" si="47"/>
        <v>0</v>
      </c>
      <c r="U158" s="150">
        <f t="shared" si="47"/>
        <v>0</v>
      </c>
      <c r="V158" s="264"/>
      <c r="W158" s="163">
        <f>O158+U158</f>
        <v>0</v>
      </c>
      <c r="X158" s="270">
        <f>SUM(X153:X157)</f>
        <v>0</v>
      </c>
    </row>
    <row r="159" spans="1:27" ht="9.9499999999999993" hidden="1" customHeight="1" thickTop="1" x14ac:dyDescent="0.2">
      <c r="A159" s="175"/>
      <c r="B159" s="176"/>
      <c r="C159" s="177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9"/>
      <c r="W159" s="259"/>
      <c r="X159" s="271"/>
    </row>
    <row r="160" spans="1:27" ht="24.95" hidden="1" customHeight="1" x14ac:dyDescent="0.2">
      <c r="A160" s="180"/>
      <c r="B160" s="181"/>
      <c r="C160" s="189" t="s">
        <v>57</v>
      </c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>
        <f>SUM(D160:N160)</f>
        <v>0</v>
      </c>
      <c r="P160" s="182"/>
      <c r="Q160" s="182"/>
      <c r="R160" s="182"/>
      <c r="S160" s="182"/>
      <c r="T160" s="182"/>
      <c r="U160" s="182">
        <f>SUM(Q160:T160)</f>
        <v>0</v>
      </c>
      <c r="V160" s="183"/>
      <c r="W160" s="260">
        <f>O160+U160</f>
        <v>0</v>
      </c>
      <c r="X160" s="272"/>
    </row>
    <row r="161" spans="1:27" ht="9.9499999999999993" hidden="1" customHeight="1" thickBot="1" x14ac:dyDescent="0.25">
      <c r="A161" s="184"/>
      <c r="B161" s="185"/>
      <c r="C161" s="186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8"/>
      <c r="W161" s="261"/>
      <c r="X161" s="273"/>
    </row>
    <row r="162" spans="1:27" ht="24.95" hidden="1" customHeight="1" thickTop="1" thickBot="1" x14ac:dyDescent="0.25">
      <c r="A162" s="89"/>
      <c r="B162" s="89" t="s">
        <v>83</v>
      </c>
      <c r="C162" s="43" t="s">
        <v>136</v>
      </c>
      <c r="D162" s="193">
        <f t="shared" ref="D162:O162" si="48">D129+D158</f>
        <v>0</v>
      </c>
      <c r="E162" s="193">
        <f t="shared" si="48"/>
        <v>0</v>
      </c>
      <c r="F162" s="193">
        <f t="shared" si="48"/>
        <v>16585.308000000001</v>
      </c>
      <c r="G162" s="193">
        <f t="shared" si="48"/>
        <v>1860</v>
      </c>
      <c r="H162" s="193">
        <f t="shared" si="48"/>
        <v>10274</v>
      </c>
      <c r="I162" s="193">
        <f t="shared" si="48"/>
        <v>0</v>
      </c>
      <c r="J162" s="193">
        <f t="shared" si="48"/>
        <v>0</v>
      </c>
      <c r="K162" s="193">
        <f t="shared" si="48"/>
        <v>0</v>
      </c>
      <c r="L162" s="193">
        <f t="shared" si="48"/>
        <v>50</v>
      </c>
      <c r="M162" s="193">
        <f t="shared" si="48"/>
        <v>1500</v>
      </c>
      <c r="N162" s="193">
        <f t="shared" si="48"/>
        <v>0</v>
      </c>
      <c r="O162" s="193">
        <f t="shared" si="48"/>
        <v>30269.308000000001</v>
      </c>
      <c r="P162" s="193"/>
      <c r="Q162" s="193">
        <f>Q129+Q158</f>
        <v>0</v>
      </c>
      <c r="R162" s="193">
        <f>R129+R158</f>
        <v>220640.39</v>
      </c>
      <c r="S162" s="193">
        <f>S129+S158</f>
        <v>0</v>
      </c>
      <c r="T162" s="193">
        <f>T129+T158</f>
        <v>0</v>
      </c>
      <c r="U162" s="193">
        <f>U129+U158</f>
        <v>220640.39</v>
      </c>
      <c r="V162" s="265"/>
      <c r="W162" s="162">
        <f>W129+W158+W160</f>
        <v>250909.698</v>
      </c>
      <c r="X162" s="274">
        <f>X149+X158+X160</f>
        <v>4137144.6430000002</v>
      </c>
      <c r="AA162" s="28"/>
    </row>
    <row r="163" spans="1:27" ht="24.95" hidden="1" customHeight="1" thickTop="1" x14ac:dyDescent="0.2">
      <c r="A163" s="170"/>
      <c r="B163" s="171"/>
      <c r="C163" s="119" t="s">
        <v>18</v>
      </c>
      <c r="D163" s="24">
        <f t="shared" ref="D163:L163" si="49">D162</f>
        <v>0</v>
      </c>
      <c r="E163" s="24">
        <f t="shared" si="49"/>
        <v>0</v>
      </c>
      <c r="F163" s="24">
        <f t="shared" si="49"/>
        <v>16585.308000000001</v>
      </c>
      <c r="G163" s="24">
        <f t="shared" si="49"/>
        <v>1860</v>
      </c>
      <c r="H163" s="24">
        <f t="shared" si="49"/>
        <v>10274</v>
      </c>
      <c r="I163" s="24">
        <f t="shared" si="49"/>
        <v>0</v>
      </c>
      <c r="J163" s="24">
        <f t="shared" si="49"/>
        <v>0</v>
      </c>
      <c r="K163" s="24">
        <f t="shared" si="49"/>
        <v>0</v>
      </c>
      <c r="L163" s="24">
        <f t="shared" si="49"/>
        <v>50</v>
      </c>
      <c r="M163" s="24">
        <f t="shared" ref="M163:U163" si="50">M162</f>
        <v>1500</v>
      </c>
      <c r="N163" s="24">
        <f t="shared" si="50"/>
        <v>0</v>
      </c>
      <c r="O163" s="24">
        <f t="shared" si="50"/>
        <v>30269.308000000001</v>
      </c>
      <c r="P163" s="24"/>
      <c r="Q163" s="24">
        <f>Q162</f>
        <v>0</v>
      </c>
      <c r="R163" s="24">
        <f>R162</f>
        <v>220640.39</v>
      </c>
      <c r="S163" s="24">
        <f t="shared" si="50"/>
        <v>0</v>
      </c>
      <c r="T163" s="24">
        <f t="shared" si="50"/>
        <v>0</v>
      </c>
      <c r="U163" s="24">
        <f t="shared" si="50"/>
        <v>220640.39</v>
      </c>
      <c r="V163" s="24"/>
      <c r="W163" s="173">
        <f>O163+U163</f>
        <v>250909.698</v>
      </c>
      <c r="X163" s="275">
        <f>X162</f>
        <v>4137144.6430000002</v>
      </c>
    </row>
    <row r="164" spans="1:27" ht="20.100000000000001" hidden="1" customHeight="1" x14ac:dyDescent="0.2">
      <c r="A164" s="168">
        <v>1</v>
      </c>
      <c r="B164" s="386"/>
      <c r="C164" s="277"/>
      <c r="D164" s="278"/>
      <c r="E164" s="157"/>
      <c r="F164" s="157"/>
      <c r="G164" s="157"/>
      <c r="H164" s="165"/>
      <c r="I164" s="157"/>
      <c r="J164" s="157"/>
      <c r="K164" s="157"/>
      <c r="L164" s="157"/>
      <c r="M164" s="157"/>
      <c r="N164" s="157"/>
      <c r="O164" s="157">
        <f t="shared" ref="O164:O181" si="51">SUM(D164:N164)</f>
        <v>0</v>
      </c>
      <c r="P164" s="157"/>
      <c r="Q164" s="157"/>
      <c r="R164" s="157"/>
      <c r="S164" s="157"/>
      <c r="T164" s="157"/>
      <c r="U164" s="157">
        <f t="shared" ref="U164:U181" si="52">SUM(Q164:T164)</f>
        <v>0</v>
      </c>
      <c r="V164" s="158"/>
      <c r="W164" s="159">
        <f t="shared" ref="W164:W181" si="53">O164+U164</f>
        <v>0</v>
      </c>
      <c r="X164" s="164"/>
    </row>
    <row r="165" spans="1:27" ht="20.100000000000001" hidden="1" customHeight="1" x14ac:dyDescent="0.2">
      <c r="A165" s="382">
        <v>2</v>
      </c>
      <c r="B165" s="383"/>
      <c r="C165" s="38"/>
      <c r="D165" s="157"/>
      <c r="E165" s="157"/>
      <c r="F165" s="157"/>
      <c r="G165" s="157"/>
      <c r="H165" s="165"/>
      <c r="I165" s="157"/>
      <c r="J165" s="157"/>
      <c r="K165" s="157"/>
      <c r="L165" s="157"/>
      <c r="M165" s="157"/>
      <c r="N165" s="157"/>
      <c r="O165" s="157">
        <f t="shared" si="51"/>
        <v>0</v>
      </c>
      <c r="P165" s="157"/>
      <c r="Q165" s="157"/>
      <c r="R165" s="157"/>
      <c r="S165" s="157"/>
      <c r="T165" s="157"/>
      <c r="U165" s="157">
        <f t="shared" si="52"/>
        <v>0</v>
      </c>
      <c r="V165" s="158"/>
      <c r="W165" s="159">
        <f t="shared" si="53"/>
        <v>0</v>
      </c>
      <c r="X165" s="164"/>
    </row>
    <row r="166" spans="1:27" ht="20.100000000000001" hidden="1" customHeight="1" x14ac:dyDescent="0.2">
      <c r="A166" s="168">
        <v>3</v>
      </c>
      <c r="B166" s="387"/>
      <c r="C166" s="32"/>
      <c r="D166" s="157"/>
      <c r="E166" s="157"/>
      <c r="F166" s="157"/>
      <c r="G166" s="157"/>
      <c r="H166" s="165"/>
      <c r="I166" s="157"/>
      <c r="J166" s="157"/>
      <c r="K166" s="157"/>
      <c r="L166" s="157"/>
      <c r="M166" s="157"/>
      <c r="N166" s="157"/>
      <c r="O166" s="157">
        <f t="shared" si="51"/>
        <v>0</v>
      </c>
      <c r="P166" s="157"/>
      <c r="Q166" s="157"/>
      <c r="R166" s="157"/>
      <c r="S166" s="157"/>
      <c r="T166" s="157"/>
      <c r="U166" s="157">
        <f t="shared" si="52"/>
        <v>0</v>
      </c>
      <c r="V166" s="158"/>
      <c r="W166" s="159">
        <f t="shared" si="53"/>
        <v>0</v>
      </c>
      <c r="X166" s="164"/>
    </row>
    <row r="167" spans="1:27" ht="20.100000000000001" hidden="1" customHeight="1" x14ac:dyDescent="0.2">
      <c r="A167" s="382">
        <v>4</v>
      </c>
      <c r="B167" s="49"/>
      <c r="C167" s="32"/>
      <c r="D167" s="157"/>
      <c r="E167" s="157"/>
      <c r="F167" s="157"/>
      <c r="G167" s="157"/>
      <c r="H167" s="165"/>
      <c r="I167" s="157"/>
      <c r="J167" s="157"/>
      <c r="K167" s="157"/>
      <c r="L167" s="157"/>
      <c r="M167" s="157"/>
      <c r="N167" s="157"/>
      <c r="O167" s="157">
        <f t="shared" si="51"/>
        <v>0</v>
      </c>
      <c r="P167" s="157"/>
      <c r="Q167" s="157"/>
      <c r="R167" s="157"/>
      <c r="S167" s="157"/>
      <c r="T167" s="157"/>
      <c r="U167" s="157">
        <f t="shared" si="52"/>
        <v>0</v>
      </c>
      <c r="V167" s="158"/>
      <c r="W167" s="159">
        <f t="shared" si="53"/>
        <v>0</v>
      </c>
      <c r="X167" s="164"/>
    </row>
    <row r="168" spans="1:27" ht="20.100000000000001" hidden="1" customHeight="1" x14ac:dyDescent="0.2">
      <c r="A168" s="168">
        <v>5</v>
      </c>
      <c r="B168" s="49"/>
      <c r="C168" s="32"/>
      <c r="D168" s="157"/>
      <c r="E168" s="157"/>
      <c r="F168" s="157"/>
      <c r="G168" s="157"/>
      <c r="H168" s="165"/>
      <c r="I168" s="157"/>
      <c r="J168" s="157"/>
      <c r="K168" s="157"/>
      <c r="L168" s="157"/>
      <c r="M168" s="157"/>
      <c r="N168" s="157"/>
      <c r="O168" s="157">
        <f t="shared" si="51"/>
        <v>0</v>
      </c>
      <c r="P168" s="157"/>
      <c r="Q168" s="157"/>
      <c r="R168" s="157"/>
      <c r="S168" s="157"/>
      <c r="T168" s="157"/>
      <c r="U168" s="157">
        <f t="shared" si="52"/>
        <v>0</v>
      </c>
      <c r="V168" s="158"/>
      <c r="W168" s="159">
        <f t="shared" si="53"/>
        <v>0</v>
      </c>
      <c r="X168" s="164"/>
    </row>
    <row r="169" spans="1:27" ht="20.100000000000001" hidden="1" customHeight="1" x14ac:dyDescent="0.2">
      <c r="A169" s="382">
        <v>6</v>
      </c>
      <c r="B169" s="279"/>
      <c r="C169" s="433"/>
      <c r="D169" s="434"/>
      <c r="E169" s="157"/>
      <c r="F169" s="157"/>
      <c r="G169" s="157"/>
      <c r="H169" s="165"/>
      <c r="I169" s="157"/>
      <c r="J169" s="157"/>
      <c r="K169" s="157"/>
      <c r="L169" s="157"/>
      <c r="M169" s="157"/>
      <c r="N169" s="157"/>
      <c r="O169" s="157">
        <f t="shared" si="51"/>
        <v>0</v>
      </c>
      <c r="P169" s="157"/>
      <c r="Q169" s="157"/>
      <c r="R169" s="157"/>
      <c r="S169" s="157"/>
      <c r="T169" s="157"/>
      <c r="U169" s="157">
        <f t="shared" si="52"/>
        <v>0</v>
      </c>
      <c r="V169" s="158"/>
      <c r="W169" s="159">
        <f t="shared" si="53"/>
        <v>0</v>
      </c>
      <c r="X169" s="164"/>
    </row>
    <row r="170" spans="1:27" ht="20.100000000000001" hidden="1" customHeight="1" x14ac:dyDescent="0.2">
      <c r="A170" s="168">
        <v>7</v>
      </c>
      <c r="B170" s="279"/>
      <c r="C170" s="433"/>
      <c r="D170" s="434"/>
      <c r="E170" s="157"/>
      <c r="F170" s="157"/>
      <c r="G170" s="157"/>
      <c r="H170" s="165"/>
      <c r="I170" s="157"/>
      <c r="J170" s="157"/>
      <c r="K170" s="157"/>
      <c r="L170" s="157"/>
      <c r="M170" s="157"/>
      <c r="N170" s="157"/>
      <c r="O170" s="157">
        <f t="shared" si="51"/>
        <v>0</v>
      </c>
      <c r="P170" s="157"/>
      <c r="Q170" s="157"/>
      <c r="R170" s="157"/>
      <c r="S170" s="157"/>
      <c r="T170" s="157"/>
      <c r="U170" s="157">
        <f t="shared" si="52"/>
        <v>0</v>
      </c>
      <c r="V170" s="158"/>
      <c r="W170" s="159">
        <f t="shared" si="53"/>
        <v>0</v>
      </c>
      <c r="X170" s="164"/>
    </row>
    <row r="171" spans="1:27" ht="20.100000000000001" hidden="1" customHeight="1" x14ac:dyDescent="0.2">
      <c r="A171" s="382">
        <v>8</v>
      </c>
      <c r="B171" s="279"/>
      <c r="C171" s="433"/>
      <c r="D171" s="434"/>
      <c r="E171" s="157"/>
      <c r="F171" s="157"/>
      <c r="G171" s="157"/>
      <c r="H171" s="165"/>
      <c r="I171" s="157"/>
      <c r="J171" s="157"/>
      <c r="K171" s="157"/>
      <c r="L171" s="157"/>
      <c r="M171" s="157"/>
      <c r="N171" s="157"/>
      <c r="O171" s="157">
        <f t="shared" si="51"/>
        <v>0</v>
      </c>
      <c r="P171" s="157"/>
      <c r="Q171" s="157"/>
      <c r="R171" s="157"/>
      <c r="S171" s="157"/>
      <c r="T171" s="157"/>
      <c r="U171" s="157">
        <f t="shared" si="52"/>
        <v>0</v>
      </c>
      <c r="V171" s="158"/>
      <c r="W171" s="159">
        <f t="shared" si="53"/>
        <v>0</v>
      </c>
      <c r="X171" s="164"/>
    </row>
    <row r="172" spans="1:27" ht="20.100000000000001" hidden="1" customHeight="1" x14ac:dyDescent="0.2">
      <c r="A172" s="168">
        <v>9</v>
      </c>
      <c r="B172" s="279"/>
      <c r="C172" s="433"/>
      <c r="D172" s="434"/>
      <c r="E172" s="157"/>
      <c r="F172" s="157"/>
      <c r="G172" s="157"/>
      <c r="H172" s="165"/>
      <c r="I172" s="157"/>
      <c r="J172" s="157"/>
      <c r="K172" s="157"/>
      <c r="L172" s="157"/>
      <c r="M172" s="157"/>
      <c r="N172" s="157"/>
      <c r="O172" s="157">
        <f t="shared" si="51"/>
        <v>0</v>
      </c>
      <c r="P172" s="157"/>
      <c r="Q172" s="157"/>
      <c r="R172" s="157"/>
      <c r="S172" s="157"/>
      <c r="T172" s="157"/>
      <c r="U172" s="157">
        <f t="shared" si="52"/>
        <v>0</v>
      </c>
      <c r="V172" s="158"/>
      <c r="W172" s="159">
        <f t="shared" si="53"/>
        <v>0</v>
      </c>
      <c r="X172" s="164"/>
    </row>
    <row r="173" spans="1:27" ht="20.100000000000001" hidden="1" customHeight="1" x14ac:dyDescent="0.2">
      <c r="A173" s="382">
        <v>10</v>
      </c>
      <c r="B173" s="279"/>
      <c r="C173" s="433"/>
      <c r="D173" s="434"/>
      <c r="E173" s="157"/>
      <c r="F173" s="157"/>
      <c r="G173" s="157"/>
      <c r="H173" s="165"/>
      <c r="I173" s="157"/>
      <c r="J173" s="157"/>
      <c r="K173" s="157"/>
      <c r="L173" s="157"/>
      <c r="M173" s="157"/>
      <c r="N173" s="157"/>
      <c r="O173" s="157">
        <f t="shared" si="51"/>
        <v>0</v>
      </c>
      <c r="P173" s="157"/>
      <c r="Q173" s="157"/>
      <c r="R173" s="157"/>
      <c r="S173" s="157"/>
      <c r="T173" s="157"/>
      <c r="U173" s="157">
        <f t="shared" si="52"/>
        <v>0</v>
      </c>
      <c r="V173" s="158"/>
      <c r="W173" s="159">
        <f t="shared" si="53"/>
        <v>0</v>
      </c>
      <c r="X173" s="164"/>
    </row>
    <row r="174" spans="1:27" ht="20.100000000000001" hidden="1" customHeight="1" x14ac:dyDescent="0.2">
      <c r="A174" s="168"/>
      <c r="B174" s="279"/>
      <c r="C174" s="32"/>
      <c r="D174" s="157"/>
      <c r="E174" s="157"/>
      <c r="F174" s="157"/>
      <c r="G174" s="157"/>
      <c r="H174" s="165"/>
      <c r="I174" s="157"/>
      <c r="J174" s="157"/>
      <c r="K174" s="157"/>
      <c r="L174" s="157"/>
      <c r="M174" s="157"/>
      <c r="N174" s="157"/>
      <c r="O174" s="157">
        <f t="shared" si="51"/>
        <v>0</v>
      </c>
      <c r="P174" s="157"/>
      <c r="Q174" s="157"/>
      <c r="R174" s="157"/>
      <c r="S174" s="157"/>
      <c r="T174" s="157"/>
      <c r="U174" s="157">
        <f t="shared" si="52"/>
        <v>0</v>
      </c>
      <c r="V174" s="158"/>
      <c r="W174" s="159">
        <f t="shared" si="53"/>
        <v>0</v>
      </c>
      <c r="X174" s="164"/>
    </row>
    <row r="175" spans="1:27" ht="20.100000000000001" hidden="1" customHeight="1" x14ac:dyDescent="0.2">
      <c r="A175" s="168"/>
      <c r="B175" s="279"/>
      <c r="C175" s="32"/>
      <c r="D175" s="157"/>
      <c r="E175" s="157"/>
      <c r="F175" s="157"/>
      <c r="G175" s="157"/>
      <c r="H175" s="165"/>
      <c r="I175" s="157"/>
      <c r="J175" s="157"/>
      <c r="K175" s="157"/>
      <c r="L175" s="157"/>
      <c r="M175" s="157"/>
      <c r="N175" s="157"/>
      <c r="O175" s="157">
        <f t="shared" si="51"/>
        <v>0</v>
      </c>
      <c r="P175" s="157"/>
      <c r="Q175" s="157"/>
      <c r="R175" s="157"/>
      <c r="S175" s="157"/>
      <c r="T175" s="157"/>
      <c r="U175" s="157">
        <f t="shared" si="52"/>
        <v>0</v>
      </c>
      <c r="V175" s="158"/>
      <c r="W175" s="159">
        <f t="shared" si="53"/>
        <v>0</v>
      </c>
      <c r="X175" s="164"/>
    </row>
    <row r="176" spans="1:27" ht="20.100000000000001" hidden="1" customHeight="1" x14ac:dyDescent="0.2">
      <c r="A176" s="168"/>
      <c r="B176" s="279"/>
      <c r="C176" s="32"/>
      <c r="D176" s="157"/>
      <c r="E176" s="157"/>
      <c r="F176" s="157"/>
      <c r="G176" s="157"/>
      <c r="H176" s="165"/>
      <c r="I176" s="157"/>
      <c r="J176" s="157"/>
      <c r="K176" s="157"/>
      <c r="L176" s="157"/>
      <c r="M176" s="157"/>
      <c r="N176" s="157"/>
      <c r="O176" s="157">
        <f t="shared" si="51"/>
        <v>0</v>
      </c>
      <c r="P176" s="157"/>
      <c r="Q176" s="157"/>
      <c r="R176" s="157"/>
      <c r="S176" s="157"/>
      <c r="T176" s="157"/>
      <c r="U176" s="157">
        <f t="shared" si="52"/>
        <v>0</v>
      </c>
      <c r="V176" s="158"/>
      <c r="W176" s="159">
        <f t="shared" si="53"/>
        <v>0</v>
      </c>
      <c r="X176" s="164"/>
    </row>
    <row r="177" spans="1:24" ht="20.100000000000001" hidden="1" customHeight="1" x14ac:dyDescent="0.2">
      <c r="A177" s="39"/>
      <c r="B177" s="49"/>
      <c r="C177" s="32"/>
      <c r="D177" s="157"/>
      <c r="E177" s="157"/>
      <c r="F177" s="157"/>
      <c r="G177" s="157"/>
      <c r="H177" s="165"/>
      <c r="I177" s="157"/>
      <c r="J177" s="157"/>
      <c r="K177" s="157"/>
      <c r="L177" s="157"/>
      <c r="M177" s="157"/>
      <c r="N177" s="157"/>
      <c r="O177" s="157">
        <f t="shared" si="51"/>
        <v>0</v>
      </c>
      <c r="P177" s="157"/>
      <c r="Q177" s="157"/>
      <c r="R177" s="157"/>
      <c r="S177" s="157"/>
      <c r="T177" s="157"/>
      <c r="U177" s="157">
        <f t="shared" si="52"/>
        <v>0</v>
      </c>
      <c r="V177" s="158"/>
      <c r="W177" s="159">
        <f t="shared" si="53"/>
        <v>0</v>
      </c>
      <c r="X177" s="164"/>
    </row>
    <row r="178" spans="1:24" ht="20.100000000000001" hidden="1" customHeight="1" x14ac:dyDescent="0.2">
      <c r="A178" s="39"/>
      <c r="B178" s="49"/>
      <c r="C178" s="32"/>
      <c r="D178" s="157"/>
      <c r="E178" s="157"/>
      <c r="F178" s="157"/>
      <c r="G178" s="157"/>
      <c r="H178" s="165"/>
      <c r="I178" s="157"/>
      <c r="J178" s="157"/>
      <c r="K178" s="157"/>
      <c r="L178" s="157"/>
      <c r="M178" s="157"/>
      <c r="N178" s="157"/>
      <c r="O178" s="157">
        <f t="shared" si="51"/>
        <v>0</v>
      </c>
      <c r="P178" s="157"/>
      <c r="Q178" s="157"/>
      <c r="R178" s="157"/>
      <c r="S178" s="157"/>
      <c r="T178" s="157"/>
      <c r="U178" s="157">
        <f t="shared" si="52"/>
        <v>0</v>
      </c>
      <c r="V178" s="158"/>
      <c r="W178" s="159">
        <f t="shared" si="53"/>
        <v>0</v>
      </c>
      <c r="X178" s="164"/>
    </row>
    <row r="179" spans="1:24" ht="20.100000000000001" hidden="1" customHeight="1" x14ac:dyDescent="0.2">
      <c r="A179" s="39"/>
      <c r="B179" s="49"/>
      <c r="C179" s="32"/>
      <c r="D179" s="157"/>
      <c r="E179" s="157"/>
      <c r="F179" s="157"/>
      <c r="G179" s="157"/>
      <c r="H179" s="165"/>
      <c r="I179" s="157"/>
      <c r="J179" s="157"/>
      <c r="K179" s="157"/>
      <c r="L179" s="157"/>
      <c r="M179" s="157"/>
      <c r="N179" s="157"/>
      <c r="O179" s="157">
        <f t="shared" si="51"/>
        <v>0</v>
      </c>
      <c r="P179" s="157"/>
      <c r="Q179" s="157"/>
      <c r="R179" s="157"/>
      <c r="S179" s="157"/>
      <c r="T179" s="157"/>
      <c r="U179" s="157">
        <f t="shared" si="52"/>
        <v>0</v>
      </c>
      <c r="V179" s="158"/>
      <c r="W179" s="159">
        <f t="shared" si="53"/>
        <v>0</v>
      </c>
      <c r="X179" s="164"/>
    </row>
    <row r="180" spans="1:24" ht="20.100000000000001" hidden="1" customHeight="1" x14ac:dyDescent="0.2">
      <c r="A180" s="39"/>
      <c r="B180" s="49"/>
      <c r="C180" s="32"/>
      <c r="D180" s="157"/>
      <c r="E180" s="157"/>
      <c r="F180" s="157"/>
      <c r="G180" s="157"/>
      <c r="H180" s="165"/>
      <c r="I180" s="157"/>
      <c r="J180" s="157"/>
      <c r="K180" s="157"/>
      <c r="L180" s="157"/>
      <c r="M180" s="157"/>
      <c r="N180" s="157"/>
      <c r="O180" s="157">
        <f t="shared" si="51"/>
        <v>0</v>
      </c>
      <c r="P180" s="157"/>
      <c r="Q180" s="157"/>
      <c r="R180" s="157"/>
      <c r="S180" s="157"/>
      <c r="T180" s="157"/>
      <c r="U180" s="157">
        <f t="shared" si="52"/>
        <v>0</v>
      </c>
      <c r="V180" s="158"/>
      <c r="W180" s="159">
        <f t="shared" si="53"/>
        <v>0</v>
      </c>
      <c r="X180" s="164"/>
    </row>
    <row r="181" spans="1:24" ht="20.100000000000001" hidden="1" customHeight="1" x14ac:dyDescent="0.2">
      <c r="A181" s="39"/>
      <c r="B181" s="49"/>
      <c r="C181" s="32"/>
      <c r="D181" s="157"/>
      <c r="E181" s="157"/>
      <c r="F181" s="157"/>
      <c r="G181" s="157"/>
      <c r="H181" s="165"/>
      <c r="I181" s="157"/>
      <c r="J181" s="157"/>
      <c r="K181" s="157"/>
      <c r="L181" s="157"/>
      <c r="M181" s="157"/>
      <c r="N181" s="157"/>
      <c r="O181" s="157">
        <f t="shared" si="51"/>
        <v>0</v>
      </c>
      <c r="P181" s="157"/>
      <c r="Q181" s="157"/>
      <c r="R181" s="157"/>
      <c r="S181" s="157"/>
      <c r="T181" s="157"/>
      <c r="U181" s="157">
        <f t="shared" si="52"/>
        <v>0</v>
      </c>
      <c r="V181" s="158"/>
      <c r="W181" s="159">
        <f t="shared" si="53"/>
        <v>0</v>
      </c>
      <c r="X181" s="164"/>
    </row>
    <row r="182" spans="1:24" ht="20.100000000000001" hidden="1" customHeight="1" x14ac:dyDescent="0.2">
      <c r="A182" s="39"/>
      <c r="B182" s="49"/>
      <c r="C182" s="32"/>
      <c r="D182" s="157"/>
      <c r="E182" s="157"/>
      <c r="F182" s="157"/>
      <c r="G182" s="157"/>
      <c r="H182" s="165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8"/>
      <c r="W182" s="159"/>
      <c r="X182" s="276"/>
    </row>
    <row r="183" spans="1:24" ht="20.100000000000001" hidden="1" customHeight="1" x14ac:dyDescent="0.2">
      <c r="A183" s="199" t="s">
        <v>77</v>
      </c>
      <c r="B183" s="195"/>
      <c r="C183" s="200" t="s">
        <v>75</v>
      </c>
      <c r="D183" s="157">
        <f t="shared" ref="D183:X183" si="54">SUM(D164:D182)</f>
        <v>0</v>
      </c>
      <c r="E183" s="157">
        <f t="shared" si="54"/>
        <v>0</v>
      </c>
      <c r="F183" s="157">
        <f t="shared" si="54"/>
        <v>0</v>
      </c>
      <c r="G183" s="157">
        <f t="shared" si="54"/>
        <v>0</v>
      </c>
      <c r="H183" s="157">
        <f t="shared" si="54"/>
        <v>0</v>
      </c>
      <c r="I183" s="157">
        <f t="shared" si="54"/>
        <v>0</v>
      </c>
      <c r="J183" s="157">
        <f t="shared" si="54"/>
        <v>0</v>
      </c>
      <c r="K183" s="157">
        <f t="shared" si="54"/>
        <v>0</v>
      </c>
      <c r="L183" s="157">
        <f t="shared" si="54"/>
        <v>0</v>
      </c>
      <c r="M183" s="157">
        <f t="shared" si="54"/>
        <v>0</v>
      </c>
      <c r="N183" s="157">
        <f t="shared" si="54"/>
        <v>0</v>
      </c>
      <c r="O183" s="157">
        <f t="shared" si="54"/>
        <v>0</v>
      </c>
      <c r="P183" s="157"/>
      <c r="Q183" s="157">
        <f t="shared" si="54"/>
        <v>0</v>
      </c>
      <c r="R183" s="157">
        <f t="shared" si="54"/>
        <v>0</v>
      </c>
      <c r="S183" s="157">
        <f t="shared" si="54"/>
        <v>0</v>
      </c>
      <c r="T183" s="157">
        <f t="shared" si="54"/>
        <v>0</v>
      </c>
      <c r="U183" s="157">
        <f t="shared" si="54"/>
        <v>0</v>
      </c>
      <c r="V183" s="157"/>
      <c r="W183" s="251">
        <f t="shared" si="54"/>
        <v>0</v>
      </c>
      <c r="X183" s="164">
        <f t="shared" si="54"/>
        <v>0</v>
      </c>
    </row>
    <row r="184" spans="1:24" ht="20.100000000000001" hidden="1" customHeight="1" x14ac:dyDescent="0.2">
      <c r="A184" s="39"/>
      <c r="B184" s="49"/>
      <c r="C184" s="32"/>
      <c r="D184" s="157"/>
      <c r="E184" s="157"/>
      <c r="F184" s="157"/>
      <c r="G184" s="157"/>
      <c r="H184" s="165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8"/>
      <c r="W184" s="159"/>
      <c r="X184" s="276"/>
    </row>
    <row r="185" spans="1:24" ht="20.100000000000001" hidden="1" customHeight="1" x14ac:dyDescent="0.2">
      <c r="A185" s="168" t="s">
        <v>99</v>
      </c>
      <c r="B185" s="389"/>
      <c r="C185" s="27"/>
      <c r="D185" s="157"/>
      <c r="E185" s="157"/>
      <c r="F185" s="157"/>
      <c r="G185" s="157"/>
      <c r="H185" s="157"/>
      <c r="I185" s="157"/>
      <c r="J185" s="157"/>
      <c r="K185" s="157"/>
      <c r="M185" s="157"/>
      <c r="N185" s="157"/>
      <c r="O185" s="157">
        <f>SUM(D185:N185)</f>
        <v>0</v>
      </c>
      <c r="P185" s="157"/>
      <c r="Q185" s="157"/>
      <c r="R185" s="157"/>
      <c r="S185" s="157"/>
      <c r="T185" s="157"/>
      <c r="U185" s="157">
        <f>SUM(Q185:T185)</f>
        <v>0</v>
      </c>
      <c r="V185" s="157"/>
      <c r="W185" s="159">
        <f>O185+U185</f>
        <v>0</v>
      </c>
      <c r="X185" s="267"/>
    </row>
    <row r="186" spans="1:24" ht="20.100000000000001" hidden="1" customHeight="1" x14ac:dyDescent="0.2">
      <c r="A186" s="168" t="s">
        <v>99</v>
      </c>
      <c r="B186" s="216"/>
      <c r="C186" s="2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>
        <f>SUM(D186:N186)</f>
        <v>0</v>
      </c>
      <c r="P186" s="157"/>
      <c r="Q186" s="157"/>
      <c r="R186" s="157"/>
      <c r="S186" s="157"/>
      <c r="T186" s="157"/>
      <c r="U186" s="157">
        <f>SUM(Q186:T186)</f>
        <v>0</v>
      </c>
      <c r="V186" s="157"/>
      <c r="W186" s="159">
        <f>O186+U186</f>
        <v>0</v>
      </c>
      <c r="X186" s="164"/>
    </row>
    <row r="187" spans="1:24" ht="20.100000000000001" hidden="1" customHeight="1" x14ac:dyDescent="0.2">
      <c r="A187" s="39"/>
      <c r="B187" s="30"/>
      <c r="C187" s="40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>
        <f>SUM(D187:N187)</f>
        <v>0</v>
      </c>
      <c r="P187" s="157"/>
      <c r="Q187" s="157"/>
      <c r="R187" s="157"/>
      <c r="S187" s="157"/>
      <c r="T187" s="157"/>
      <c r="U187" s="157">
        <f>SUM(Q187:T187)</f>
        <v>0</v>
      </c>
      <c r="V187" s="157"/>
      <c r="W187" s="159">
        <f>O187+U187</f>
        <v>0</v>
      </c>
      <c r="X187" s="267"/>
    </row>
    <row r="188" spans="1:24" ht="20.100000000000001" hidden="1" customHeight="1" x14ac:dyDescent="0.2">
      <c r="A188" s="39"/>
      <c r="B188" s="109"/>
      <c r="C188" s="40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>
        <f>SUM(D188:N188)</f>
        <v>0</v>
      </c>
      <c r="P188" s="157"/>
      <c r="Q188" s="157"/>
      <c r="R188" s="157"/>
      <c r="S188" s="157"/>
      <c r="T188" s="157"/>
      <c r="U188" s="157">
        <f>SUM(Q188:T188)</f>
        <v>0</v>
      </c>
      <c r="V188" s="157"/>
      <c r="W188" s="159">
        <f>O188+U188</f>
        <v>0</v>
      </c>
      <c r="X188" s="267"/>
    </row>
    <row r="189" spans="1:24" ht="20.100000000000001" hidden="1" customHeight="1" x14ac:dyDescent="0.2">
      <c r="A189" s="39"/>
      <c r="B189" s="109"/>
      <c r="C189" s="40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9"/>
      <c r="X189" s="268"/>
    </row>
    <row r="190" spans="1:24" ht="20.100000000000001" hidden="1" customHeight="1" x14ac:dyDescent="0.2">
      <c r="A190" s="199" t="s">
        <v>78</v>
      </c>
      <c r="B190" s="195"/>
      <c r="C190" s="200" t="s">
        <v>76</v>
      </c>
      <c r="D190" s="157">
        <f t="shared" ref="D190:U190" si="55">SUM(D185:D189)</f>
        <v>0</v>
      </c>
      <c r="E190" s="157">
        <f t="shared" si="55"/>
        <v>0</v>
      </c>
      <c r="F190" s="157">
        <f t="shared" si="55"/>
        <v>0</v>
      </c>
      <c r="G190" s="157">
        <f t="shared" si="55"/>
        <v>0</v>
      </c>
      <c r="H190" s="157">
        <f t="shared" si="55"/>
        <v>0</v>
      </c>
      <c r="I190" s="157">
        <f t="shared" si="55"/>
        <v>0</v>
      </c>
      <c r="J190" s="157">
        <f t="shared" si="55"/>
        <v>0</v>
      </c>
      <c r="K190" s="157">
        <f t="shared" si="55"/>
        <v>0</v>
      </c>
      <c r="L190" s="157">
        <f t="shared" si="55"/>
        <v>0</v>
      </c>
      <c r="M190" s="157">
        <f t="shared" si="55"/>
        <v>0</v>
      </c>
      <c r="N190" s="157">
        <f>SUM(N185:N189)</f>
        <v>0</v>
      </c>
      <c r="O190" s="157">
        <f t="shared" si="55"/>
        <v>0</v>
      </c>
      <c r="P190" s="157"/>
      <c r="Q190" s="157">
        <f>SUM(Q185:Q189)</f>
        <v>0</v>
      </c>
      <c r="R190" s="157">
        <f>SUM(R185:R189)</f>
        <v>0</v>
      </c>
      <c r="S190" s="157">
        <f t="shared" si="55"/>
        <v>0</v>
      </c>
      <c r="T190" s="157">
        <f t="shared" si="55"/>
        <v>0</v>
      </c>
      <c r="U190" s="157">
        <f t="shared" si="55"/>
        <v>0</v>
      </c>
      <c r="V190" s="157"/>
      <c r="W190" s="251">
        <f>SUM(W185:W189)</f>
        <v>0</v>
      </c>
      <c r="X190" s="251">
        <f>SUM(X185:X189)</f>
        <v>0</v>
      </c>
    </row>
    <row r="191" spans="1:24" ht="20.100000000000001" hidden="1" customHeight="1" x14ac:dyDescent="0.2">
      <c r="A191" s="39"/>
      <c r="B191" s="109"/>
      <c r="C191" s="40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9"/>
      <c r="X191" s="267"/>
    </row>
    <row r="192" spans="1:24" ht="20.100000000000001" hidden="1" customHeight="1" thickBot="1" x14ac:dyDescent="0.25">
      <c r="A192" s="39"/>
      <c r="B192" s="31"/>
      <c r="C192" s="33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9"/>
      <c r="X192" s="267"/>
    </row>
    <row r="193" spans="1:25" ht="24.75" hidden="1" customHeight="1" thickTop="1" thickBot="1" x14ac:dyDescent="0.25">
      <c r="A193" s="45"/>
      <c r="B193" s="250">
        <v>41639</v>
      </c>
      <c r="C193" s="43" t="s">
        <v>79</v>
      </c>
      <c r="D193" s="161">
        <f t="shared" ref="D193:U193" si="56">D183+D190</f>
        <v>0</v>
      </c>
      <c r="E193" s="161">
        <f t="shared" si="56"/>
        <v>0</v>
      </c>
      <c r="F193" s="161">
        <f t="shared" si="56"/>
        <v>0</v>
      </c>
      <c r="G193" s="161">
        <f t="shared" si="56"/>
        <v>0</v>
      </c>
      <c r="H193" s="161">
        <f t="shared" si="56"/>
        <v>0</v>
      </c>
      <c r="I193" s="161">
        <f t="shared" si="56"/>
        <v>0</v>
      </c>
      <c r="J193" s="161">
        <f t="shared" si="56"/>
        <v>0</v>
      </c>
      <c r="K193" s="161">
        <f t="shared" si="56"/>
        <v>0</v>
      </c>
      <c r="L193" s="161">
        <f t="shared" si="56"/>
        <v>0</v>
      </c>
      <c r="M193" s="161">
        <f t="shared" si="56"/>
        <v>0</v>
      </c>
      <c r="N193" s="161">
        <f t="shared" si="56"/>
        <v>0</v>
      </c>
      <c r="O193" s="161">
        <f t="shared" si="56"/>
        <v>0</v>
      </c>
      <c r="P193" s="161"/>
      <c r="Q193" s="161">
        <f>Q183+Q190</f>
        <v>0</v>
      </c>
      <c r="R193" s="161">
        <f>R183+R190</f>
        <v>0</v>
      </c>
      <c r="S193" s="161">
        <f t="shared" si="56"/>
        <v>0</v>
      </c>
      <c r="T193" s="161">
        <f t="shared" si="56"/>
        <v>0</v>
      </c>
      <c r="U193" s="161">
        <f t="shared" si="56"/>
        <v>0</v>
      </c>
      <c r="V193" s="161"/>
      <c r="W193" s="162">
        <f>W183+W190</f>
        <v>0</v>
      </c>
      <c r="X193" s="269">
        <f>X183+X190</f>
        <v>0</v>
      </c>
    </row>
    <row r="194" spans="1:25" ht="24.75" hidden="1" customHeight="1" thickTop="1" thickBot="1" x14ac:dyDescent="0.25">
      <c r="A194" s="41"/>
      <c r="B194" s="42" t="s">
        <v>104</v>
      </c>
      <c r="C194" s="43" t="s">
        <v>136</v>
      </c>
      <c r="D194" s="193">
        <f t="shared" ref="D194:U194" si="57">D163+D193</f>
        <v>0</v>
      </c>
      <c r="E194" s="193">
        <f t="shared" si="57"/>
        <v>0</v>
      </c>
      <c r="F194" s="193">
        <f t="shared" si="57"/>
        <v>16585.308000000001</v>
      </c>
      <c r="G194" s="193">
        <f t="shared" si="57"/>
        <v>1860</v>
      </c>
      <c r="H194" s="193">
        <f t="shared" si="57"/>
        <v>10274</v>
      </c>
      <c r="I194" s="193">
        <f t="shared" si="57"/>
        <v>0</v>
      </c>
      <c r="J194" s="193">
        <f t="shared" si="57"/>
        <v>0</v>
      </c>
      <c r="K194" s="193">
        <f t="shared" si="57"/>
        <v>0</v>
      </c>
      <c r="L194" s="193">
        <f t="shared" si="57"/>
        <v>50</v>
      </c>
      <c r="M194" s="193">
        <f t="shared" si="57"/>
        <v>1500</v>
      </c>
      <c r="N194" s="193">
        <f t="shared" si="57"/>
        <v>0</v>
      </c>
      <c r="O194" s="193">
        <f t="shared" si="57"/>
        <v>30269.308000000001</v>
      </c>
      <c r="P194" s="193"/>
      <c r="Q194" s="193">
        <f t="shared" si="57"/>
        <v>0</v>
      </c>
      <c r="R194" s="193">
        <f t="shared" si="57"/>
        <v>220640.39</v>
      </c>
      <c r="S194" s="193">
        <f t="shared" si="57"/>
        <v>0</v>
      </c>
      <c r="T194" s="193">
        <f t="shared" si="57"/>
        <v>0</v>
      </c>
      <c r="U194" s="193">
        <f t="shared" si="57"/>
        <v>220640.39</v>
      </c>
      <c r="V194" s="193"/>
      <c r="W194" s="162">
        <f>O194+U194</f>
        <v>250909.698</v>
      </c>
      <c r="X194" s="269">
        <f>X162+X193</f>
        <v>4137144.6430000002</v>
      </c>
    </row>
    <row r="195" spans="1:25" ht="24.95" customHeight="1" thickTop="1" x14ac:dyDescent="0.25"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</row>
    <row r="196" spans="1:25" ht="24.95" customHeight="1" x14ac:dyDescent="0.25"/>
    <row r="197" spans="1:25" ht="24.95" hidden="1" customHeight="1" thickTop="1" thickBot="1" x14ac:dyDescent="0.3">
      <c r="C197" s="284" t="s">
        <v>86</v>
      </c>
      <c r="D197" s="282">
        <v>0</v>
      </c>
      <c r="E197" s="282">
        <v>0</v>
      </c>
      <c r="F197" s="282">
        <v>16585.308000000001</v>
      </c>
      <c r="G197" s="282">
        <v>1860</v>
      </c>
      <c r="H197" s="282">
        <v>10274</v>
      </c>
      <c r="I197" s="282">
        <v>0</v>
      </c>
      <c r="J197" s="282">
        <v>0</v>
      </c>
      <c r="K197" s="282">
        <v>0</v>
      </c>
      <c r="L197" s="282">
        <v>50</v>
      </c>
      <c r="M197" s="282">
        <v>1500</v>
      </c>
      <c r="N197" s="282">
        <v>0</v>
      </c>
      <c r="O197" s="282">
        <v>30269.308000000001</v>
      </c>
      <c r="P197" s="282"/>
      <c r="Q197" s="282">
        <v>0</v>
      </c>
      <c r="R197" s="282">
        <v>220640.39000000013</v>
      </c>
      <c r="S197" s="282">
        <v>0</v>
      </c>
      <c r="T197" s="282">
        <v>0</v>
      </c>
      <c r="U197" s="282">
        <v>220640.39000000013</v>
      </c>
      <c r="V197" s="282"/>
      <c r="W197" s="282">
        <v>250909.69800000012</v>
      </c>
      <c r="X197" s="282">
        <v>4137144.6429999997</v>
      </c>
      <c r="Y197" s="28">
        <f>SUM(W197:X197)</f>
        <v>4388054.341</v>
      </c>
    </row>
    <row r="198" spans="1:25" ht="24.95" hidden="1" customHeight="1" thickTop="1" x14ac:dyDescent="0.25"/>
    <row r="199" spans="1:25" ht="24.95" hidden="1" customHeight="1" x14ac:dyDescent="0.25">
      <c r="C199" s="2" t="s">
        <v>82</v>
      </c>
      <c r="D199" s="156">
        <f>D149-D197</f>
        <v>0</v>
      </c>
      <c r="E199" s="156">
        <f>E149-E197</f>
        <v>0</v>
      </c>
      <c r="F199" s="156">
        <f>F149-F197</f>
        <v>0</v>
      </c>
      <c r="G199" s="156">
        <f t="shared" ref="G199:X199" si="58">G149-G197</f>
        <v>0</v>
      </c>
      <c r="H199" s="156">
        <f t="shared" si="58"/>
        <v>0</v>
      </c>
      <c r="I199" s="156">
        <f t="shared" si="58"/>
        <v>0</v>
      </c>
      <c r="J199" s="156">
        <f t="shared" si="58"/>
        <v>0</v>
      </c>
      <c r="K199" s="156">
        <f t="shared" si="58"/>
        <v>0</v>
      </c>
      <c r="L199" s="156">
        <f t="shared" si="58"/>
        <v>0</v>
      </c>
      <c r="M199" s="156">
        <f t="shared" si="58"/>
        <v>0</v>
      </c>
      <c r="N199" s="156">
        <f t="shared" si="58"/>
        <v>0</v>
      </c>
      <c r="O199" s="156">
        <f t="shared" si="58"/>
        <v>0</v>
      </c>
      <c r="P199" s="156"/>
      <c r="Q199" s="156">
        <f t="shared" si="58"/>
        <v>0</v>
      </c>
      <c r="R199" s="156">
        <f t="shared" si="58"/>
        <v>0</v>
      </c>
      <c r="S199" s="156">
        <f t="shared" si="58"/>
        <v>0</v>
      </c>
      <c r="T199" s="156">
        <f t="shared" si="58"/>
        <v>0</v>
      </c>
      <c r="U199" s="156">
        <f t="shared" si="58"/>
        <v>0</v>
      </c>
      <c r="V199" s="156"/>
      <c r="W199" s="156">
        <f t="shared" si="58"/>
        <v>0</v>
      </c>
      <c r="X199" s="156">
        <f t="shared" si="58"/>
        <v>0</v>
      </c>
    </row>
    <row r="200" spans="1:25" ht="24.95" hidden="1" customHeight="1" x14ac:dyDescent="0.25"/>
    <row r="201" spans="1:25" ht="24.95" customHeight="1" x14ac:dyDescent="0.25"/>
    <row r="202" spans="1:25" ht="24.95" customHeight="1" x14ac:dyDescent="0.25"/>
    <row r="203" spans="1:25" ht="24.95" customHeight="1" x14ac:dyDescent="0.25"/>
    <row r="204" spans="1:25" ht="24.95" customHeight="1" x14ac:dyDescent="0.25"/>
    <row r="205" spans="1:25" ht="24.95" customHeight="1" x14ac:dyDescent="0.25"/>
    <row r="206" spans="1:25" ht="24.95" customHeight="1" x14ac:dyDescent="0.25"/>
    <row r="207" spans="1:25" ht="24.95" customHeight="1" x14ac:dyDescent="0.25"/>
    <row r="208" spans="1:25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492" spans="9:9" x14ac:dyDescent="0.25">
      <c r="I492" s="51">
        <f>-10437-1367-86-236+13-6357-200+31+71-310-1500-799-55-443-3970</f>
        <v>-25645</v>
      </c>
    </row>
  </sheetData>
  <mergeCells count="5">
    <mergeCell ref="A2:X2"/>
    <mergeCell ref="A4:X4"/>
    <mergeCell ref="D7:F7"/>
    <mergeCell ref="J7:K7"/>
    <mergeCell ref="Q7:T7"/>
  </mergeCells>
  <phoneticPr fontId="3" type="noConversion"/>
  <printOptions horizontalCentered="1" verticalCentered="1"/>
  <pageMargins left="0" right="0" top="0.31496062992125984" bottom="0.37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3"/>
  <sheetViews>
    <sheetView zoomScale="75" zoomScaleNormal="75" workbookViewId="0"/>
  </sheetViews>
  <sheetFormatPr defaultRowHeight="16.5" x14ac:dyDescent="0.25"/>
  <cols>
    <col min="1" max="1" width="4.7109375" style="90" customWidth="1"/>
    <col min="2" max="2" width="12.42578125" style="1" hidden="1" customWidth="1"/>
    <col min="3" max="3" width="58.7109375" style="2" customWidth="1"/>
    <col min="4" max="4" width="13.28515625" style="2" customWidth="1"/>
    <col min="5" max="5" width="13.85546875" style="2" customWidth="1"/>
    <col min="6" max="6" width="12.7109375" style="2" customWidth="1"/>
    <col min="7" max="7" width="13.85546875" style="2" customWidth="1"/>
    <col min="8" max="8" width="12.28515625" style="2" customWidth="1"/>
    <col min="9" max="9" width="12.7109375" style="2" customWidth="1"/>
    <col min="10" max="11" width="12.28515625" style="2" customWidth="1"/>
    <col min="12" max="18" width="12.7109375" style="2" customWidth="1"/>
    <col min="19" max="19" width="1.7109375" style="2" customWidth="1"/>
    <col min="20" max="24" width="12.7109375" style="2" customWidth="1"/>
    <col min="25" max="25" width="18.28515625" style="52" customWidth="1"/>
    <col min="26" max="26" width="16.28515625" style="52" customWidth="1"/>
    <col min="27" max="29" width="10.42578125" style="52" customWidth="1"/>
    <col min="30" max="30" width="12.28515625" style="52" customWidth="1"/>
    <col min="31" max="31" width="14" style="52" customWidth="1"/>
    <col min="32" max="32" width="12.28515625" style="52" customWidth="1"/>
    <col min="33" max="34" width="10.42578125" style="52" customWidth="1"/>
    <col min="35" max="35" width="12.28515625" style="52" customWidth="1"/>
    <col min="36" max="36" width="9.140625" style="52"/>
    <col min="37" max="38" width="10.42578125" style="52" customWidth="1"/>
    <col min="39" max="39" width="12.28515625" style="52" customWidth="1"/>
    <col min="40" max="40" width="12.7109375" style="52" customWidth="1"/>
    <col min="41" max="16384" width="9.140625" style="2"/>
  </cols>
  <sheetData>
    <row r="1" spans="1:40" x14ac:dyDescent="0.25">
      <c r="Y1" s="174" t="s">
        <v>442</v>
      </c>
    </row>
    <row r="2" spans="1:40" ht="18.75" x14ac:dyDescent="0.2">
      <c r="A2" s="685" t="s">
        <v>0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5"/>
      <c r="W2" s="685"/>
      <c r="X2" s="685"/>
      <c r="Y2" s="685"/>
    </row>
    <row r="3" spans="1:40" ht="9.9499999999999993" customHeight="1" x14ac:dyDescent="0.2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</row>
    <row r="4" spans="1:40" ht="42" customHeight="1" x14ac:dyDescent="0.2">
      <c r="A4" s="686" t="s">
        <v>208</v>
      </c>
      <c r="B4" s="685"/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5"/>
    </row>
    <row r="5" spans="1:40" ht="9.9499999999999993" customHeight="1" x14ac:dyDescent="0.2">
      <c r="A5" s="444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</row>
    <row r="6" spans="1:40" ht="17.25" customHeight="1" thickBo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6" t="s">
        <v>1</v>
      </c>
    </row>
    <row r="7" spans="1:40" ht="17.25" thickBot="1" x14ac:dyDescent="0.3">
      <c r="A7" s="663"/>
      <c r="B7" s="7"/>
      <c r="C7" s="470"/>
      <c r="D7" s="695" t="s">
        <v>33</v>
      </c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  <c r="T7" s="696"/>
      <c r="U7" s="696"/>
      <c r="V7" s="696"/>
      <c r="W7" s="696"/>
      <c r="X7" s="687"/>
      <c r="Y7" s="437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</row>
    <row r="8" spans="1:40" ht="17.25" customHeight="1" thickTop="1" x14ac:dyDescent="0.25">
      <c r="A8" s="56"/>
      <c r="B8" s="11"/>
      <c r="C8" s="12"/>
      <c r="D8" s="688" t="s">
        <v>153</v>
      </c>
      <c r="E8" s="689"/>
      <c r="F8" s="689"/>
      <c r="G8" s="689"/>
      <c r="H8" s="689"/>
      <c r="I8" s="689"/>
      <c r="J8" s="689"/>
      <c r="K8" s="690"/>
      <c r="L8" s="691" t="s">
        <v>154</v>
      </c>
      <c r="M8" s="692"/>
      <c r="N8" s="692"/>
      <c r="O8" s="692"/>
      <c r="P8" s="692"/>
      <c r="Q8" s="690"/>
      <c r="R8" s="458" t="s">
        <v>121</v>
      </c>
      <c r="S8" s="488"/>
      <c r="T8" s="691" t="s">
        <v>155</v>
      </c>
      <c r="U8" s="692"/>
      <c r="V8" s="692"/>
      <c r="W8" s="693"/>
      <c r="X8" s="462" t="s">
        <v>132</v>
      </c>
      <c r="Y8" s="98" t="s">
        <v>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55"/>
    </row>
    <row r="9" spans="1:40" x14ac:dyDescent="0.25">
      <c r="A9" s="17" t="s">
        <v>8</v>
      </c>
      <c r="B9" s="11"/>
      <c r="C9" s="12" t="s">
        <v>3</v>
      </c>
      <c r="D9" s="57"/>
      <c r="E9" s="191" t="s">
        <v>38</v>
      </c>
      <c r="F9" s="58"/>
      <c r="G9" s="58" t="s">
        <v>34</v>
      </c>
      <c r="H9" s="58" t="s">
        <v>107</v>
      </c>
      <c r="I9" s="58" t="s">
        <v>108</v>
      </c>
      <c r="J9" s="58" t="s">
        <v>108</v>
      </c>
      <c r="K9" s="191"/>
      <c r="L9" s="58"/>
      <c r="M9" s="58"/>
      <c r="N9" s="58" t="s">
        <v>4</v>
      </c>
      <c r="O9" s="58" t="s">
        <v>138</v>
      </c>
      <c r="P9" s="59" t="s">
        <v>139</v>
      </c>
      <c r="Q9" s="191" t="s">
        <v>4</v>
      </c>
      <c r="R9" s="459" t="s">
        <v>122</v>
      </c>
      <c r="S9" s="459"/>
      <c r="T9" s="16" t="s">
        <v>140</v>
      </c>
      <c r="U9" s="16" t="s">
        <v>141</v>
      </c>
      <c r="V9" s="16" t="s">
        <v>181</v>
      </c>
      <c r="W9" s="16" t="s">
        <v>4</v>
      </c>
      <c r="X9" s="463" t="s">
        <v>133</v>
      </c>
      <c r="Y9" s="99" t="s">
        <v>36</v>
      </c>
      <c r="Z9" s="4"/>
      <c r="AA9" s="4"/>
      <c r="AB9" s="4"/>
      <c r="AC9" s="4"/>
      <c r="AD9" s="4"/>
      <c r="AE9" s="4"/>
      <c r="AF9" s="4"/>
      <c r="AG9" s="4"/>
      <c r="AH9" s="684"/>
      <c r="AI9" s="684"/>
      <c r="AJ9" s="4"/>
      <c r="AK9" s="4"/>
      <c r="AL9" s="4"/>
      <c r="AM9" s="4"/>
      <c r="AN9" s="55"/>
    </row>
    <row r="10" spans="1:40" ht="16.5" customHeight="1" x14ac:dyDescent="0.25">
      <c r="A10" s="10"/>
      <c r="B10" s="11"/>
      <c r="C10" s="12" t="s">
        <v>9</v>
      </c>
      <c r="D10" s="58" t="s">
        <v>37</v>
      </c>
      <c r="E10" s="58" t="s">
        <v>66</v>
      </c>
      <c r="F10" s="58" t="s">
        <v>39</v>
      </c>
      <c r="G10" s="58" t="s">
        <v>40</v>
      </c>
      <c r="H10" s="58" t="s">
        <v>109</v>
      </c>
      <c r="I10" s="58" t="s">
        <v>68</v>
      </c>
      <c r="J10" s="58" t="s">
        <v>68</v>
      </c>
      <c r="K10" s="58" t="s">
        <v>43</v>
      </c>
      <c r="L10" s="58" t="s">
        <v>142</v>
      </c>
      <c r="M10" s="58" t="s">
        <v>143</v>
      </c>
      <c r="N10" s="58" t="s">
        <v>144</v>
      </c>
      <c r="O10" s="58" t="s">
        <v>145</v>
      </c>
      <c r="P10" s="58" t="s">
        <v>51</v>
      </c>
      <c r="Q10" s="58" t="s">
        <v>144</v>
      </c>
      <c r="R10" s="460" t="s">
        <v>41</v>
      </c>
      <c r="S10" s="460"/>
      <c r="T10" s="12" t="s">
        <v>146</v>
      </c>
      <c r="U10" s="12" t="s">
        <v>126</v>
      </c>
      <c r="V10" s="12" t="s">
        <v>182</v>
      </c>
      <c r="W10" s="16" t="s">
        <v>175</v>
      </c>
      <c r="X10" s="394" t="s">
        <v>41</v>
      </c>
      <c r="Y10" s="99" t="s">
        <v>12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5"/>
    </row>
    <row r="11" spans="1:40" x14ac:dyDescent="0.25">
      <c r="A11" s="56"/>
      <c r="B11" s="11"/>
      <c r="C11" s="12" t="s">
        <v>13</v>
      </c>
      <c r="D11" s="58" t="s">
        <v>45</v>
      </c>
      <c r="E11" s="58" t="s">
        <v>50</v>
      </c>
      <c r="F11" s="58" t="s">
        <v>41</v>
      </c>
      <c r="G11" s="58" t="s">
        <v>46</v>
      </c>
      <c r="H11" s="58" t="s">
        <v>111</v>
      </c>
      <c r="I11" s="58" t="s">
        <v>112</v>
      </c>
      <c r="J11" s="58" t="s">
        <v>112</v>
      </c>
      <c r="K11" s="58"/>
      <c r="L11" s="58"/>
      <c r="M11" s="58"/>
      <c r="N11" s="58" t="s">
        <v>68</v>
      </c>
      <c r="O11" s="58" t="s">
        <v>47</v>
      </c>
      <c r="P11" s="58"/>
      <c r="Q11" s="58" t="s">
        <v>68</v>
      </c>
      <c r="R11" s="460" t="s">
        <v>12</v>
      </c>
      <c r="S11" s="460"/>
      <c r="T11" s="12" t="s">
        <v>147</v>
      </c>
      <c r="U11" s="12" t="s">
        <v>128</v>
      </c>
      <c r="V11" s="12" t="s">
        <v>185</v>
      </c>
      <c r="W11" s="16" t="s">
        <v>176</v>
      </c>
      <c r="X11" s="394" t="s">
        <v>12</v>
      </c>
      <c r="Y11" s="100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5"/>
    </row>
    <row r="12" spans="1:40" x14ac:dyDescent="0.25">
      <c r="A12" s="56"/>
      <c r="B12" s="11"/>
      <c r="C12" s="12"/>
      <c r="D12" s="60"/>
      <c r="E12" s="58" t="s">
        <v>67</v>
      </c>
      <c r="F12" s="58"/>
      <c r="G12" s="115"/>
      <c r="H12" s="61"/>
      <c r="I12" s="115" t="s">
        <v>148</v>
      </c>
      <c r="J12" s="115" t="s">
        <v>149</v>
      </c>
      <c r="K12" s="58"/>
      <c r="L12" s="61"/>
      <c r="M12" s="58"/>
      <c r="N12" s="58" t="s">
        <v>150</v>
      </c>
      <c r="O12" s="58" t="s">
        <v>151</v>
      </c>
      <c r="P12" s="58"/>
      <c r="Q12" s="58" t="s">
        <v>151</v>
      </c>
      <c r="R12" s="461" t="s">
        <v>157</v>
      </c>
      <c r="S12" s="461"/>
      <c r="T12" s="12" t="s">
        <v>152</v>
      </c>
      <c r="U12" s="12" t="s">
        <v>48</v>
      </c>
      <c r="V12" s="12" t="s">
        <v>186</v>
      </c>
      <c r="W12" s="12" t="s">
        <v>41</v>
      </c>
      <c r="X12" s="330" t="s">
        <v>158</v>
      </c>
      <c r="Y12" s="100" t="s">
        <v>159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5"/>
    </row>
    <row r="13" spans="1:40" ht="18" customHeight="1" x14ac:dyDescent="0.25">
      <c r="A13" s="180">
        <v>1</v>
      </c>
      <c r="B13" s="207"/>
      <c r="C13" s="204">
        <v>2</v>
      </c>
      <c r="D13" s="204">
        <v>3</v>
      </c>
      <c r="E13" s="204">
        <v>4</v>
      </c>
      <c r="F13" s="204">
        <v>5</v>
      </c>
      <c r="G13" s="204">
        <v>6</v>
      </c>
      <c r="H13" s="204">
        <v>7</v>
      </c>
      <c r="I13" s="204">
        <v>8</v>
      </c>
      <c r="J13" s="204">
        <v>9</v>
      </c>
      <c r="K13" s="204">
        <v>10</v>
      </c>
      <c r="L13" s="204">
        <v>11</v>
      </c>
      <c r="M13" s="204">
        <v>12</v>
      </c>
      <c r="N13" s="204">
        <v>13</v>
      </c>
      <c r="O13" s="204">
        <v>14</v>
      </c>
      <c r="P13" s="204">
        <v>15</v>
      </c>
      <c r="Q13" s="204">
        <v>16</v>
      </c>
      <c r="R13" s="204">
        <v>17</v>
      </c>
      <c r="S13" s="204"/>
      <c r="T13" s="204">
        <v>18</v>
      </c>
      <c r="U13" s="204">
        <v>19</v>
      </c>
      <c r="V13" s="466">
        <v>20</v>
      </c>
      <c r="W13" s="204">
        <v>21</v>
      </c>
      <c r="X13" s="204">
        <v>22</v>
      </c>
      <c r="Y13" s="205">
        <v>23</v>
      </c>
      <c r="Z13" s="4"/>
      <c r="AA13" s="4"/>
      <c r="AB13" s="4"/>
      <c r="AC13" s="4"/>
      <c r="AD13" s="4"/>
      <c r="AE13" s="4"/>
      <c r="AF13" s="4"/>
      <c r="AG13" s="4"/>
      <c r="AH13" s="684"/>
      <c r="AI13" s="684"/>
      <c r="AJ13" s="4"/>
      <c r="AK13" s="4"/>
      <c r="AL13" s="4"/>
      <c r="AM13" s="4"/>
      <c r="AN13" s="4"/>
    </row>
    <row r="14" spans="1:40" s="66" customFormat="1" ht="19.5" customHeight="1" x14ac:dyDescent="0.3">
      <c r="A14" s="62"/>
      <c r="B14" s="137"/>
      <c r="C14" s="63" t="s">
        <v>56</v>
      </c>
      <c r="D14" s="138">
        <v>2547439</v>
      </c>
      <c r="E14" s="138">
        <v>529455</v>
      </c>
      <c r="F14" s="138">
        <v>701921</v>
      </c>
      <c r="G14" s="138">
        <v>185</v>
      </c>
      <c r="H14" s="138">
        <v>0</v>
      </c>
      <c r="I14" s="138">
        <v>0</v>
      </c>
      <c r="J14" s="138">
        <v>0</v>
      </c>
      <c r="K14" s="138">
        <v>0</v>
      </c>
      <c r="L14" s="138">
        <v>216998</v>
      </c>
      <c r="M14" s="138">
        <v>5100</v>
      </c>
      <c r="N14" s="138">
        <v>0</v>
      </c>
      <c r="O14" s="138">
        <v>5000</v>
      </c>
      <c r="P14" s="138">
        <v>0</v>
      </c>
      <c r="Q14" s="138">
        <v>0</v>
      </c>
      <c r="R14" s="138">
        <f>SUM(D14:Q14)</f>
        <v>4006098</v>
      </c>
      <c r="S14" s="138"/>
      <c r="T14" s="138">
        <v>0</v>
      </c>
      <c r="U14" s="138">
        <v>0</v>
      </c>
      <c r="V14" s="139">
        <v>0</v>
      </c>
      <c r="W14" s="138">
        <v>0</v>
      </c>
      <c r="X14" s="139">
        <f>SUM(T14:W14)</f>
        <v>0</v>
      </c>
      <c r="Y14" s="140">
        <f>R14+X14</f>
        <v>4006098</v>
      </c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5"/>
    </row>
    <row r="15" spans="1:40" ht="20.100000000000001" hidden="1" customHeight="1" x14ac:dyDescent="0.25">
      <c r="A15" s="67"/>
      <c r="B15" s="123" t="s">
        <v>71</v>
      </c>
      <c r="C15" s="40" t="s">
        <v>94</v>
      </c>
      <c r="D15" s="70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1"/>
      <c r="X15" s="72"/>
      <c r="Y15" s="80">
        <f>SUM(D15:W15)</f>
        <v>0</v>
      </c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9"/>
    </row>
    <row r="16" spans="1:40" ht="20.100000000000001" hidden="1" customHeight="1" x14ac:dyDescent="0.25">
      <c r="A16" s="143"/>
      <c r="B16" s="26"/>
      <c r="C16" s="23" t="s">
        <v>18</v>
      </c>
      <c r="D16" s="138">
        <f t="shared" ref="D16:Y16" si="0">SUM(D14:D15)</f>
        <v>2547439</v>
      </c>
      <c r="E16" s="138">
        <f t="shared" si="0"/>
        <v>529455</v>
      </c>
      <c r="F16" s="138">
        <f t="shared" si="0"/>
        <v>701921</v>
      </c>
      <c r="G16" s="138">
        <f t="shared" si="0"/>
        <v>185</v>
      </c>
      <c r="H16" s="138">
        <f t="shared" si="0"/>
        <v>0</v>
      </c>
      <c r="I16" s="138">
        <f t="shared" si="0"/>
        <v>0</v>
      </c>
      <c r="J16" s="138">
        <f t="shared" si="0"/>
        <v>0</v>
      </c>
      <c r="K16" s="138">
        <f t="shared" si="0"/>
        <v>0</v>
      </c>
      <c r="L16" s="138">
        <f t="shared" si="0"/>
        <v>216998</v>
      </c>
      <c r="M16" s="138">
        <f t="shared" si="0"/>
        <v>5100</v>
      </c>
      <c r="N16" s="138">
        <f t="shared" si="0"/>
        <v>0</v>
      </c>
      <c r="O16" s="138">
        <f t="shared" si="0"/>
        <v>5000</v>
      </c>
      <c r="P16" s="138">
        <f t="shared" si="0"/>
        <v>0</v>
      </c>
      <c r="Q16" s="138">
        <f t="shared" si="0"/>
        <v>0</v>
      </c>
      <c r="R16" s="138">
        <f>SUM(D16:Q16)</f>
        <v>4006098</v>
      </c>
      <c r="S16" s="138"/>
      <c r="T16" s="138">
        <f t="shared" si="0"/>
        <v>0</v>
      </c>
      <c r="U16" s="138">
        <f t="shared" si="0"/>
        <v>0</v>
      </c>
      <c r="V16" s="139">
        <f t="shared" si="0"/>
        <v>0</v>
      </c>
      <c r="W16" s="138">
        <f t="shared" si="0"/>
        <v>0</v>
      </c>
      <c r="X16" s="139">
        <f>SUM(T16:W16)</f>
        <v>0</v>
      </c>
      <c r="Y16" s="140">
        <f t="shared" si="0"/>
        <v>4006098</v>
      </c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9"/>
    </row>
    <row r="17" spans="1:40" ht="30" hidden="1" customHeight="1" x14ac:dyDescent="0.25">
      <c r="A17" s="79"/>
      <c r="B17" s="123"/>
      <c r="C17" s="27"/>
      <c r="D17" s="71"/>
      <c r="E17" s="71"/>
      <c r="F17" s="72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>
        <f t="shared" ref="R17:R94" si="1">SUM(D17:Q17)</f>
        <v>0</v>
      </c>
      <c r="S17" s="71"/>
      <c r="T17" s="71"/>
      <c r="U17" s="71"/>
      <c r="V17" s="72"/>
      <c r="W17" s="71"/>
      <c r="X17" s="72">
        <f t="shared" ref="X17:X94" si="2">SUM(T17:W17)</f>
        <v>0</v>
      </c>
      <c r="Y17" s="80">
        <f t="shared" ref="Y17:Y94" si="3">R17+X17</f>
        <v>0</v>
      </c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9"/>
    </row>
    <row r="18" spans="1:40" ht="9.9499999999999993" customHeight="1" x14ac:dyDescent="0.25">
      <c r="A18" s="79"/>
      <c r="B18" s="123"/>
      <c r="C18" s="27"/>
      <c r="D18" s="71"/>
      <c r="E18" s="71"/>
      <c r="F18" s="72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2"/>
      <c r="W18" s="71"/>
      <c r="X18" s="72"/>
      <c r="Y18" s="80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9"/>
    </row>
    <row r="19" spans="1:40" ht="30" customHeight="1" x14ac:dyDescent="0.25">
      <c r="A19" s="79">
        <v>1</v>
      </c>
      <c r="B19" s="123" t="s">
        <v>304</v>
      </c>
      <c r="C19" s="27" t="s">
        <v>243</v>
      </c>
      <c r="D19" s="142"/>
      <c r="E19" s="142"/>
      <c r="F19" s="72"/>
      <c r="G19" s="71"/>
      <c r="H19" s="71"/>
      <c r="I19" s="71"/>
      <c r="J19" s="71"/>
      <c r="K19" s="71"/>
      <c r="L19" s="71">
        <v>150</v>
      </c>
      <c r="M19" s="71"/>
      <c r="N19" s="71"/>
      <c r="O19" s="71"/>
      <c r="P19" s="71"/>
      <c r="Q19" s="71"/>
      <c r="R19" s="142">
        <f t="shared" si="1"/>
        <v>150</v>
      </c>
      <c r="S19" s="71"/>
      <c r="T19" s="71"/>
      <c r="U19" s="71"/>
      <c r="V19" s="72"/>
      <c r="W19" s="71"/>
      <c r="X19" s="148">
        <f t="shared" ref="X19:X20" si="4">SUM(T19:W19)</f>
        <v>0</v>
      </c>
      <c r="Y19" s="590">
        <f t="shared" ref="Y19:Y20" si="5">R19+X19</f>
        <v>150</v>
      </c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9"/>
    </row>
    <row r="20" spans="1:40" ht="30" customHeight="1" x14ac:dyDescent="0.25">
      <c r="A20" s="79">
        <v>2</v>
      </c>
      <c r="B20" s="592" t="s">
        <v>254</v>
      </c>
      <c r="C20" s="27" t="s">
        <v>253</v>
      </c>
      <c r="D20" s="142">
        <f>85.1</f>
        <v>85.1</v>
      </c>
      <c r="E20" s="142">
        <f>16.595</f>
        <v>16.594999999999999</v>
      </c>
      <c r="F20" s="72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142">
        <f t="shared" si="1"/>
        <v>101.69499999999999</v>
      </c>
      <c r="S20" s="71"/>
      <c r="T20" s="71"/>
      <c r="U20" s="71"/>
      <c r="V20" s="72"/>
      <c r="W20" s="71"/>
      <c r="X20" s="148">
        <f t="shared" si="4"/>
        <v>0</v>
      </c>
      <c r="Y20" s="590">
        <f t="shared" si="5"/>
        <v>101.69499999999999</v>
      </c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9"/>
    </row>
    <row r="21" spans="1:40" ht="30" customHeight="1" x14ac:dyDescent="0.25">
      <c r="A21" s="79">
        <v>3</v>
      </c>
      <c r="B21" s="592" t="s">
        <v>248</v>
      </c>
      <c r="C21" s="27" t="s">
        <v>247</v>
      </c>
      <c r="D21" s="142"/>
      <c r="E21" s="142"/>
      <c r="F21" s="142"/>
      <c r="G21" s="142"/>
      <c r="H21" s="142"/>
      <c r="I21" s="142"/>
      <c r="J21" s="142"/>
      <c r="K21" s="142"/>
      <c r="L21" s="142">
        <f>1230+333</f>
        <v>1563</v>
      </c>
      <c r="M21" s="142"/>
      <c r="N21" s="142"/>
      <c r="O21" s="142"/>
      <c r="P21" s="142"/>
      <c r="Q21" s="142"/>
      <c r="R21" s="142">
        <f t="shared" si="1"/>
        <v>1563</v>
      </c>
      <c r="S21" s="142"/>
      <c r="T21" s="142"/>
      <c r="U21" s="142"/>
      <c r="V21" s="148"/>
      <c r="W21" s="142"/>
      <c r="X21" s="148">
        <f t="shared" si="2"/>
        <v>0</v>
      </c>
      <c r="Y21" s="590">
        <f t="shared" si="3"/>
        <v>1563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9"/>
    </row>
    <row r="22" spans="1:40" ht="30" customHeight="1" x14ac:dyDescent="0.25">
      <c r="A22" s="79">
        <v>4</v>
      </c>
      <c r="B22" s="592" t="s">
        <v>258</v>
      </c>
      <c r="C22" s="27" t="s">
        <v>257</v>
      </c>
      <c r="D22" s="142">
        <f>-105</f>
        <v>-105</v>
      </c>
      <c r="E22" s="142">
        <f>-19</f>
        <v>-19</v>
      </c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>
        <f t="shared" si="1"/>
        <v>-124</v>
      </c>
      <c r="S22" s="142"/>
      <c r="T22" s="142"/>
      <c r="U22" s="142"/>
      <c r="V22" s="148"/>
      <c r="W22" s="142"/>
      <c r="X22" s="148">
        <f t="shared" si="2"/>
        <v>0</v>
      </c>
      <c r="Y22" s="590">
        <f t="shared" si="3"/>
        <v>-124</v>
      </c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9"/>
    </row>
    <row r="23" spans="1:40" ht="30" customHeight="1" x14ac:dyDescent="0.25">
      <c r="A23" s="79">
        <v>5</v>
      </c>
      <c r="B23" s="592" t="s">
        <v>305</v>
      </c>
      <c r="C23" s="32" t="s">
        <v>306</v>
      </c>
      <c r="D23" s="142">
        <v>108.3</v>
      </c>
      <c r="E23" s="142">
        <v>21.117999999999999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>
        <f t="shared" si="1"/>
        <v>129.41800000000001</v>
      </c>
      <c r="S23" s="142"/>
      <c r="T23" s="142"/>
      <c r="U23" s="142"/>
      <c r="V23" s="148"/>
      <c r="W23" s="142"/>
      <c r="X23" s="148">
        <f t="shared" si="2"/>
        <v>0</v>
      </c>
      <c r="Y23" s="590">
        <f t="shared" si="3"/>
        <v>129.41800000000001</v>
      </c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9"/>
    </row>
    <row r="24" spans="1:40" ht="30" customHeight="1" x14ac:dyDescent="0.25">
      <c r="A24" s="79">
        <v>6</v>
      </c>
      <c r="B24" s="592" t="s">
        <v>336</v>
      </c>
      <c r="C24" s="27" t="s">
        <v>335</v>
      </c>
      <c r="D24" s="142"/>
      <c r="E24" s="142"/>
      <c r="F24" s="142"/>
      <c r="G24" s="142"/>
      <c r="H24" s="142"/>
      <c r="I24" s="142"/>
      <c r="J24" s="142"/>
      <c r="K24" s="142"/>
      <c r="L24" s="142">
        <f>2800+756</f>
        <v>3556</v>
      </c>
      <c r="M24" s="142"/>
      <c r="N24" s="142"/>
      <c r="O24" s="142"/>
      <c r="P24" s="142"/>
      <c r="Q24" s="142"/>
      <c r="R24" s="142">
        <f t="shared" si="1"/>
        <v>3556</v>
      </c>
      <c r="S24" s="142"/>
      <c r="T24" s="142"/>
      <c r="U24" s="142"/>
      <c r="V24" s="148"/>
      <c r="W24" s="142"/>
      <c r="X24" s="148">
        <f t="shared" si="2"/>
        <v>0</v>
      </c>
      <c r="Y24" s="590">
        <f t="shared" si="3"/>
        <v>3556</v>
      </c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9"/>
    </row>
    <row r="25" spans="1:40" ht="30" customHeight="1" x14ac:dyDescent="0.25">
      <c r="A25" s="79">
        <v>7</v>
      </c>
      <c r="B25" s="215" t="s">
        <v>374</v>
      </c>
      <c r="C25" s="27" t="s">
        <v>373</v>
      </c>
      <c r="D25" s="142"/>
      <c r="E25" s="142"/>
      <c r="F25" s="142"/>
      <c r="G25" s="142"/>
      <c r="H25" s="142"/>
      <c r="I25" s="142"/>
      <c r="J25" s="142"/>
      <c r="K25" s="142"/>
      <c r="L25" s="142">
        <f>4882+1318</f>
        <v>6200</v>
      </c>
      <c r="M25" s="142"/>
      <c r="N25" s="142"/>
      <c r="O25" s="142"/>
      <c r="P25" s="142"/>
      <c r="Q25" s="142"/>
      <c r="R25" s="142">
        <f t="shared" si="1"/>
        <v>6200</v>
      </c>
      <c r="S25" s="142"/>
      <c r="T25" s="142"/>
      <c r="U25" s="142"/>
      <c r="V25" s="148"/>
      <c r="W25" s="142"/>
      <c r="X25" s="148">
        <f t="shared" si="2"/>
        <v>0</v>
      </c>
      <c r="Y25" s="590">
        <f t="shared" si="3"/>
        <v>6200</v>
      </c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9"/>
    </row>
    <row r="26" spans="1:40" ht="30" customHeight="1" x14ac:dyDescent="0.25">
      <c r="A26" s="79">
        <v>8</v>
      </c>
      <c r="B26" s="215" t="s">
        <v>379</v>
      </c>
      <c r="C26" s="27" t="s">
        <v>377</v>
      </c>
      <c r="D26" s="142"/>
      <c r="E26" s="142"/>
      <c r="F26" s="142">
        <f>-1100-297</f>
        <v>-1397</v>
      </c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>
        <f t="shared" si="1"/>
        <v>-1397</v>
      </c>
      <c r="S26" s="142"/>
      <c r="T26" s="142"/>
      <c r="U26" s="142"/>
      <c r="V26" s="148"/>
      <c r="W26" s="142"/>
      <c r="X26" s="148">
        <f t="shared" si="2"/>
        <v>0</v>
      </c>
      <c r="Y26" s="590">
        <f t="shared" si="3"/>
        <v>-1397</v>
      </c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9"/>
    </row>
    <row r="27" spans="1:40" ht="30" customHeight="1" x14ac:dyDescent="0.25">
      <c r="A27" s="79">
        <v>9</v>
      </c>
      <c r="B27" s="592" t="s">
        <v>386</v>
      </c>
      <c r="C27" s="662" t="s">
        <v>385</v>
      </c>
      <c r="D27" s="142">
        <f>38.1</f>
        <v>38.1</v>
      </c>
      <c r="E27" s="142">
        <f>7.43</f>
        <v>7.43</v>
      </c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>
        <f t="shared" si="1"/>
        <v>45.53</v>
      </c>
      <c r="S27" s="142"/>
      <c r="T27" s="142"/>
      <c r="U27" s="142"/>
      <c r="V27" s="148"/>
      <c r="W27" s="142"/>
      <c r="X27" s="148">
        <f t="shared" si="2"/>
        <v>0</v>
      </c>
      <c r="Y27" s="590">
        <f t="shared" si="3"/>
        <v>45.53</v>
      </c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9"/>
    </row>
    <row r="28" spans="1:40" ht="30" customHeight="1" x14ac:dyDescent="0.25">
      <c r="A28" s="79">
        <v>10</v>
      </c>
      <c r="B28" s="215" t="s">
        <v>416</v>
      </c>
      <c r="C28" s="32" t="s">
        <v>415</v>
      </c>
      <c r="D28" s="142"/>
      <c r="E28" s="142"/>
      <c r="F28" s="142">
        <f>-2893-781</f>
        <v>-3674</v>
      </c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>
        <f t="shared" si="1"/>
        <v>-3674</v>
      </c>
      <c r="S28" s="142"/>
      <c r="T28" s="142"/>
      <c r="U28" s="142"/>
      <c r="V28" s="148"/>
      <c r="W28" s="142"/>
      <c r="X28" s="148">
        <f t="shared" si="2"/>
        <v>0</v>
      </c>
      <c r="Y28" s="590">
        <f t="shared" si="3"/>
        <v>-3674</v>
      </c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9"/>
    </row>
    <row r="29" spans="1:40" ht="30" customHeight="1" x14ac:dyDescent="0.25">
      <c r="A29" s="214">
        <v>11</v>
      </c>
      <c r="B29" s="669" t="s">
        <v>437</v>
      </c>
      <c r="C29" s="433" t="s">
        <v>436</v>
      </c>
      <c r="D29" s="142">
        <f>7110+6137+1000</f>
        <v>14247</v>
      </c>
      <c r="E29" s="142">
        <f>2584</f>
        <v>2584</v>
      </c>
      <c r="F29" s="142">
        <f>270+560+152+25.55+9.45+141.74+38.268+496.062+133.938+1600+519.676+140.316+244.094+65.906</f>
        <v>4397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>
        <f t="shared" si="1"/>
        <v>21228</v>
      </c>
      <c r="S29" s="142"/>
      <c r="T29" s="142"/>
      <c r="U29" s="142"/>
      <c r="V29" s="148"/>
      <c r="W29" s="142"/>
      <c r="X29" s="148">
        <f t="shared" si="2"/>
        <v>0</v>
      </c>
      <c r="Y29" s="590">
        <f t="shared" si="3"/>
        <v>21228</v>
      </c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9"/>
    </row>
    <row r="30" spans="1:40" ht="30" customHeight="1" x14ac:dyDescent="0.25">
      <c r="A30" s="79">
        <v>12</v>
      </c>
      <c r="B30" s="124"/>
      <c r="C30" s="27" t="s">
        <v>438</v>
      </c>
      <c r="D30" s="142"/>
      <c r="E30" s="142"/>
      <c r="F30" s="142">
        <f>27917+7537</f>
        <v>35454</v>
      </c>
      <c r="G30" s="142"/>
      <c r="H30" s="142"/>
      <c r="I30" s="142"/>
      <c r="J30" s="142"/>
      <c r="K30" s="142"/>
      <c r="L30" s="142">
        <f>1614+436+3000+810+1134+306+31+9+3336+901+6672+1801+21270+5743+1000+270+327+89+877+237+16358+4417+2280+616</f>
        <v>73534</v>
      </c>
      <c r="M30" s="142">
        <f>5827+1573</f>
        <v>7400</v>
      </c>
      <c r="N30" s="142"/>
      <c r="O30" s="142"/>
      <c r="P30" s="142"/>
      <c r="Q30" s="142"/>
      <c r="R30" s="142">
        <f t="shared" si="1"/>
        <v>116388</v>
      </c>
      <c r="S30" s="142"/>
      <c r="T30" s="142"/>
      <c r="U30" s="142"/>
      <c r="V30" s="148"/>
      <c r="W30" s="142"/>
      <c r="X30" s="148">
        <f t="shared" si="2"/>
        <v>0</v>
      </c>
      <c r="Y30" s="590">
        <f t="shared" si="3"/>
        <v>116388</v>
      </c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9"/>
    </row>
    <row r="31" spans="1:40" ht="9.9499999999999993" customHeight="1" x14ac:dyDescent="0.25">
      <c r="A31" s="79"/>
      <c r="B31" s="124"/>
      <c r="C31" s="27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8"/>
      <c r="W31" s="142"/>
      <c r="X31" s="148"/>
      <c r="Y31" s="590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9"/>
    </row>
    <row r="32" spans="1:40" ht="30" customHeight="1" x14ac:dyDescent="0.25">
      <c r="A32" s="199" t="s">
        <v>77</v>
      </c>
      <c r="B32" s="195"/>
      <c r="C32" s="200" t="s">
        <v>75</v>
      </c>
      <c r="D32" s="142">
        <f t="shared" ref="D32:Q32" si="6">SUM(D17:D30)</f>
        <v>14373.5</v>
      </c>
      <c r="E32" s="142">
        <f t="shared" si="6"/>
        <v>2610.143</v>
      </c>
      <c r="F32" s="142">
        <f t="shared" si="6"/>
        <v>34780</v>
      </c>
      <c r="G32" s="142">
        <f t="shared" si="6"/>
        <v>0</v>
      </c>
      <c r="H32" s="142">
        <f t="shared" si="6"/>
        <v>0</v>
      </c>
      <c r="I32" s="142">
        <f t="shared" si="6"/>
        <v>0</v>
      </c>
      <c r="J32" s="142">
        <f t="shared" si="6"/>
        <v>0</v>
      </c>
      <c r="K32" s="142">
        <f t="shared" si="6"/>
        <v>0</v>
      </c>
      <c r="L32" s="142">
        <f t="shared" si="6"/>
        <v>85003</v>
      </c>
      <c r="M32" s="142">
        <f t="shared" si="6"/>
        <v>7400</v>
      </c>
      <c r="N32" s="142">
        <f t="shared" si="6"/>
        <v>0</v>
      </c>
      <c r="O32" s="142">
        <f t="shared" si="6"/>
        <v>0</v>
      </c>
      <c r="P32" s="142">
        <f t="shared" si="6"/>
        <v>0</v>
      </c>
      <c r="Q32" s="142">
        <f t="shared" si="6"/>
        <v>0</v>
      </c>
      <c r="R32" s="142">
        <f t="shared" si="1"/>
        <v>144166.64299999998</v>
      </c>
      <c r="S32" s="142"/>
      <c r="T32" s="142">
        <f>SUM(T17:T30)</f>
        <v>0</v>
      </c>
      <c r="U32" s="142">
        <f>SUM(U17:U30)</f>
        <v>0</v>
      </c>
      <c r="V32" s="148">
        <f>SUM(V17:V30)</f>
        <v>0</v>
      </c>
      <c r="W32" s="142">
        <f>SUM(W17:W30)</f>
        <v>0</v>
      </c>
      <c r="X32" s="148">
        <f t="shared" si="2"/>
        <v>0</v>
      </c>
      <c r="Y32" s="591">
        <f t="shared" si="3"/>
        <v>144166.64299999998</v>
      </c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9"/>
    </row>
    <row r="33" spans="1:40" ht="9.9499999999999993" customHeight="1" x14ac:dyDescent="0.25">
      <c r="A33" s="79"/>
      <c r="B33" s="124"/>
      <c r="C33" s="27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8"/>
      <c r="W33" s="142"/>
      <c r="X33" s="148"/>
      <c r="Y33" s="590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9"/>
    </row>
    <row r="34" spans="1:40" ht="30" customHeight="1" x14ac:dyDescent="0.25">
      <c r="A34" s="79">
        <v>13</v>
      </c>
      <c r="B34" s="215" t="s">
        <v>250</v>
      </c>
      <c r="C34" s="662" t="s">
        <v>251</v>
      </c>
      <c r="D34" s="142"/>
      <c r="E34" s="142"/>
      <c r="F34" s="142">
        <f>-37-10</f>
        <v>-47</v>
      </c>
      <c r="G34" s="142"/>
      <c r="H34" s="142"/>
      <c r="I34" s="142"/>
      <c r="J34" s="142"/>
      <c r="K34" s="142"/>
      <c r="L34" s="142">
        <f>37+10</f>
        <v>47</v>
      </c>
      <c r="M34" s="142"/>
      <c r="N34" s="142"/>
      <c r="O34" s="142"/>
      <c r="P34" s="142"/>
      <c r="Q34" s="142"/>
      <c r="R34" s="142">
        <f t="shared" si="1"/>
        <v>0</v>
      </c>
      <c r="S34" s="142"/>
      <c r="T34" s="142"/>
      <c r="U34" s="142"/>
      <c r="V34" s="148"/>
      <c r="W34" s="142"/>
      <c r="X34" s="148">
        <f t="shared" si="2"/>
        <v>0</v>
      </c>
      <c r="Y34" s="590">
        <f t="shared" si="3"/>
        <v>0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9"/>
    </row>
    <row r="35" spans="1:40" ht="30" customHeight="1" x14ac:dyDescent="0.25">
      <c r="A35" s="79">
        <v>14</v>
      </c>
      <c r="B35" s="215" t="s">
        <v>261</v>
      </c>
      <c r="C35" s="110" t="s">
        <v>260</v>
      </c>
      <c r="D35" s="142"/>
      <c r="E35" s="142"/>
      <c r="F35" s="142">
        <f>100</f>
        <v>100</v>
      </c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>
        <f t="shared" si="1"/>
        <v>100</v>
      </c>
      <c r="S35" s="142"/>
      <c r="T35" s="142"/>
      <c r="U35" s="142"/>
      <c r="V35" s="148"/>
      <c r="W35" s="142"/>
      <c r="X35" s="148">
        <f t="shared" si="2"/>
        <v>0</v>
      </c>
      <c r="Y35" s="590">
        <f t="shared" si="3"/>
        <v>100</v>
      </c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9"/>
    </row>
    <row r="36" spans="1:40" ht="30" customHeight="1" x14ac:dyDescent="0.25">
      <c r="A36" s="79">
        <v>15</v>
      </c>
      <c r="B36" s="215" t="s">
        <v>307</v>
      </c>
      <c r="C36" s="110" t="s">
        <v>308</v>
      </c>
      <c r="D36" s="142">
        <f>-370</f>
        <v>-370</v>
      </c>
      <c r="E36" s="142"/>
      <c r="F36" s="142">
        <f>370</f>
        <v>370</v>
      </c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>
        <f t="shared" si="1"/>
        <v>0</v>
      </c>
      <c r="S36" s="142"/>
      <c r="T36" s="142"/>
      <c r="U36" s="142"/>
      <c r="V36" s="148"/>
      <c r="W36" s="142"/>
      <c r="X36" s="148">
        <f t="shared" si="2"/>
        <v>0</v>
      </c>
      <c r="Y36" s="590">
        <f t="shared" si="3"/>
        <v>0</v>
      </c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9"/>
    </row>
    <row r="37" spans="1:40" ht="30" customHeight="1" x14ac:dyDescent="0.25">
      <c r="A37" s="79">
        <v>16</v>
      </c>
      <c r="B37" s="592" t="s">
        <v>317</v>
      </c>
      <c r="C37" s="40" t="s">
        <v>318</v>
      </c>
      <c r="D37" s="142"/>
      <c r="E37" s="142"/>
      <c r="F37" s="142">
        <f>153+42</f>
        <v>195</v>
      </c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>
        <f t="shared" si="1"/>
        <v>195</v>
      </c>
      <c r="S37" s="142"/>
      <c r="T37" s="142"/>
      <c r="U37" s="142"/>
      <c r="V37" s="148"/>
      <c r="W37" s="142"/>
      <c r="X37" s="148">
        <f t="shared" si="2"/>
        <v>0</v>
      </c>
      <c r="Y37" s="590">
        <f t="shared" si="3"/>
        <v>195</v>
      </c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9"/>
    </row>
    <row r="38" spans="1:40" ht="30" customHeight="1" x14ac:dyDescent="0.25">
      <c r="A38" s="79">
        <v>17</v>
      </c>
      <c r="B38" s="592" t="s">
        <v>319</v>
      </c>
      <c r="C38" s="40" t="s">
        <v>320</v>
      </c>
      <c r="D38" s="142"/>
      <c r="E38" s="142"/>
      <c r="F38" s="142">
        <f>51</f>
        <v>51</v>
      </c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>
        <f t="shared" si="1"/>
        <v>51</v>
      </c>
      <c r="S38" s="142"/>
      <c r="T38" s="142"/>
      <c r="U38" s="142"/>
      <c r="V38" s="148"/>
      <c r="W38" s="142"/>
      <c r="X38" s="148">
        <f t="shared" si="2"/>
        <v>0</v>
      </c>
      <c r="Y38" s="590">
        <f t="shared" si="3"/>
        <v>51</v>
      </c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9"/>
    </row>
    <row r="39" spans="1:40" ht="30" customHeight="1" x14ac:dyDescent="0.25">
      <c r="A39" s="79">
        <v>18</v>
      </c>
      <c r="B39" s="592" t="s">
        <v>321</v>
      </c>
      <c r="C39" s="40" t="s">
        <v>322</v>
      </c>
      <c r="D39" s="142"/>
      <c r="E39" s="142"/>
      <c r="F39" s="142">
        <f>43</f>
        <v>43</v>
      </c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>
        <f t="shared" si="1"/>
        <v>43</v>
      </c>
      <c r="S39" s="142"/>
      <c r="T39" s="142"/>
      <c r="U39" s="142"/>
      <c r="V39" s="148"/>
      <c r="W39" s="142"/>
      <c r="X39" s="148">
        <f t="shared" si="2"/>
        <v>0</v>
      </c>
      <c r="Y39" s="590">
        <f t="shared" si="3"/>
        <v>43</v>
      </c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</row>
    <row r="40" spans="1:40" ht="30" customHeight="1" x14ac:dyDescent="0.25">
      <c r="A40" s="79">
        <v>19</v>
      </c>
      <c r="B40" s="592" t="s">
        <v>323</v>
      </c>
      <c r="C40" s="40" t="s">
        <v>324</v>
      </c>
      <c r="D40" s="142"/>
      <c r="E40" s="142"/>
      <c r="F40" s="142">
        <f>45</f>
        <v>45</v>
      </c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>
        <f t="shared" si="1"/>
        <v>45</v>
      </c>
      <c r="S40" s="142"/>
      <c r="T40" s="142"/>
      <c r="U40" s="142"/>
      <c r="V40" s="148"/>
      <c r="W40" s="142"/>
      <c r="X40" s="148">
        <f t="shared" si="2"/>
        <v>0</v>
      </c>
      <c r="Y40" s="590">
        <f t="shared" si="3"/>
        <v>45</v>
      </c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9"/>
    </row>
    <row r="41" spans="1:40" ht="30" customHeight="1" x14ac:dyDescent="0.25">
      <c r="A41" s="79">
        <v>20</v>
      </c>
      <c r="B41" s="592" t="s">
        <v>325</v>
      </c>
      <c r="C41" s="40" t="s">
        <v>326</v>
      </c>
      <c r="D41" s="142"/>
      <c r="E41" s="142"/>
      <c r="F41" s="142">
        <f>20</f>
        <v>20</v>
      </c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>
        <f t="shared" si="1"/>
        <v>20</v>
      </c>
      <c r="S41" s="142"/>
      <c r="T41" s="142"/>
      <c r="U41" s="142"/>
      <c r="V41" s="148"/>
      <c r="W41" s="142"/>
      <c r="X41" s="148">
        <f t="shared" si="2"/>
        <v>0</v>
      </c>
      <c r="Y41" s="590">
        <f t="shared" si="3"/>
        <v>20</v>
      </c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9"/>
    </row>
    <row r="42" spans="1:40" ht="30" customHeight="1" x14ac:dyDescent="0.25">
      <c r="A42" s="79">
        <v>21</v>
      </c>
      <c r="B42" s="592" t="s">
        <v>391</v>
      </c>
      <c r="C42" s="40" t="s">
        <v>392</v>
      </c>
      <c r="D42" s="142">
        <f>-341-851+20</f>
        <v>-1172</v>
      </c>
      <c r="E42" s="142"/>
      <c r="F42" s="142">
        <f>341+851-63-17+60</f>
        <v>1172</v>
      </c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>
        <f t="shared" si="1"/>
        <v>0</v>
      </c>
      <c r="S42" s="142"/>
      <c r="T42" s="142"/>
      <c r="U42" s="142"/>
      <c r="V42" s="148"/>
      <c r="W42" s="142"/>
      <c r="X42" s="148">
        <f t="shared" si="2"/>
        <v>0</v>
      </c>
      <c r="Y42" s="590">
        <f t="shared" si="3"/>
        <v>0</v>
      </c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</row>
    <row r="43" spans="1:40" ht="30" customHeight="1" x14ac:dyDescent="0.25">
      <c r="A43" s="79">
        <v>22</v>
      </c>
      <c r="B43" s="592" t="s">
        <v>393</v>
      </c>
      <c r="C43" s="40" t="s">
        <v>394</v>
      </c>
      <c r="D43" s="142"/>
      <c r="E43" s="142"/>
      <c r="F43" s="142">
        <f>50</f>
        <v>50</v>
      </c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>
        <f t="shared" si="1"/>
        <v>50</v>
      </c>
      <c r="S43" s="142"/>
      <c r="T43" s="142"/>
      <c r="U43" s="142"/>
      <c r="V43" s="148"/>
      <c r="W43" s="142"/>
      <c r="X43" s="148">
        <f t="shared" si="2"/>
        <v>0</v>
      </c>
      <c r="Y43" s="590">
        <f t="shared" si="3"/>
        <v>50</v>
      </c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9"/>
    </row>
    <row r="44" spans="1:40" ht="30" customHeight="1" x14ac:dyDescent="0.25">
      <c r="A44" s="79">
        <v>23</v>
      </c>
      <c r="B44" s="592" t="s">
        <v>395</v>
      </c>
      <c r="C44" s="27" t="s">
        <v>396</v>
      </c>
      <c r="D44" s="142"/>
      <c r="E44" s="142"/>
      <c r="F44" s="142">
        <v>50</v>
      </c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>
        <f t="shared" si="1"/>
        <v>50</v>
      </c>
      <c r="S44" s="142"/>
      <c r="T44" s="142"/>
      <c r="U44" s="142"/>
      <c r="V44" s="148"/>
      <c r="W44" s="142"/>
      <c r="X44" s="148">
        <f t="shared" si="2"/>
        <v>0</v>
      </c>
      <c r="Y44" s="590">
        <f t="shared" si="3"/>
        <v>50</v>
      </c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9"/>
    </row>
    <row r="45" spans="1:40" ht="30" customHeight="1" x14ac:dyDescent="0.25">
      <c r="A45" s="79">
        <v>24</v>
      </c>
      <c r="B45" s="215" t="s">
        <v>397</v>
      </c>
      <c r="C45" s="27" t="s">
        <v>398</v>
      </c>
      <c r="D45" s="142"/>
      <c r="E45" s="142"/>
      <c r="F45" s="142">
        <f>10</f>
        <v>10</v>
      </c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>
        <f t="shared" si="1"/>
        <v>10</v>
      </c>
      <c r="S45" s="142"/>
      <c r="T45" s="142"/>
      <c r="U45" s="142"/>
      <c r="V45" s="148"/>
      <c r="W45" s="142"/>
      <c r="X45" s="148">
        <f t="shared" si="2"/>
        <v>0</v>
      </c>
      <c r="Y45" s="590">
        <f t="shared" si="3"/>
        <v>10</v>
      </c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</row>
    <row r="46" spans="1:40" ht="30" customHeight="1" x14ac:dyDescent="0.25">
      <c r="A46" s="79">
        <v>25</v>
      </c>
      <c r="B46" s="215" t="s">
        <v>399</v>
      </c>
      <c r="C46" s="27" t="s">
        <v>308</v>
      </c>
      <c r="D46" s="142">
        <v>-25</v>
      </c>
      <c r="E46" s="142"/>
      <c r="F46" s="142">
        <v>25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>
        <f t="shared" si="1"/>
        <v>0</v>
      </c>
      <c r="S46" s="142"/>
      <c r="T46" s="142"/>
      <c r="U46" s="142"/>
      <c r="V46" s="148"/>
      <c r="W46" s="142"/>
      <c r="X46" s="148">
        <f t="shared" si="2"/>
        <v>0</v>
      </c>
      <c r="Y46" s="590">
        <f t="shared" si="3"/>
        <v>0</v>
      </c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9"/>
    </row>
    <row r="47" spans="1:40" ht="30" customHeight="1" x14ac:dyDescent="0.25">
      <c r="A47" s="79">
        <v>26</v>
      </c>
      <c r="B47" s="669" t="s">
        <v>433</v>
      </c>
      <c r="C47" s="27" t="s">
        <v>434</v>
      </c>
      <c r="D47" s="142">
        <f>2590+466.2+9020</f>
        <v>12076.2</v>
      </c>
      <c r="E47" s="142">
        <f>2263.95+241.004</f>
        <v>2504.9539999999997</v>
      </c>
      <c r="F47" s="142">
        <f>125.8+699.212+188.788+572.718+154.636+136.22+36.78+60+23.622+6.378</f>
        <v>2004.154</v>
      </c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>
        <f t="shared" si="1"/>
        <v>16585.308000000001</v>
      </c>
      <c r="S47" s="142"/>
      <c r="T47" s="142"/>
      <c r="U47" s="142"/>
      <c r="V47" s="148"/>
      <c r="W47" s="142"/>
      <c r="X47" s="148">
        <f t="shared" ref="X47" si="7">SUM(T47:W47)</f>
        <v>0</v>
      </c>
      <c r="Y47" s="590">
        <f t="shared" ref="Y47" si="8">R47+X47</f>
        <v>16585.308000000001</v>
      </c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9"/>
    </row>
    <row r="48" spans="1:40" ht="9.9499999999999993" customHeight="1" x14ac:dyDescent="0.25">
      <c r="A48" s="79"/>
      <c r="B48" s="124"/>
      <c r="C48" s="27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8"/>
      <c r="W48" s="142"/>
      <c r="X48" s="148"/>
      <c r="Y48" s="590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9"/>
    </row>
    <row r="49" spans="1:72" ht="30" customHeight="1" x14ac:dyDescent="0.25">
      <c r="A49" s="199" t="s">
        <v>78</v>
      </c>
      <c r="B49" s="195"/>
      <c r="C49" s="200" t="s">
        <v>76</v>
      </c>
      <c r="D49" s="142">
        <f t="shared" ref="D49:Q49" si="9">SUM(D34:D47)</f>
        <v>10509.2</v>
      </c>
      <c r="E49" s="142">
        <f t="shared" si="9"/>
        <v>2504.9539999999997</v>
      </c>
      <c r="F49" s="142">
        <f t="shared" si="9"/>
        <v>4088.154</v>
      </c>
      <c r="G49" s="142">
        <f t="shared" si="9"/>
        <v>0</v>
      </c>
      <c r="H49" s="142">
        <f t="shared" si="9"/>
        <v>0</v>
      </c>
      <c r="I49" s="142">
        <f t="shared" si="9"/>
        <v>0</v>
      </c>
      <c r="J49" s="142">
        <f t="shared" si="9"/>
        <v>0</v>
      </c>
      <c r="K49" s="142">
        <f t="shared" si="9"/>
        <v>0</v>
      </c>
      <c r="L49" s="142">
        <f t="shared" si="9"/>
        <v>47</v>
      </c>
      <c r="M49" s="142">
        <f t="shared" si="9"/>
        <v>0</v>
      </c>
      <c r="N49" s="142">
        <f t="shared" si="9"/>
        <v>0</v>
      </c>
      <c r="O49" s="142">
        <f t="shared" si="9"/>
        <v>0</v>
      </c>
      <c r="P49" s="142">
        <f t="shared" si="9"/>
        <v>0</v>
      </c>
      <c r="Q49" s="142">
        <f t="shared" si="9"/>
        <v>0</v>
      </c>
      <c r="R49" s="142">
        <f t="shared" si="1"/>
        <v>17149.308000000001</v>
      </c>
      <c r="S49" s="142"/>
      <c r="T49" s="142">
        <f>SUM(T34:T46)</f>
        <v>0</v>
      </c>
      <c r="U49" s="142">
        <f>SUM(U34:U46)</f>
        <v>0</v>
      </c>
      <c r="V49" s="142">
        <f>SUM(V34:V46)</f>
        <v>0</v>
      </c>
      <c r="W49" s="142">
        <f>SUM(W34:W46)</f>
        <v>0</v>
      </c>
      <c r="X49" s="148">
        <f t="shared" si="2"/>
        <v>0</v>
      </c>
      <c r="Y49" s="591">
        <f t="shared" si="3"/>
        <v>17149.308000000001</v>
      </c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9"/>
    </row>
    <row r="50" spans="1:72" ht="9.9499999999999993" customHeight="1" thickBot="1" x14ac:dyDescent="0.25">
      <c r="A50" s="79"/>
      <c r="B50" s="112"/>
      <c r="C50" s="146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2"/>
      <c r="W50" s="71"/>
      <c r="X50" s="72"/>
      <c r="Y50" s="80"/>
    </row>
    <row r="51" spans="1:72" ht="30" customHeight="1" thickTop="1" thickBot="1" x14ac:dyDescent="0.25">
      <c r="A51" s="121"/>
      <c r="B51" s="87"/>
      <c r="C51" s="43" t="s">
        <v>79</v>
      </c>
      <c r="D51" s="83">
        <f t="shared" ref="D51:Q51" si="10">D32+D49</f>
        <v>24882.7</v>
      </c>
      <c r="E51" s="83">
        <f t="shared" si="10"/>
        <v>5115.0969999999998</v>
      </c>
      <c r="F51" s="83">
        <f t="shared" si="10"/>
        <v>38868.154000000002</v>
      </c>
      <c r="G51" s="83">
        <f t="shared" si="10"/>
        <v>0</v>
      </c>
      <c r="H51" s="83">
        <f t="shared" si="10"/>
        <v>0</v>
      </c>
      <c r="I51" s="83">
        <f t="shared" si="10"/>
        <v>0</v>
      </c>
      <c r="J51" s="83">
        <f t="shared" si="10"/>
        <v>0</v>
      </c>
      <c r="K51" s="83">
        <f t="shared" si="10"/>
        <v>0</v>
      </c>
      <c r="L51" s="83">
        <f t="shared" si="10"/>
        <v>85050</v>
      </c>
      <c r="M51" s="83">
        <f t="shared" si="10"/>
        <v>7400</v>
      </c>
      <c r="N51" s="83">
        <f t="shared" si="10"/>
        <v>0</v>
      </c>
      <c r="O51" s="83">
        <f t="shared" si="10"/>
        <v>0</v>
      </c>
      <c r="P51" s="83">
        <f t="shared" si="10"/>
        <v>0</v>
      </c>
      <c r="Q51" s="83">
        <f t="shared" si="10"/>
        <v>0</v>
      </c>
      <c r="R51" s="83">
        <f t="shared" si="1"/>
        <v>161315.951</v>
      </c>
      <c r="S51" s="83"/>
      <c r="T51" s="83">
        <f>T32+T49</f>
        <v>0</v>
      </c>
      <c r="U51" s="83">
        <f>U32+U49</f>
        <v>0</v>
      </c>
      <c r="V51" s="84">
        <f>V32+V49</f>
        <v>0</v>
      </c>
      <c r="W51" s="83">
        <f>W32+W49</f>
        <v>0</v>
      </c>
      <c r="X51" s="83">
        <f t="shared" si="2"/>
        <v>0</v>
      </c>
      <c r="Y51" s="77">
        <f t="shared" si="3"/>
        <v>161315.951</v>
      </c>
    </row>
    <row r="52" spans="1:72" ht="9.9499999999999993" hidden="1" customHeight="1" thickTop="1" x14ac:dyDescent="0.2">
      <c r="A52" s="619"/>
      <c r="B52" s="176"/>
      <c r="C52" s="177"/>
      <c r="D52" s="633"/>
      <c r="E52" s="633"/>
      <c r="F52" s="633"/>
      <c r="G52" s="633"/>
      <c r="H52" s="633"/>
      <c r="I52" s="633"/>
      <c r="J52" s="633"/>
      <c r="K52" s="633"/>
      <c r="L52" s="633"/>
      <c r="M52" s="633"/>
      <c r="N52" s="633"/>
      <c r="O52" s="633"/>
      <c r="P52" s="633"/>
      <c r="Q52" s="633"/>
      <c r="R52" s="633"/>
      <c r="S52" s="633"/>
      <c r="T52" s="633"/>
      <c r="U52" s="633"/>
      <c r="V52" s="554"/>
      <c r="W52" s="633"/>
      <c r="X52" s="554"/>
      <c r="Y52" s="634"/>
    </row>
    <row r="53" spans="1:72" ht="30" hidden="1" customHeight="1" x14ac:dyDescent="0.2">
      <c r="A53" s="635"/>
      <c r="B53" s="29"/>
      <c r="C53" s="636"/>
      <c r="D53" s="637"/>
      <c r="E53" s="637"/>
      <c r="F53" s="637"/>
      <c r="G53" s="637"/>
      <c r="H53" s="637"/>
      <c r="I53" s="637"/>
      <c r="J53" s="637"/>
      <c r="K53" s="637"/>
      <c r="L53" s="637"/>
      <c r="M53" s="637"/>
      <c r="N53" s="637"/>
      <c r="O53" s="637"/>
      <c r="P53" s="637"/>
      <c r="Q53" s="637"/>
      <c r="R53" s="637">
        <f>SUM(D53:Q53)</f>
        <v>0</v>
      </c>
      <c r="S53" s="637"/>
      <c r="T53" s="637"/>
      <c r="U53" s="637"/>
      <c r="V53" s="638"/>
      <c r="W53" s="637"/>
      <c r="X53" s="638">
        <f>SUM(T53:W53)</f>
        <v>0</v>
      </c>
      <c r="Y53" s="639">
        <f>R53+X53</f>
        <v>0</v>
      </c>
    </row>
    <row r="54" spans="1:72" ht="9.9499999999999993" hidden="1" customHeight="1" thickBot="1" x14ac:dyDescent="0.25">
      <c r="A54" s="629"/>
      <c r="B54" s="185"/>
      <c r="C54" s="186"/>
      <c r="D54" s="640"/>
      <c r="E54" s="640"/>
      <c r="F54" s="640"/>
      <c r="G54" s="640"/>
      <c r="H54" s="640"/>
      <c r="I54" s="640"/>
      <c r="J54" s="640"/>
      <c r="K54" s="640"/>
      <c r="L54" s="640"/>
      <c r="M54" s="640"/>
      <c r="N54" s="640"/>
      <c r="O54" s="640"/>
      <c r="P54" s="640"/>
      <c r="Q54" s="640"/>
      <c r="R54" s="640"/>
      <c r="S54" s="640"/>
      <c r="T54" s="640"/>
      <c r="U54" s="640"/>
      <c r="V54" s="641"/>
      <c r="W54" s="640"/>
      <c r="X54" s="641"/>
      <c r="Y54" s="642"/>
    </row>
    <row r="55" spans="1:72" ht="30" customHeight="1" thickTop="1" thickBot="1" x14ac:dyDescent="0.25">
      <c r="A55" s="121"/>
      <c r="B55" s="87"/>
      <c r="C55" s="43" t="s">
        <v>136</v>
      </c>
      <c r="D55" s="114">
        <f t="shared" ref="D55:K55" si="11">D16+D51</f>
        <v>2572321.7000000002</v>
      </c>
      <c r="E55" s="114">
        <f t="shared" si="11"/>
        <v>534570.09699999995</v>
      </c>
      <c r="F55" s="114">
        <f t="shared" si="11"/>
        <v>740789.15399999998</v>
      </c>
      <c r="G55" s="114">
        <f t="shared" si="11"/>
        <v>185</v>
      </c>
      <c r="H55" s="114">
        <f t="shared" si="11"/>
        <v>0</v>
      </c>
      <c r="I55" s="114">
        <f t="shared" si="11"/>
        <v>0</v>
      </c>
      <c r="J55" s="114">
        <f t="shared" si="11"/>
        <v>0</v>
      </c>
      <c r="K55" s="114">
        <f t="shared" si="11"/>
        <v>0</v>
      </c>
      <c r="L55" s="114">
        <f>L16+L51+L53</f>
        <v>302048</v>
      </c>
      <c r="M55" s="114">
        <f>M16+M51</f>
        <v>12500</v>
      </c>
      <c r="N55" s="114">
        <f>N16+N51</f>
        <v>0</v>
      </c>
      <c r="O55" s="114">
        <f>O16+O51</f>
        <v>5000</v>
      </c>
      <c r="P55" s="114">
        <f>P16+P51</f>
        <v>0</v>
      </c>
      <c r="Q55" s="114">
        <f>Q16+Q51</f>
        <v>0</v>
      </c>
      <c r="R55" s="114">
        <f>SUM(D55:Q55)</f>
        <v>4167413.9510000004</v>
      </c>
      <c r="S55" s="114"/>
      <c r="T55" s="114">
        <f>T16+T51</f>
        <v>0</v>
      </c>
      <c r="U55" s="114">
        <f>U16+U51</f>
        <v>0</v>
      </c>
      <c r="V55" s="345">
        <f>V16+V51</f>
        <v>0</v>
      </c>
      <c r="W55" s="114">
        <f>W16+W51</f>
        <v>0</v>
      </c>
      <c r="X55" s="345">
        <f t="shared" si="2"/>
        <v>0</v>
      </c>
      <c r="Y55" s="144">
        <f>R55+X55+Y53</f>
        <v>4167413.9510000004</v>
      </c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</row>
    <row r="56" spans="1:72" ht="17.25" hidden="1" thickTop="1" x14ac:dyDescent="0.2">
      <c r="A56" s="25"/>
      <c r="B56" s="122" t="s">
        <v>55</v>
      </c>
      <c r="C56" s="91" t="s">
        <v>129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>
        <f t="shared" si="1"/>
        <v>0</v>
      </c>
      <c r="S56" s="92"/>
      <c r="T56" s="92"/>
      <c r="U56" s="92"/>
      <c r="V56" s="96"/>
      <c r="W56" s="92"/>
      <c r="X56" s="96">
        <f t="shared" si="2"/>
        <v>0</v>
      </c>
      <c r="Y56" s="646">
        <f t="shared" si="3"/>
        <v>0</v>
      </c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</row>
    <row r="57" spans="1:72" hidden="1" x14ac:dyDescent="0.2">
      <c r="A57" s="25"/>
      <c r="B57" s="73" t="s">
        <v>58</v>
      </c>
      <c r="C57" s="93" t="s">
        <v>129</v>
      </c>
      <c r="D57" s="644"/>
      <c r="E57" s="644"/>
      <c r="F57" s="644"/>
      <c r="G57" s="644"/>
      <c r="H57" s="644"/>
      <c r="I57" s="644"/>
      <c r="J57" s="644"/>
      <c r="K57" s="644"/>
      <c r="L57" s="644"/>
      <c r="M57" s="644"/>
      <c r="N57" s="644"/>
      <c r="O57" s="644"/>
      <c r="P57" s="644"/>
      <c r="Q57" s="644"/>
      <c r="R57" s="644">
        <f t="shared" si="1"/>
        <v>0</v>
      </c>
      <c r="S57" s="94"/>
      <c r="T57" s="94"/>
      <c r="U57" s="94"/>
      <c r="V57" s="97"/>
      <c r="W57" s="94"/>
      <c r="X57" s="97">
        <f t="shared" si="2"/>
        <v>0</v>
      </c>
      <c r="Y57" s="647">
        <f t="shared" si="3"/>
        <v>0</v>
      </c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</row>
    <row r="58" spans="1:72" hidden="1" x14ac:dyDescent="0.2">
      <c r="A58" s="25"/>
      <c r="B58" s="73" t="s">
        <v>72</v>
      </c>
      <c r="C58" s="93" t="s">
        <v>129</v>
      </c>
      <c r="D58" s="644"/>
      <c r="E58" s="644"/>
      <c r="F58" s="644"/>
      <c r="G58" s="644"/>
      <c r="H58" s="644"/>
      <c r="I58" s="644"/>
      <c r="J58" s="644"/>
      <c r="K58" s="644"/>
      <c r="L58" s="644"/>
      <c r="M58" s="644"/>
      <c r="N58" s="644"/>
      <c r="O58" s="644"/>
      <c r="P58" s="644"/>
      <c r="Q58" s="644"/>
      <c r="R58" s="644">
        <f t="shared" si="1"/>
        <v>0</v>
      </c>
      <c r="S58" s="94"/>
      <c r="T58" s="94"/>
      <c r="U58" s="94"/>
      <c r="V58" s="97"/>
      <c r="W58" s="94"/>
      <c r="X58" s="97">
        <f t="shared" si="2"/>
        <v>0</v>
      </c>
      <c r="Y58" s="647">
        <f t="shared" si="3"/>
        <v>0</v>
      </c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</row>
    <row r="59" spans="1:72" ht="16.5" hidden="1" customHeight="1" x14ac:dyDescent="0.2">
      <c r="A59" s="25"/>
      <c r="B59" s="73" t="s">
        <v>187</v>
      </c>
      <c r="C59" s="93" t="s">
        <v>129</v>
      </c>
      <c r="D59" s="644"/>
      <c r="E59" s="644"/>
      <c r="F59" s="644">
        <f>360+98+3000.39</f>
        <v>3458.39</v>
      </c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4">
        <f t="shared" si="1"/>
        <v>3458.39</v>
      </c>
      <c r="S59" s="94"/>
      <c r="T59" s="94"/>
      <c r="U59" s="94"/>
      <c r="V59" s="97"/>
      <c r="W59" s="94"/>
      <c r="X59" s="97">
        <f t="shared" si="2"/>
        <v>0</v>
      </c>
      <c r="Y59" s="647">
        <f t="shared" si="3"/>
        <v>3458.39</v>
      </c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</row>
    <row r="60" spans="1:72" hidden="1" x14ac:dyDescent="0.2">
      <c r="A60" s="25"/>
      <c r="B60" s="73" t="s">
        <v>188</v>
      </c>
      <c r="C60" s="93" t="s">
        <v>129</v>
      </c>
      <c r="D60" s="644"/>
      <c r="E60" s="644"/>
      <c r="F60" s="644"/>
      <c r="G60" s="644"/>
      <c r="H60" s="644"/>
      <c r="I60" s="644"/>
      <c r="J60" s="644"/>
      <c r="K60" s="644"/>
      <c r="L60" s="644"/>
      <c r="M60" s="644"/>
      <c r="N60" s="644"/>
      <c r="O60" s="644"/>
      <c r="P60" s="644"/>
      <c r="Q60" s="644"/>
      <c r="R60" s="644">
        <f t="shared" si="1"/>
        <v>0</v>
      </c>
      <c r="S60" s="94"/>
      <c r="T60" s="94"/>
      <c r="U60" s="94"/>
      <c r="V60" s="97"/>
      <c r="W60" s="94"/>
      <c r="X60" s="97">
        <f t="shared" si="2"/>
        <v>0</v>
      </c>
      <c r="Y60" s="647">
        <f t="shared" si="3"/>
        <v>0</v>
      </c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</row>
    <row r="61" spans="1:72" hidden="1" x14ac:dyDescent="0.2">
      <c r="A61" s="25"/>
      <c r="B61" s="73" t="s">
        <v>189</v>
      </c>
      <c r="C61" s="93" t="s">
        <v>129</v>
      </c>
      <c r="D61" s="644">
        <f>41481</f>
        <v>41481</v>
      </c>
      <c r="E61" s="644">
        <f>22252</f>
        <v>22252</v>
      </c>
      <c r="F61" s="644"/>
      <c r="G61" s="644"/>
      <c r="H61" s="644"/>
      <c r="I61" s="644"/>
      <c r="J61" s="644"/>
      <c r="K61" s="644"/>
      <c r="L61" s="644"/>
      <c r="M61" s="644"/>
      <c r="N61" s="644"/>
      <c r="O61" s="644"/>
      <c r="P61" s="644"/>
      <c r="Q61" s="644"/>
      <c r="R61" s="644">
        <f t="shared" si="1"/>
        <v>63733</v>
      </c>
      <c r="S61" s="94"/>
      <c r="T61" s="94"/>
      <c r="U61" s="94"/>
      <c r="V61" s="97"/>
      <c r="W61" s="94"/>
      <c r="X61" s="97">
        <f t="shared" si="2"/>
        <v>0</v>
      </c>
      <c r="Y61" s="647">
        <f t="shared" si="3"/>
        <v>63733</v>
      </c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</row>
    <row r="62" spans="1:72" hidden="1" x14ac:dyDescent="0.2">
      <c r="A62" s="25"/>
      <c r="B62" s="73" t="s">
        <v>190</v>
      </c>
      <c r="C62" s="93" t="s">
        <v>129</v>
      </c>
      <c r="D62" s="644"/>
      <c r="E62" s="644"/>
      <c r="F62" s="644"/>
      <c r="G62" s="644"/>
      <c r="H62" s="644"/>
      <c r="I62" s="644"/>
      <c r="J62" s="644"/>
      <c r="K62" s="644"/>
      <c r="L62" s="644"/>
      <c r="M62" s="644"/>
      <c r="N62" s="644"/>
      <c r="O62" s="644"/>
      <c r="P62" s="644"/>
      <c r="Q62" s="644"/>
      <c r="R62" s="644">
        <f t="shared" si="1"/>
        <v>0</v>
      </c>
      <c r="S62" s="94"/>
      <c r="T62" s="94"/>
      <c r="U62" s="94"/>
      <c r="V62" s="97"/>
      <c r="W62" s="94"/>
      <c r="X62" s="97">
        <f t="shared" si="2"/>
        <v>0</v>
      </c>
      <c r="Y62" s="647">
        <f t="shared" si="3"/>
        <v>0</v>
      </c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</row>
    <row r="63" spans="1:72" hidden="1" x14ac:dyDescent="0.2">
      <c r="A63" s="25"/>
      <c r="B63" s="73" t="s">
        <v>211</v>
      </c>
      <c r="C63" s="93" t="s">
        <v>129</v>
      </c>
      <c r="D63" s="644"/>
      <c r="E63" s="644"/>
      <c r="F63" s="644">
        <f>145+39+1000+270</f>
        <v>1454</v>
      </c>
      <c r="G63" s="644"/>
      <c r="H63" s="644"/>
      <c r="I63" s="644"/>
      <c r="J63" s="644"/>
      <c r="K63" s="644"/>
      <c r="L63" s="644"/>
      <c r="M63" s="644"/>
      <c r="N63" s="644"/>
      <c r="O63" s="644"/>
      <c r="P63" s="644"/>
      <c r="Q63" s="644"/>
      <c r="R63" s="644">
        <f t="shared" si="1"/>
        <v>1454</v>
      </c>
      <c r="S63" s="94"/>
      <c r="T63" s="94"/>
      <c r="U63" s="94"/>
      <c r="V63" s="97"/>
      <c r="W63" s="94"/>
      <c r="X63" s="97">
        <f t="shared" ref="X63:X64" si="12">SUM(T63:W63)</f>
        <v>0</v>
      </c>
      <c r="Y63" s="647">
        <f t="shared" ref="Y63:Y64" si="13">R63+X63</f>
        <v>1454</v>
      </c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</row>
    <row r="64" spans="1:72" hidden="1" x14ac:dyDescent="0.2">
      <c r="A64" s="25"/>
      <c r="B64" s="73" t="s">
        <v>212</v>
      </c>
      <c r="C64" s="93" t="s">
        <v>129</v>
      </c>
      <c r="D64" s="644"/>
      <c r="E64" s="644"/>
      <c r="F64" s="644">
        <f>11274+2926</f>
        <v>14200</v>
      </c>
      <c r="G64" s="644"/>
      <c r="H64" s="644"/>
      <c r="I64" s="644"/>
      <c r="J64" s="644"/>
      <c r="K64" s="644"/>
      <c r="L64" s="644"/>
      <c r="M64" s="644"/>
      <c r="N64" s="644"/>
      <c r="O64" s="644"/>
      <c r="P64" s="644"/>
      <c r="Q64" s="644"/>
      <c r="R64" s="644">
        <f t="shared" si="1"/>
        <v>14200</v>
      </c>
      <c r="S64" s="94"/>
      <c r="T64" s="94"/>
      <c r="U64" s="94"/>
      <c r="V64" s="97"/>
      <c r="W64" s="94"/>
      <c r="X64" s="97">
        <f t="shared" si="12"/>
        <v>0</v>
      </c>
      <c r="Y64" s="647">
        <f t="shared" si="13"/>
        <v>14200</v>
      </c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</row>
    <row r="65" spans="1:72" hidden="1" x14ac:dyDescent="0.2">
      <c r="A65" s="25"/>
      <c r="B65" s="73" t="s">
        <v>213</v>
      </c>
      <c r="C65" s="93" t="s">
        <v>129</v>
      </c>
      <c r="D65" s="644"/>
      <c r="E65" s="644"/>
      <c r="F65" s="644"/>
      <c r="G65" s="644"/>
      <c r="H65" s="644"/>
      <c r="I65" s="644"/>
      <c r="J65" s="644"/>
      <c r="K65" s="644"/>
      <c r="L65" s="644"/>
      <c r="M65" s="644"/>
      <c r="N65" s="644"/>
      <c r="O65" s="644"/>
      <c r="P65" s="644"/>
      <c r="Q65" s="644"/>
      <c r="R65" s="644">
        <f t="shared" si="1"/>
        <v>0</v>
      </c>
      <c r="S65" s="94"/>
      <c r="T65" s="94"/>
      <c r="U65" s="94"/>
      <c r="V65" s="97"/>
      <c r="W65" s="94"/>
      <c r="X65" s="97">
        <f t="shared" ref="X65:X67" si="14">SUM(T65:W65)</f>
        <v>0</v>
      </c>
      <c r="Y65" s="647">
        <f t="shared" ref="Y65:Y67" si="15">R65+X65</f>
        <v>0</v>
      </c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</row>
    <row r="66" spans="1:72" hidden="1" x14ac:dyDescent="0.2">
      <c r="A66" s="25"/>
      <c r="B66" s="73" t="s">
        <v>214</v>
      </c>
      <c r="C66" s="93" t="s">
        <v>129</v>
      </c>
      <c r="D66" s="644"/>
      <c r="E66" s="644"/>
      <c r="F66" s="644">
        <f>1145+309</f>
        <v>1454</v>
      </c>
      <c r="G66" s="644"/>
      <c r="H66" s="644"/>
      <c r="I66" s="644"/>
      <c r="J66" s="644"/>
      <c r="K66" s="644"/>
      <c r="L66" s="644"/>
      <c r="M66" s="644"/>
      <c r="N66" s="644"/>
      <c r="O66" s="644"/>
      <c r="P66" s="644"/>
      <c r="Q66" s="644"/>
      <c r="R66" s="644">
        <f t="shared" si="1"/>
        <v>1454</v>
      </c>
      <c r="S66" s="94"/>
      <c r="T66" s="94"/>
      <c r="U66" s="94"/>
      <c r="V66" s="97"/>
      <c r="W66" s="94"/>
      <c r="X66" s="97">
        <f t="shared" si="14"/>
        <v>0</v>
      </c>
      <c r="Y66" s="647">
        <f t="shared" si="15"/>
        <v>1454</v>
      </c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</row>
    <row r="67" spans="1:72" hidden="1" x14ac:dyDescent="0.2">
      <c r="A67" s="25"/>
      <c r="B67" s="73" t="s">
        <v>215</v>
      </c>
      <c r="C67" s="93" t="s">
        <v>129</v>
      </c>
      <c r="D67" s="644"/>
      <c r="E67" s="644"/>
      <c r="F67" s="644"/>
      <c r="G67" s="644"/>
      <c r="H67" s="644"/>
      <c r="I67" s="644"/>
      <c r="J67" s="644"/>
      <c r="K67" s="644"/>
      <c r="L67" s="644"/>
      <c r="M67" s="644"/>
      <c r="N67" s="644"/>
      <c r="O67" s="644"/>
      <c r="P67" s="644"/>
      <c r="Q67" s="644"/>
      <c r="R67" s="644">
        <f t="shared" si="1"/>
        <v>0</v>
      </c>
      <c r="S67" s="94"/>
      <c r="T67" s="94"/>
      <c r="U67" s="94"/>
      <c r="V67" s="97"/>
      <c r="W67" s="94"/>
      <c r="X67" s="97">
        <f t="shared" si="14"/>
        <v>0</v>
      </c>
      <c r="Y67" s="647">
        <f t="shared" si="15"/>
        <v>0</v>
      </c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</row>
    <row r="68" spans="1:72" hidden="1" x14ac:dyDescent="0.2">
      <c r="A68" s="25"/>
      <c r="B68" s="73" t="s">
        <v>191</v>
      </c>
      <c r="C68" s="93" t="s">
        <v>129</v>
      </c>
      <c r="D68" s="644"/>
      <c r="E68" s="644"/>
      <c r="F68" s="644">
        <f>460+124</f>
        <v>584</v>
      </c>
      <c r="G68" s="644"/>
      <c r="H68" s="644"/>
      <c r="I68" s="644"/>
      <c r="J68" s="644"/>
      <c r="K68" s="644"/>
      <c r="L68" s="644"/>
      <c r="M68" s="644"/>
      <c r="N68" s="644"/>
      <c r="O68" s="644"/>
      <c r="P68" s="644"/>
      <c r="Q68" s="644"/>
      <c r="R68" s="644">
        <f t="shared" si="1"/>
        <v>584</v>
      </c>
      <c r="S68" s="94"/>
      <c r="T68" s="94"/>
      <c r="U68" s="94"/>
      <c r="V68" s="97"/>
      <c r="W68" s="94"/>
      <c r="X68" s="97">
        <f t="shared" si="2"/>
        <v>0</v>
      </c>
      <c r="Y68" s="647">
        <f t="shared" si="3"/>
        <v>584</v>
      </c>
      <c r="Z68" s="8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</row>
    <row r="69" spans="1:72" hidden="1" x14ac:dyDescent="0.2">
      <c r="A69" s="25"/>
      <c r="B69" s="73" t="s">
        <v>209</v>
      </c>
      <c r="C69" s="93" t="s">
        <v>129</v>
      </c>
      <c r="D69" s="644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4"/>
      <c r="P69" s="644"/>
      <c r="Q69" s="644"/>
      <c r="R69" s="644">
        <f t="shared" si="1"/>
        <v>0</v>
      </c>
      <c r="S69" s="94"/>
      <c r="T69" s="94"/>
      <c r="U69" s="94"/>
      <c r="V69" s="97"/>
      <c r="W69" s="94"/>
      <c r="X69" s="97">
        <f t="shared" si="2"/>
        <v>0</v>
      </c>
      <c r="Y69" s="647">
        <f t="shared" si="3"/>
        <v>0</v>
      </c>
      <c r="Z69" s="8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</row>
    <row r="70" spans="1:72" hidden="1" x14ac:dyDescent="0.2">
      <c r="A70" s="25"/>
      <c r="B70" s="73" t="s">
        <v>192</v>
      </c>
      <c r="C70" s="93" t="s">
        <v>129</v>
      </c>
      <c r="D70" s="644">
        <f>315</f>
        <v>315</v>
      </c>
      <c r="E70" s="644"/>
      <c r="F70" s="644">
        <f>51+14+27988+7557+3566+963+500+135+400+108+85+669+181+755+204+787+213+1563+422+1909+516+787+213+4+1+3561+962+200+54+3937+1063+1000+270+977+264+865+235+858+231+110+30+6090+1645+7408+2000+2031+319+118+162+44+51+14+8+3</f>
        <v>84101</v>
      </c>
      <c r="G70" s="644"/>
      <c r="H70" s="644"/>
      <c r="I70" s="644"/>
      <c r="J70" s="644"/>
      <c r="K70" s="644"/>
      <c r="L70" s="644">
        <f>231+63+150+41</f>
        <v>485</v>
      </c>
      <c r="M70" s="644"/>
      <c r="N70" s="644"/>
      <c r="O70" s="644"/>
      <c r="P70" s="644"/>
      <c r="Q70" s="644"/>
      <c r="R70" s="644">
        <f t="shared" si="1"/>
        <v>84901</v>
      </c>
      <c r="S70" s="94"/>
      <c r="T70" s="94"/>
      <c r="U70" s="94"/>
      <c r="V70" s="97"/>
      <c r="W70" s="94"/>
      <c r="X70" s="97">
        <f t="shared" si="2"/>
        <v>0</v>
      </c>
      <c r="Y70" s="647">
        <f t="shared" si="3"/>
        <v>84901</v>
      </c>
      <c r="Z70" s="8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</row>
    <row r="71" spans="1:72" hidden="1" x14ac:dyDescent="0.2">
      <c r="A71" s="25"/>
      <c r="B71" s="73" t="s">
        <v>210</v>
      </c>
      <c r="C71" s="93" t="s">
        <v>129</v>
      </c>
      <c r="D71" s="644"/>
      <c r="E71" s="644"/>
      <c r="F71" s="644"/>
      <c r="G71" s="644"/>
      <c r="H71" s="644"/>
      <c r="I71" s="644"/>
      <c r="J71" s="644"/>
      <c r="K71" s="644"/>
      <c r="L71" s="644"/>
      <c r="M71" s="644"/>
      <c r="N71" s="644"/>
      <c r="O71" s="644"/>
      <c r="P71" s="644"/>
      <c r="Q71" s="644"/>
      <c r="R71" s="644">
        <f t="shared" si="1"/>
        <v>0</v>
      </c>
      <c r="S71" s="94"/>
      <c r="T71" s="94"/>
      <c r="U71" s="94"/>
      <c r="V71" s="97"/>
      <c r="W71" s="94"/>
      <c r="X71" s="97">
        <f t="shared" ref="X71" si="16">SUM(T71:W71)</f>
        <v>0</v>
      </c>
      <c r="Y71" s="647">
        <f t="shared" ref="Y71" si="17">R71+X71</f>
        <v>0</v>
      </c>
      <c r="Z71" s="8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</row>
    <row r="72" spans="1:72" hidden="1" x14ac:dyDescent="0.2">
      <c r="A72" s="25"/>
      <c r="B72" s="73" t="s">
        <v>193</v>
      </c>
      <c r="C72" s="93" t="s">
        <v>129</v>
      </c>
      <c r="D72" s="644"/>
      <c r="E72" s="644"/>
      <c r="F72" s="644">
        <f>491</f>
        <v>491</v>
      </c>
      <c r="G72" s="644"/>
      <c r="H72" s="644"/>
      <c r="I72" s="644"/>
      <c r="J72" s="644"/>
      <c r="K72" s="644"/>
      <c r="L72" s="644">
        <f>800+216</f>
        <v>1016</v>
      </c>
      <c r="M72" s="644"/>
      <c r="N72" s="644"/>
      <c r="O72" s="644"/>
      <c r="P72" s="644"/>
      <c r="Q72" s="644"/>
      <c r="R72" s="644">
        <f t="shared" si="1"/>
        <v>1507</v>
      </c>
      <c r="S72" s="94"/>
      <c r="T72" s="94"/>
      <c r="U72" s="94"/>
      <c r="V72" s="97"/>
      <c r="W72" s="94"/>
      <c r="X72" s="97">
        <f t="shared" si="2"/>
        <v>0</v>
      </c>
      <c r="Y72" s="647">
        <f t="shared" si="3"/>
        <v>1507</v>
      </c>
      <c r="Z72" s="8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</row>
    <row r="73" spans="1:72" hidden="1" x14ac:dyDescent="0.2">
      <c r="A73" s="25"/>
      <c r="B73" s="73" t="s">
        <v>194</v>
      </c>
      <c r="C73" s="93" t="s">
        <v>129</v>
      </c>
      <c r="D73" s="645"/>
      <c r="E73" s="645"/>
      <c r="F73" s="645">
        <f>1043+282+50+14+13420+3624+12890+3781</f>
        <v>35104</v>
      </c>
      <c r="G73" s="645"/>
      <c r="H73" s="645"/>
      <c r="I73" s="645"/>
      <c r="J73" s="645"/>
      <c r="K73" s="645"/>
      <c r="L73" s="645">
        <f>4250+1148+6452+1742+514+139</f>
        <v>14245</v>
      </c>
      <c r="M73" s="645"/>
      <c r="N73" s="645"/>
      <c r="O73" s="645"/>
      <c r="P73" s="645"/>
      <c r="Q73" s="645"/>
      <c r="R73" s="645">
        <f t="shared" si="1"/>
        <v>49349</v>
      </c>
      <c r="S73" s="293"/>
      <c r="T73" s="293"/>
      <c r="U73" s="293"/>
      <c r="V73" s="294"/>
      <c r="W73" s="293"/>
      <c r="X73" s="294">
        <f t="shared" si="2"/>
        <v>0</v>
      </c>
      <c r="Y73" s="647">
        <f t="shared" si="3"/>
        <v>49349</v>
      </c>
      <c r="Z73" s="8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</row>
    <row r="74" spans="1:72" ht="18" thickTop="1" thickBot="1" x14ac:dyDescent="0.25">
      <c r="A74" s="25"/>
      <c r="B74" s="445"/>
      <c r="C74" s="446"/>
      <c r="D74" s="447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447"/>
      <c r="P74" s="447"/>
      <c r="Q74" s="447"/>
      <c r="R74" s="447"/>
      <c r="S74" s="447"/>
      <c r="T74" s="447"/>
      <c r="U74" s="447"/>
      <c r="V74" s="448"/>
      <c r="W74" s="447"/>
      <c r="X74" s="448"/>
      <c r="Y74" s="449"/>
      <c r="Z74" s="8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</row>
    <row r="75" spans="1:72" s="78" customFormat="1" ht="30" customHeight="1" thickTop="1" thickBot="1" x14ac:dyDescent="0.25">
      <c r="A75" s="121"/>
      <c r="B75" s="295"/>
      <c r="C75" s="296" t="s">
        <v>178</v>
      </c>
      <c r="D75" s="672">
        <f t="shared" ref="D75:I75" si="18">SUM(D56:D73)</f>
        <v>41796</v>
      </c>
      <c r="E75" s="672">
        <f t="shared" si="18"/>
        <v>22252</v>
      </c>
      <c r="F75" s="672">
        <f t="shared" si="18"/>
        <v>140846.39000000001</v>
      </c>
      <c r="G75" s="672">
        <f t="shared" si="18"/>
        <v>0</v>
      </c>
      <c r="H75" s="672">
        <f t="shared" si="18"/>
        <v>0</v>
      </c>
      <c r="I75" s="672">
        <f t="shared" si="18"/>
        <v>0</v>
      </c>
      <c r="J75" s="672"/>
      <c r="K75" s="672">
        <f t="shared" ref="K75:Q75" si="19">SUM(K56:K73)</f>
        <v>0</v>
      </c>
      <c r="L75" s="672">
        <f t="shared" si="19"/>
        <v>15746</v>
      </c>
      <c r="M75" s="672">
        <f t="shared" si="19"/>
        <v>0</v>
      </c>
      <c r="N75" s="672">
        <f t="shared" si="19"/>
        <v>0</v>
      </c>
      <c r="O75" s="672">
        <f t="shared" si="19"/>
        <v>0</v>
      </c>
      <c r="P75" s="672">
        <f t="shared" si="19"/>
        <v>0</v>
      </c>
      <c r="Q75" s="672">
        <f t="shared" si="19"/>
        <v>0</v>
      </c>
      <c r="R75" s="672">
        <f t="shared" si="1"/>
        <v>220640.39</v>
      </c>
      <c r="S75" s="297"/>
      <c r="T75" s="297">
        <f>SUM(T56:T73)</f>
        <v>0</v>
      </c>
      <c r="U75" s="297">
        <f>SUM(U56:U73)</f>
        <v>0</v>
      </c>
      <c r="V75" s="467">
        <f>SUM(V56:V73)</f>
        <v>0</v>
      </c>
      <c r="W75" s="297">
        <f>SUM(W56:W73)</f>
        <v>0</v>
      </c>
      <c r="X75" s="467">
        <f t="shared" si="2"/>
        <v>0</v>
      </c>
      <c r="Y75" s="77">
        <f t="shared" si="3"/>
        <v>220640.39</v>
      </c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</row>
    <row r="76" spans="1:72" s="52" customFormat="1" ht="16.5" customHeight="1" thickTop="1" thickBot="1" x14ac:dyDescent="0.25">
      <c r="A76" s="135"/>
      <c r="B76" s="300"/>
      <c r="C76" s="301"/>
      <c r="D76" s="302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468"/>
      <c r="W76" s="302"/>
      <c r="X76" s="468"/>
      <c r="Y76" s="303"/>
    </row>
    <row r="77" spans="1:72" ht="30" customHeight="1" thickTop="1" thickBot="1" x14ac:dyDescent="0.35">
      <c r="A77" s="120"/>
      <c r="B77" s="450" t="s">
        <v>156</v>
      </c>
      <c r="C77" s="43" t="s">
        <v>180</v>
      </c>
      <c r="D77" s="83">
        <f t="shared" ref="D77:Q77" si="20">D55+D75</f>
        <v>2614117.7000000002</v>
      </c>
      <c r="E77" s="83">
        <f t="shared" si="20"/>
        <v>556822.09699999995</v>
      </c>
      <c r="F77" s="83">
        <f t="shared" si="20"/>
        <v>881635.54399999999</v>
      </c>
      <c r="G77" s="83">
        <f t="shared" si="20"/>
        <v>185</v>
      </c>
      <c r="H77" s="83">
        <f t="shared" si="20"/>
        <v>0</v>
      </c>
      <c r="I77" s="83">
        <f t="shared" si="20"/>
        <v>0</v>
      </c>
      <c r="J77" s="83">
        <f t="shared" si="20"/>
        <v>0</v>
      </c>
      <c r="K77" s="83">
        <f t="shared" si="20"/>
        <v>0</v>
      </c>
      <c r="L77" s="83">
        <f t="shared" si="20"/>
        <v>317794</v>
      </c>
      <c r="M77" s="83">
        <f t="shared" si="20"/>
        <v>12500</v>
      </c>
      <c r="N77" s="83">
        <f t="shared" si="20"/>
        <v>0</v>
      </c>
      <c r="O77" s="83">
        <f t="shared" si="20"/>
        <v>5000</v>
      </c>
      <c r="P77" s="83">
        <f t="shared" si="20"/>
        <v>0</v>
      </c>
      <c r="Q77" s="83">
        <f t="shared" si="20"/>
        <v>0</v>
      </c>
      <c r="R77" s="83">
        <f t="shared" si="1"/>
        <v>4388054.341</v>
      </c>
      <c r="S77" s="83"/>
      <c r="T77" s="83">
        <f>T55+T75</f>
        <v>0</v>
      </c>
      <c r="U77" s="83">
        <f>U55+U75</f>
        <v>0</v>
      </c>
      <c r="V77" s="83">
        <f>V55+V75</f>
        <v>0</v>
      </c>
      <c r="W77" s="83">
        <f>W55+W75</f>
        <v>0</v>
      </c>
      <c r="X77" s="83">
        <f t="shared" si="2"/>
        <v>0</v>
      </c>
      <c r="Y77" s="83">
        <f t="shared" si="3"/>
        <v>4388054.341</v>
      </c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</row>
    <row r="78" spans="1:72" ht="24" hidden="1" customHeight="1" thickTop="1" x14ac:dyDescent="0.25">
      <c r="A78" s="118"/>
      <c r="B78" s="263"/>
      <c r="C78" s="119" t="s">
        <v>18</v>
      </c>
      <c r="D78" s="210">
        <f t="shared" ref="D78:L78" si="21">D77</f>
        <v>2614117.7000000002</v>
      </c>
      <c r="E78" s="210">
        <f t="shared" si="21"/>
        <v>556822.09699999995</v>
      </c>
      <c r="F78" s="210">
        <f t="shared" si="21"/>
        <v>881635.54399999999</v>
      </c>
      <c r="G78" s="210">
        <f t="shared" si="21"/>
        <v>185</v>
      </c>
      <c r="H78" s="210">
        <f t="shared" si="21"/>
        <v>0</v>
      </c>
      <c r="I78" s="210">
        <f t="shared" si="21"/>
        <v>0</v>
      </c>
      <c r="J78" s="210">
        <f t="shared" si="21"/>
        <v>0</v>
      </c>
      <c r="K78" s="210">
        <f t="shared" si="21"/>
        <v>0</v>
      </c>
      <c r="L78" s="210">
        <f t="shared" si="21"/>
        <v>317794</v>
      </c>
      <c r="M78" s="210">
        <f t="shared" ref="M78:W78" si="22">M77</f>
        <v>12500</v>
      </c>
      <c r="N78" s="210">
        <f t="shared" si="22"/>
        <v>0</v>
      </c>
      <c r="O78" s="210">
        <f t="shared" si="22"/>
        <v>5000</v>
      </c>
      <c r="P78" s="210">
        <f t="shared" si="22"/>
        <v>0</v>
      </c>
      <c r="Q78" s="210">
        <f t="shared" si="22"/>
        <v>0</v>
      </c>
      <c r="R78" s="210">
        <f t="shared" si="1"/>
        <v>4388054.341</v>
      </c>
      <c r="S78" s="210"/>
      <c r="T78" s="210">
        <f>T77</f>
        <v>0</v>
      </c>
      <c r="U78" s="210">
        <f>U77</f>
        <v>0</v>
      </c>
      <c r="V78" s="252">
        <f t="shared" si="22"/>
        <v>0</v>
      </c>
      <c r="W78" s="138">
        <f t="shared" si="22"/>
        <v>0</v>
      </c>
      <c r="X78" s="417">
        <f t="shared" si="2"/>
        <v>0</v>
      </c>
      <c r="Y78" s="314">
        <f t="shared" si="3"/>
        <v>4388054.341</v>
      </c>
    </row>
    <row r="79" spans="1:72" ht="24" hidden="1" customHeight="1" x14ac:dyDescent="0.25">
      <c r="A79" s="17"/>
      <c r="B79" s="486"/>
      <c r="C79" s="40"/>
      <c r="D79" s="485"/>
      <c r="E79" s="485"/>
      <c r="F79" s="485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504"/>
      <c r="W79" s="484"/>
      <c r="X79" s="497"/>
      <c r="Y79" s="257"/>
    </row>
    <row r="80" spans="1:72" ht="24" hidden="1" customHeight="1" x14ac:dyDescent="0.2">
      <c r="A80" s="79">
        <v>1</v>
      </c>
      <c r="B80" s="29"/>
      <c r="C80" s="3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>
        <f t="shared" si="1"/>
        <v>0</v>
      </c>
      <c r="S80" s="142"/>
      <c r="T80" s="142"/>
      <c r="U80" s="142"/>
      <c r="V80" s="148"/>
      <c r="W80" s="142"/>
      <c r="X80" s="424">
        <f t="shared" si="2"/>
        <v>0</v>
      </c>
      <c r="Y80" s="257">
        <f t="shared" si="3"/>
        <v>0</v>
      </c>
    </row>
    <row r="81" spans="1:25" ht="24" hidden="1" customHeight="1" x14ac:dyDescent="0.25">
      <c r="A81" s="17">
        <v>2</v>
      </c>
      <c r="B81" s="29"/>
      <c r="C81" s="40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>
        <f t="shared" si="1"/>
        <v>0</v>
      </c>
      <c r="S81" s="142"/>
      <c r="T81" s="142"/>
      <c r="U81" s="142"/>
      <c r="V81" s="148"/>
      <c r="W81" s="142"/>
      <c r="X81" s="424">
        <f t="shared" si="2"/>
        <v>0</v>
      </c>
      <c r="Y81" s="257">
        <f t="shared" si="3"/>
        <v>0</v>
      </c>
    </row>
    <row r="82" spans="1:25" ht="24" hidden="1" customHeight="1" x14ac:dyDescent="0.2">
      <c r="A82" s="79">
        <v>3</v>
      </c>
      <c r="B82" s="29"/>
      <c r="C82" s="40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>
        <f t="shared" si="1"/>
        <v>0</v>
      </c>
      <c r="S82" s="142"/>
      <c r="T82" s="142"/>
      <c r="U82" s="142"/>
      <c r="V82" s="148"/>
      <c r="W82" s="142"/>
      <c r="X82" s="424">
        <f t="shared" si="2"/>
        <v>0</v>
      </c>
      <c r="Y82" s="257">
        <f t="shared" si="3"/>
        <v>0</v>
      </c>
    </row>
    <row r="83" spans="1:25" ht="24" hidden="1" customHeight="1" x14ac:dyDescent="0.25">
      <c r="A83" s="17">
        <v>4</v>
      </c>
      <c r="B83" s="486"/>
      <c r="C83" s="27"/>
      <c r="D83" s="147"/>
      <c r="E83" s="147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>
        <f t="shared" si="1"/>
        <v>0</v>
      </c>
      <c r="S83" s="142"/>
      <c r="T83" s="142"/>
      <c r="U83" s="142"/>
      <c r="V83" s="148"/>
      <c r="W83" s="142"/>
      <c r="X83" s="424">
        <f t="shared" si="2"/>
        <v>0</v>
      </c>
      <c r="Y83" s="257">
        <f t="shared" si="3"/>
        <v>0</v>
      </c>
    </row>
    <row r="84" spans="1:25" ht="24" hidden="1" customHeight="1" x14ac:dyDescent="0.2">
      <c r="A84" s="79">
        <v>5</v>
      </c>
      <c r="B84" s="486"/>
      <c r="C84" s="33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>
        <f t="shared" si="1"/>
        <v>0</v>
      </c>
      <c r="S84" s="142"/>
      <c r="T84" s="142"/>
      <c r="U84" s="142"/>
      <c r="V84" s="148"/>
      <c r="W84" s="142"/>
      <c r="X84" s="424">
        <f t="shared" si="2"/>
        <v>0</v>
      </c>
      <c r="Y84" s="257">
        <f t="shared" si="3"/>
        <v>0</v>
      </c>
    </row>
    <row r="85" spans="1:25" ht="24" hidden="1" customHeight="1" x14ac:dyDescent="0.25">
      <c r="A85" s="435">
        <v>6</v>
      </c>
      <c r="B85" s="486"/>
      <c r="C85" s="32"/>
      <c r="D85" s="323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42"/>
      <c r="R85" s="142">
        <f t="shared" si="1"/>
        <v>0</v>
      </c>
      <c r="S85" s="142"/>
      <c r="T85" s="142"/>
      <c r="U85" s="142"/>
      <c r="V85" s="148"/>
      <c r="W85" s="142"/>
      <c r="X85" s="424">
        <f t="shared" si="2"/>
        <v>0</v>
      </c>
      <c r="Y85" s="257">
        <f t="shared" si="3"/>
        <v>0</v>
      </c>
    </row>
    <row r="86" spans="1:25" ht="24" hidden="1" customHeight="1" x14ac:dyDescent="0.2">
      <c r="A86" s="214">
        <v>7</v>
      </c>
      <c r="B86" s="486"/>
      <c r="C86" s="27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>
        <f t="shared" si="1"/>
        <v>0</v>
      </c>
      <c r="S86" s="142"/>
      <c r="T86" s="142"/>
      <c r="U86" s="142"/>
      <c r="V86" s="148"/>
      <c r="W86" s="142"/>
      <c r="X86" s="424">
        <f t="shared" si="2"/>
        <v>0</v>
      </c>
      <c r="Y86" s="257">
        <f t="shared" si="3"/>
        <v>0</v>
      </c>
    </row>
    <row r="87" spans="1:25" ht="24" hidden="1" customHeight="1" x14ac:dyDescent="0.2">
      <c r="A87" s="79">
        <v>8</v>
      </c>
      <c r="B87" s="486"/>
      <c r="C87" s="40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>
        <f t="shared" si="1"/>
        <v>0</v>
      </c>
      <c r="S87" s="142"/>
      <c r="T87" s="142"/>
      <c r="U87" s="142"/>
      <c r="V87" s="148"/>
      <c r="W87" s="142"/>
      <c r="X87" s="424">
        <f t="shared" si="2"/>
        <v>0</v>
      </c>
      <c r="Y87" s="257">
        <f t="shared" si="3"/>
        <v>0</v>
      </c>
    </row>
    <row r="88" spans="1:25" ht="24" hidden="1" customHeight="1" x14ac:dyDescent="0.2">
      <c r="A88" s="214">
        <v>9</v>
      </c>
      <c r="B88" s="486"/>
      <c r="C88" s="40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>
        <f t="shared" si="1"/>
        <v>0</v>
      </c>
      <c r="S88" s="142"/>
      <c r="T88" s="142"/>
      <c r="U88" s="142"/>
      <c r="V88" s="148"/>
      <c r="W88" s="142"/>
      <c r="X88" s="424">
        <f t="shared" si="2"/>
        <v>0</v>
      </c>
      <c r="Y88" s="257">
        <f t="shared" si="3"/>
        <v>0</v>
      </c>
    </row>
    <row r="89" spans="1:25" ht="24" hidden="1" customHeight="1" x14ac:dyDescent="0.2">
      <c r="A89" s="79">
        <v>10</v>
      </c>
      <c r="B89" s="486"/>
      <c r="C89" s="40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>
        <f t="shared" si="1"/>
        <v>0</v>
      </c>
      <c r="S89" s="142"/>
      <c r="T89" s="142"/>
      <c r="U89" s="142"/>
      <c r="V89" s="148"/>
      <c r="W89" s="142"/>
      <c r="X89" s="424">
        <f t="shared" si="2"/>
        <v>0</v>
      </c>
      <c r="Y89" s="257">
        <f t="shared" si="3"/>
        <v>0</v>
      </c>
    </row>
    <row r="90" spans="1:25" ht="24" hidden="1" customHeight="1" x14ac:dyDescent="0.2">
      <c r="A90" s="79">
        <v>11</v>
      </c>
      <c r="B90" s="486"/>
      <c r="C90" s="3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>
        <f t="shared" si="1"/>
        <v>0</v>
      </c>
      <c r="S90" s="142"/>
      <c r="T90" s="142"/>
      <c r="U90" s="142"/>
      <c r="V90" s="148"/>
      <c r="W90" s="142"/>
      <c r="X90" s="424">
        <f t="shared" si="2"/>
        <v>0</v>
      </c>
      <c r="Y90" s="257">
        <f t="shared" si="3"/>
        <v>0</v>
      </c>
    </row>
    <row r="91" spans="1:25" ht="24" hidden="1" customHeight="1" x14ac:dyDescent="0.2">
      <c r="A91" s="79">
        <v>12</v>
      </c>
      <c r="B91" s="486"/>
      <c r="C91" s="27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>
        <f t="shared" si="1"/>
        <v>0</v>
      </c>
      <c r="S91" s="142"/>
      <c r="T91" s="142"/>
      <c r="U91" s="142"/>
      <c r="V91" s="148"/>
      <c r="W91" s="142"/>
      <c r="X91" s="424">
        <f t="shared" si="2"/>
        <v>0</v>
      </c>
      <c r="Y91" s="257">
        <f t="shared" si="3"/>
        <v>0</v>
      </c>
    </row>
    <row r="92" spans="1:25" ht="24" hidden="1" customHeight="1" x14ac:dyDescent="0.2">
      <c r="A92" s="79">
        <v>13</v>
      </c>
      <c r="B92" s="486"/>
      <c r="C92" s="27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>
        <f t="shared" si="1"/>
        <v>0</v>
      </c>
      <c r="S92" s="142"/>
      <c r="T92" s="142"/>
      <c r="U92" s="142"/>
      <c r="V92" s="148"/>
      <c r="W92" s="142"/>
      <c r="X92" s="424">
        <f t="shared" si="2"/>
        <v>0</v>
      </c>
      <c r="Y92" s="257">
        <f t="shared" si="3"/>
        <v>0</v>
      </c>
    </row>
    <row r="93" spans="1:25" ht="24" hidden="1" customHeight="1" x14ac:dyDescent="0.2">
      <c r="A93" s="79">
        <v>14</v>
      </c>
      <c r="B93" s="486"/>
      <c r="C93" s="40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>
        <f t="shared" si="1"/>
        <v>0</v>
      </c>
      <c r="S93" s="142"/>
      <c r="T93" s="142"/>
      <c r="U93" s="142"/>
      <c r="V93" s="148"/>
      <c r="W93" s="142"/>
      <c r="X93" s="424">
        <f t="shared" si="2"/>
        <v>0</v>
      </c>
      <c r="Y93" s="257">
        <f t="shared" si="3"/>
        <v>0</v>
      </c>
    </row>
    <row r="94" spans="1:25" ht="24" hidden="1" customHeight="1" x14ac:dyDescent="0.2">
      <c r="A94" s="79">
        <v>15</v>
      </c>
      <c r="B94" s="486"/>
      <c r="C94" s="27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>
        <f t="shared" si="1"/>
        <v>0</v>
      </c>
      <c r="S94" s="142"/>
      <c r="T94" s="142"/>
      <c r="U94" s="142"/>
      <c r="V94" s="148"/>
      <c r="W94" s="142"/>
      <c r="X94" s="424">
        <f t="shared" si="2"/>
        <v>0</v>
      </c>
      <c r="Y94" s="257">
        <f t="shared" si="3"/>
        <v>0</v>
      </c>
    </row>
    <row r="95" spans="1:25" ht="24" hidden="1" customHeight="1" x14ac:dyDescent="0.2">
      <c r="A95" s="79"/>
      <c r="B95" s="486"/>
      <c r="C95" s="27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8"/>
      <c r="W95" s="142"/>
      <c r="X95" s="424"/>
      <c r="Y95" s="257"/>
    </row>
    <row r="96" spans="1:25" ht="24" hidden="1" customHeight="1" x14ac:dyDescent="0.2">
      <c r="A96" s="79"/>
      <c r="B96" s="486"/>
      <c r="C96" s="27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8"/>
      <c r="W96" s="142"/>
      <c r="X96" s="424"/>
      <c r="Y96" s="257"/>
    </row>
    <row r="97" spans="1:25" ht="9.9499999999999993" hidden="1" customHeight="1" x14ac:dyDescent="0.2">
      <c r="A97" s="79"/>
      <c r="B97" s="29"/>
      <c r="C97" s="27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8"/>
      <c r="W97" s="142"/>
      <c r="X97" s="424"/>
      <c r="Y97" s="257"/>
    </row>
    <row r="98" spans="1:25" ht="30" hidden="1" customHeight="1" x14ac:dyDescent="0.2">
      <c r="A98" s="199" t="s">
        <v>77</v>
      </c>
      <c r="B98" s="195"/>
      <c r="C98" s="200" t="s">
        <v>75</v>
      </c>
      <c r="D98" s="142">
        <f t="shared" ref="D98:Q98" si="23">SUM(D79:D97)</f>
        <v>0</v>
      </c>
      <c r="E98" s="142">
        <f t="shared" si="23"/>
        <v>0</v>
      </c>
      <c r="F98" s="142">
        <f t="shared" si="23"/>
        <v>0</v>
      </c>
      <c r="G98" s="142">
        <f t="shared" si="23"/>
        <v>0</v>
      </c>
      <c r="H98" s="142">
        <f t="shared" si="23"/>
        <v>0</v>
      </c>
      <c r="I98" s="142">
        <f t="shared" si="23"/>
        <v>0</v>
      </c>
      <c r="J98" s="142">
        <f t="shared" si="23"/>
        <v>0</v>
      </c>
      <c r="K98" s="142">
        <f t="shared" si="23"/>
        <v>0</v>
      </c>
      <c r="L98" s="142">
        <f t="shared" si="23"/>
        <v>0</v>
      </c>
      <c r="M98" s="142">
        <f t="shared" si="23"/>
        <v>0</v>
      </c>
      <c r="N98" s="142">
        <f t="shared" si="23"/>
        <v>0</v>
      </c>
      <c r="O98" s="142">
        <f t="shared" si="23"/>
        <v>0</v>
      </c>
      <c r="P98" s="142">
        <f t="shared" si="23"/>
        <v>0</v>
      </c>
      <c r="Q98" s="142">
        <f t="shared" si="23"/>
        <v>0</v>
      </c>
      <c r="R98" s="142">
        <f t="shared" ref="R98:R163" si="24">SUM(D98:Q98)</f>
        <v>0</v>
      </c>
      <c r="S98" s="142"/>
      <c r="T98" s="142">
        <f>SUM(T79:T97)</f>
        <v>0</v>
      </c>
      <c r="U98" s="142">
        <f>SUM(U79:U97)</f>
        <v>0</v>
      </c>
      <c r="V98" s="148">
        <f>SUM(V79:V97)</f>
        <v>0</v>
      </c>
      <c r="W98" s="142">
        <f>SUM(W79:W97)</f>
        <v>0</v>
      </c>
      <c r="X98" s="424">
        <f t="shared" ref="X98:X163" si="25">SUM(T98:W98)</f>
        <v>0</v>
      </c>
      <c r="Y98" s="317">
        <f t="shared" ref="Y98:Y165" si="26">R98+X98</f>
        <v>0</v>
      </c>
    </row>
    <row r="99" spans="1:25" ht="9.9499999999999993" hidden="1" customHeight="1" x14ac:dyDescent="0.2">
      <c r="A99" s="79"/>
      <c r="B99" s="495"/>
      <c r="C99" s="27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8"/>
      <c r="W99" s="142"/>
      <c r="X99" s="424"/>
      <c r="Y99" s="257"/>
    </row>
    <row r="100" spans="1:25" ht="24" hidden="1" customHeight="1" x14ac:dyDescent="0.25">
      <c r="A100" s="17" t="s">
        <v>99</v>
      </c>
      <c r="B100" s="486"/>
      <c r="C100" s="311"/>
      <c r="D100" s="496"/>
      <c r="E100" s="496"/>
      <c r="F100" s="142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>
        <f t="shared" si="24"/>
        <v>0</v>
      </c>
      <c r="S100" s="496"/>
      <c r="T100" s="496"/>
      <c r="U100" s="496"/>
      <c r="V100" s="505"/>
      <c r="W100" s="496"/>
      <c r="X100" s="497">
        <f t="shared" si="25"/>
        <v>0</v>
      </c>
      <c r="Y100" s="257">
        <f t="shared" si="26"/>
        <v>0</v>
      </c>
    </row>
    <row r="101" spans="1:25" ht="24" hidden="1" customHeight="1" x14ac:dyDescent="0.2">
      <c r="A101" s="214" t="s">
        <v>99</v>
      </c>
      <c r="B101" s="29"/>
      <c r="C101" s="40"/>
      <c r="D101" s="142"/>
      <c r="E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>
        <f t="shared" si="24"/>
        <v>0</v>
      </c>
      <c r="S101" s="142"/>
      <c r="T101" s="142"/>
      <c r="U101" s="142"/>
      <c r="V101" s="148"/>
      <c r="W101" s="142"/>
      <c r="X101" s="424">
        <f t="shared" si="25"/>
        <v>0</v>
      </c>
      <c r="Y101" s="257">
        <f t="shared" si="26"/>
        <v>0</v>
      </c>
    </row>
    <row r="102" spans="1:25" ht="24" hidden="1" customHeight="1" x14ac:dyDescent="0.2">
      <c r="A102" s="79" t="s">
        <v>99</v>
      </c>
      <c r="B102" s="29"/>
      <c r="C102" s="40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>
        <f t="shared" si="24"/>
        <v>0</v>
      </c>
      <c r="S102" s="142"/>
      <c r="T102" s="142"/>
      <c r="U102" s="142"/>
      <c r="V102" s="148"/>
      <c r="W102" s="142"/>
      <c r="X102" s="424">
        <f t="shared" si="25"/>
        <v>0</v>
      </c>
      <c r="Y102" s="257">
        <f t="shared" si="26"/>
        <v>0</v>
      </c>
    </row>
    <row r="103" spans="1:25" ht="24" hidden="1" customHeight="1" x14ac:dyDescent="0.2">
      <c r="A103" s="214"/>
      <c r="B103" s="169"/>
      <c r="C103" s="40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>
        <f t="shared" si="24"/>
        <v>0</v>
      </c>
      <c r="S103" s="142"/>
      <c r="T103" s="142"/>
      <c r="U103" s="142"/>
      <c r="V103" s="148"/>
      <c r="W103" s="142"/>
      <c r="X103" s="424">
        <f t="shared" si="25"/>
        <v>0</v>
      </c>
      <c r="Y103" s="257">
        <f t="shared" si="26"/>
        <v>0</v>
      </c>
    </row>
    <row r="104" spans="1:25" ht="24" hidden="1" customHeight="1" x14ac:dyDescent="0.2">
      <c r="A104" s="79"/>
      <c r="B104" s="29"/>
      <c r="C104" s="27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>
        <f t="shared" si="24"/>
        <v>0</v>
      </c>
      <c r="S104" s="142"/>
      <c r="T104" s="142"/>
      <c r="U104" s="142"/>
      <c r="V104" s="148"/>
      <c r="W104" s="142"/>
      <c r="X104" s="424">
        <f t="shared" si="25"/>
        <v>0</v>
      </c>
      <c r="Y104" s="257">
        <f t="shared" si="26"/>
        <v>0</v>
      </c>
    </row>
    <row r="105" spans="1:25" ht="24" hidden="1" customHeight="1" x14ac:dyDescent="0.2">
      <c r="A105" s="214"/>
      <c r="B105" s="29"/>
      <c r="C105" s="27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>
        <f t="shared" si="24"/>
        <v>0</v>
      </c>
      <c r="S105" s="142"/>
      <c r="T105" s="142"/>
      <c r="U105" s="142"/>
      <c r="V105" s="148"/>
      <c r="W105" s="142"/>
      <c r="X105" s="424">
        <f t="shared" si="25"/>
        <v>0</v>
      </c>
      <c r="Y105" s="257">
        <f t="shared" si="26"/>
        <v>0</v>
      </c>
    </row>
    <row r="106" spans="1:25" ht="24" hidden="1" customHeight="1" x14ac:dyDescent="0.2">
      <c r="A106" s="79"/>
      <c r="B106" s="486"/>
      <c r="C106" s="40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>
        <f t="shared" si="24"/>
        <v>0</v>
      </c>
      <c r="S106" s="142"/>
      <c r="T106" s="142"/>
      <c r="U106" s="142"/>
      <c r="V106" s="148"/>
      <c r="W106" s="142"/>
      <c r="X106" s="424">
        <f t="shared" si="25"/>
        <v>0</v>
      </c>
      <c r="Y106" s="257">
        <f t="shared" si="26"/>
        <v>0</v>
      </c>
    </row>
    <row r="107" spans="1:25" ht="24" hidden="1" customHeight="1" x14ac:dyDescent="0.2">
      <c r="A107" s="79"/>
      <c r="B107" s="31"/>
      <c r="C107" s="33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>
        <f t="shared" si="24"/>
        <v>0</v>
      </c>
      <c r="S107" s="142"/>
      <c r="T107" s="142"/>
      <c r="U107" s="142"/>
      <c r="V107" s="148"/>
      <c r="W107" s="142"/>
      <c r="X107" s="424">
        <f t="shared" si="25"/>
        <v>0</v>
      </c>
      <c r="Y107" s="257">
        <f t="shared" si="26"/>
        <v>0</v>
      </c>
    </row>
    <row r="108" spans="1:25" ht="24" hidden="1" customHeight="1" x14ac:dyDescent="0.2">
      <c r="A108" s="79"/>
      <c r="B108" s="31"/>
      <c r="C108" s="33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>
        <f t="shared" si="24"/>
        <v>0</v>
      </c>
      <c r="S108" s="142"/>
      <c r="T108" s="142"/>
      <c r="U108" s="142"/>
      <c r="V108" s="148"/>
      <c r="W108" s="142"/>
      <c r="X108" s="424">
        <f t="shared" si="25"/>
        <v>0</v>
      </c>
      <c r="Y108" s="257">
        <f t="shared" si="26"/>
        <v>0</v>
      </c>
    </row>
    <row r="109" spans="1:25" ht="24" hidden="1" customHeight="1" x14ac:dyDescent="0.2">
      <c r="A109" s="79"/>
      <c r="B109" s="31"/>
      <c r="C109" s="33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>
        <f t="shared" si="24"/>
        <v>0</v>
      </c>
      <c r="S109" s="142"/>
      <c r="T109" s="142"/>
      <c r="U109" s="142"/>
      <c r="V109" s="148"/>
      <c r="W109" s="142"/>
      <c r="X109" s="424">
        <f t="shared" si="25"/>
        <v>0</v>
      </c>
      <c r="Y109" s="257">
        <f t="shared" si="26"/>
        <v>0</v>
      </c>
    </row>
    <row r="110" spans="1:25" ht="24" hidden="1" customHeight="1" x14ac:dyDescent="0.2">
      <c r="A110" s="79"/>
      <c r="B110" s="30"/>
      <c r="C110" s="40"/>
      <c r="D110" s="147"/>
      <c r="E110" s="147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>
        <f t="shared" si="24"/>
        <v>0</v>
      </c>
      <c r="S110" s="142"/>
      <c r="T110" s="142"/>
      <c r="U110" s="142"/>
      <c r="V110" s="148"/>
      <c r="W110" s="142"/>
      <c r="X110" s="424">
        <f t="shared" si="25"/>
        <v>0</v>
      </c>
      <c r="Y110" s="257">
        <f t="shared" si="26"/>
        <v>0</v>
      </c>
    </row>
    <row r="111" spans="1:25" ht="24" hidden="1" customHeight="1" x14ac:dyDescent="0.2">
      <c r="A111" s="79"/>
      <c r="B111" s="30"/>
      <c r="C111" s="40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>
        <f t="shared" si="24"/>
        <v>0</v>
      </c>
      <c r="S111" s="142"/>
      <c r="T111" s="142"/>
      <c r="U111" s="142"/>
      <c r="V111" s="148"/>
      <c r="W111" s="142"/>
      <c r="X111" s="424">
        <f t="shared" si="25"/>
        <v>0</v>
      </c>
      <c r="Y111" s="257">
        <f t="shared" si="26"/>
        <v>0</v>
      </c>
    </row>
    <row r="112" spans="1:25" ht="24" hidden="1" customHeight="1" x14ac:dyDescent="0.2">
      <c r="A112" s="79"/>
      <c r="B112" s="30"/>
      <c r="C112" s="40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>
        <f t="shared" si="24"/>
        <v>0</v>
      </c>
      <c r="S112" s="142"/>
      <c r="T112" s="142"/>
      <c r="U112" s="142"/>
      <c r="V112" s="148"/>
      <c r="W112" s="142"/>
      <c r="X112" s="424">
        <f t="shared" si="25"/>
        <v>0</v>
      </c>
      <c r="Y112" s="257">
        <f t="shared" si="26"/>
        <v>0</v>
      </c>
    </row>
    <row r="113" spans="1:25" ht="24" hidden="1" customHeight="1" x14ac:dyDescent="0.2">
      <c r="A113" s="79"/>
      <c r="B113" s="30"/>
      <c r="C113" s="40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8"/>
      <c r="W113" s="142"/>
      <c r="X113" s="424"/>
      <c r="Y113" s="257"/>
    </row>
    <row r="114" spans="1:25" ht="24" hidden="1" customHeight="1" x14ac:dyDescent="0.2">
      <c r="A114" s="79"/>
      <c r="B114" s="101"/>
      <c r="C114" s="27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8"/>
      <c r="W114" s="142"/>
      <c r="X114" s="424"/>
      <c r="Y114" s="257"/>
    </row>
    <row r="115" spans="1:25" ht="9.9499999999999993" hidden="1" customHeight="1" x14ac:dyDescent="0.2">
      <c r="A115" s="79"/>
      <c r="B115" s="109"/>
      <c r="C115" s="40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8"/>
      <c r="W115" s="142"/>
      <c r="X115" s="424"/>
      <c r="Y115" s="257"/>
    </row>
    <row r="116" spans="1:25" ht="30" hidden="1" customHeight="1" x14ac:dyDescent="0.2">
      <c r="A116" s="199" t="s">
        <v>78</v>
      </c>
      <c r="B116" s="195"/>
      <c r="C116" s="200" t="s">
        <v>76</v>
      </c>
      <c r="D116" s="142">
        <f t="shared" ref="D116:Q116" si="27">SUM(D100:D115)</f>
        <v>0</v>
      </c>
      <c r="E116" s="142">
        <f t="shared" si="27"/>
        <v>0</v>
      </c>
      <c r="F116" s="142">
        <f t="shared" si="27"/>
        <v>0</v>
      </c>
      <c r="G116" s="142">
        <f t="shared" si="27"/>
        <v>0</v>
      </c>
      <c r="H116" s="142">
        <f t="shared" si="27"/>
        <v>0</v>
      </c>
      <c r="I116" s="142">
        <f t="shared" si="27"/>
        <v>0</v>
      </c>
      <c r="J116" s="142">
        <f t="shared" si="27"/>
        <v>0</v>
      </c>
      <c r="K116" s="142">
        <f t="shared" si="27"/>
        <v>0</v>
      </c>
      <c r="L116" s="142">
        <f t="shared" si="27"/>
        <v>0</v>
      </c>
      <c r="M116" s="142">
        <f t="shared" si="27"/>
        <v>0</v>
      </c>
      <c r="N116" s="142">
        <f t="shared" si="27"/>
        <v>0</v>
      </c>
      <c r="O116" s="142">
        <f t="shared" si="27"/>
        <v>0</v>
      </c>
      <c r="P116" s="142">
        <f t="shared" si="27"/>
        <v>0</v>
      </c>
      <c r="Q116" s="142">
        <f t="shared" si="27"/>
        <v>0</v>
      </c>
      <c r="R116" s="142">
        <f t="shared" si="24"/>
        <v>0</v>
      </c>
      <c r="S116" s="142"/>
      <c r="T116" s="142">
        <f>SUM(T100:T115)</f>
        <v>0</v>
      </c>
      <c r="U116" s="142">
        <f>SUM(U100:U115)</f>
        <v>0</v>
      </c>
      <c r="V116" s="148">
        <f>SUM(V100:V115)</f>
        <v>0</v>
      </c>
      <c r="W116" s="142">
        <f>SUM(W100:W115)</f>
        <v>0</v>
      </c>
      <c r="X116" s="424">
        <f t="shared" si="25"/>
        <v>0</v>
      </c>
      <c r="Y116" s="317">
        <f t="shared" si="26"/>
        <v>0</v>
      </c>
    </row>
    <row r="117" spans="1:25" ht="9.9499999999999993" hidden="1" customHeight="1" x14ac:dyDescent="0.2">
      <c r="A117" s="79"/>
      <c r="B117" s="109"/>
      <c r="C117" s="40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>
        <f t="shared" si="24"/>
        <v>0</v>
      </c>
      <c r="S117" s="71"/>
      <c r="T117" s="71"/>
      <c r="U117" s="71"/>
      <c r="V117" s="72"/>
      <c r="W117" s="71"/>
      <c r="X117" s="197">
        <f t="shared" si="25"/>
        <v>0</v>
      </c>
      <c r="Y117" s="254">
        <f t="shared" si="26"/>
        <v>0</v>
      </c>
    </row>
    <row r="118" spans="1:25" ht="24" hidden="1" customHeight="1" x14ac:dyDescent="0.2">
      <c r="A118" s="79"/>
      <c r="B118" s="30"/>
      <c r="C118" s="40" t="s">
        <v>57</v>
      </c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>
        <f t="shared" si="24"/>
        <v>0</v>
      </c>
      <c r="S118" s="71"/>
      <c r="T118" s="71"/>
      <c r="U118" s="71"/>
      <c r="V118" s="72"/>
      <c r="W118" s="71"/>
      <c r="X118" s="197">
        <f t="shared" si="25"/>
        <v>0</v>
      </c>
      <c r="Y118" s="254">
        <f t="shared" si="26"/>
        <v>0</v>
      </c>
    </row>
    <row r="119" spans="1:25" ht="17.25" hidden="1" thickBot="1" x14ac:dyDescent="0.25">
      <c r="A119" s="79"/>
      <c r="B119" s="101"/>
      <c r="C119" s="102"/>
      <c r="D119" s="103"/>
      <c r="E119" s="103"/>
      <c r="F119" s="71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>
        <f t="shared" si="24"/>
        <v>0</v>
      </c>
      <c r="S119" s="103"/>
      <c r="T119" s="103"/>
      <c r="U119" s="103"/>
      <c r="V119" s="104"/>
      <c r="W119" s="103"/>
      <c r="X119" s="498">
        <f t="shared" si="25"/>
        <v>0</v>
      </c>
      <c r="Y119" s="255">
        <f t="shared" si="26"/>
        <v>0</v>
      </c>
    </row>
    <row r="120" spans="1:25" ht="30" hidden="1" customHeight="1" thickTop="1" thickBot="1" x14ac:dyDescent="0.25">
      <c r="A120" s="41"/>
      <c r="B120" s="313" t="s">
        <v>21</v>
      </c>
      <c r="C120" s="43" t="s">
        <v>79</v>
      </c>
      <c r="D120" s="83">
        <f t="shared" ref="D120:Q120" si="28">D98+D116</f>
        <v>0</v>
      </c>
      <c r="E120" s="83">
        <f t="shared" si="28"/>
        <v>0</v>
      </c>
      <c r="F120" s="83">
        <f t="shared" si="28"/>
        <v>0</v>
      </c>
      <c r="G120" s="83">
        <f t="shared" si="28"/>
        <v>0</v>
      </c>
      <c r="H120" s="83">
        <f t="shared" si="28"/>
        <v>0</v>
      </c>
      <c r="I120" s="83">
        <f t="shared" si="28"/>
        <v>0</v>
      </c>
      <c r="J120" s="83">
        <f t="shared" si="28"/>
        <v>0</v>
      </c>
      <c r="K120" s="83">
        <f t="shared" si="28"/>
        <v>0</v>
      </c>
      <c r="L120" s="83">
        <f t="shared" si="28"/>
        <v>0</v>
      </c>
      <c r="M120" s="83">
        <f t="shared" si="28"/>
        <v>0</v>
      </c>
      <c r="N120" s="83">
        <f t="shared" si="28"/>
        <v>0</v>
      </c>
      <c r="O120" s="83">
        <f t="shared" si="28"/>
        <v>0</v>
      </c>
      <c r="P120" s="83">
        <f t="shared" si="28"/>
        <v>0</v>
      </c>
      <c r="Q120" s="83">
        <f t="shared" si="28"/>
        <v>0</v>
      </c>
      <c r="R120" s="83">
        <f t="shared" si="24"/>
        <v>0</v>
      </c>
      <c r="S120" s="83"/>
      <c r="T120" s="83">
        <f>T98+T116</f>
        <v>0</v>
      </c>
      <c r="U120" s="83">
        <f>U98+U116</f>
        <v>0</v>
      </c>
      <c r="V120" s="84">
        <f>V98+V116</f>
        <v>0</v>
      </c>
      <c r="W120" s="499">
        <f>W98+W116</f>
        <v>0</v>
      </c>
      <c r="X120" s="500">
        <f t="shared" si="25"/>
        <v>0</v>
      </c>
      <c r="Y120" s="256">
        <f t="shared" si="26"/>
        <v>0</v>
      </c>
    </row>
    <row r="121" spans="1:25" ht="30" hidden="1" customHeight="1" thickTop="1" thickBot="1" x14ac:dyDescent="0.25">
      <c r="A121" s="41"/>
      <c r="B121" s="262" t="s">
        <v>161</v>
      </c>
      <c r="C121" s="43" t="s">
        <v>136</v>
      </c>
      <c r="D121" s="245">
        <f t="shared" ref="D121:Q121" si="29">D78+D120</f>
        <v>2614117.7000000002</v>
      </c>
      <c r="E121" s="245">
        <f t="shared" si="29"/>
        <v>556822.09699999995</v>
      </c>
      <c r="F121" s="245">
        <f t="shared" si="29"/>
        <v>881635.54399999999</v>
      </c>
      <c r="G121" s="245">
        <f t="shared" si="29"/>
        <v>185</v>
      </c>
      <c r="H121" s="245">
        <f t="shared" si="29"/>
        <v>0</v>
      </c>
      <c r="I121" s="245">
        <f t="shared" si="29"/>
        <v>0</v>
      </c>
      <c r="J121" s="245">
        <f t="shared" si="29"/>
        <v>0</v>
      </c>
      <c r="K121" s="245">
        <f t="shared" si="29"/>
        <v>0</v>
      </c>
      <c r="L121" s="245">
        <f t="shared" si="29"/>
        <v>317794</v>
      </c>
      <c r="M121" s="245">
        <f t="shared" si="29"/>
        <v>12500</v>
      </c>
      <c r="N121" s="245">
        <f t="shared" si="29"/>
        <v>0</v>
      </c>
      <c r="O121" s="245">
        <f t="shared" si="29"/>
        <v>5000</v>
      </c>
      <c r="P121" s="245">
        <f t="shared" si="29"/>
        <v>0</v>
      </c>
      <c r="Q121" s="245">
        <f t="shared" si="29"/>
        <v>0</v>
      </c>
      <c r="R121" s="245">
        <f>SUM(D121:Q121)</f>
        <v>4388054.341</v>
      </c>
      <c r="S121" s="245"/>
      <c r="T121" s="245">
        <f>T78+T120</f>
        <v>0</v>
      </c>
      <c r="U121" s="245">
        <f>U78+U120</f>
        <v>0</v>
      </c>
      <c r="V121" s="245">
        <f>V78+V120</f>
        <v>0</v>
      </c>
      <c r="W121" s="305">
        <f>W78+W120</f>
        <v>0</v>
      </c>
      <c r="X121" s="418">
        <f t="shared" si="25"/>
        <v>0</v>
      </c>
      <c r="Y121" s="222">
        <f>R121+X121</f>
        <v>4388054.341</v>
      </c>
    </row>
    <row r="122" spans="1:25" ht="29.25" hidden="1" customHeight="1" thickTop="1" x14ac:dyDescent="0.25">
      <c r="A122" s="118"/>
      <c r="B122" s="503" t="s">
        <v>165</v>
      </c>
      <c r="C122" s="119" t="s">
        <v>18</v>
      </c>
      <c r="D122" s="210">
        <f t="shared" ref="D122:W122" si="30">D121</f>
        <v>2614117.7000000002</v>
      </c>
      <c r="E122" s="210">
        <f t="shared" si="30"/>
        <v>556822.09699999995</v>
      </c>
      <c r="F122" s="210">
        <f t="shared" si="30"/>
        <v>881635.54399999999</v>
      </c>
      <c r="G122" s="210">
        <f t="shared" si="30"/>
        <v>185</v>
      </c>
      <c r="H122" s="210">
        <f t="shared" si="30"/>
        <v>0</v>
      </c>
      <c r="I122" s="210">
        <f t="shared" si="30"/>
        <v>0</v>
      </c>
      <c r="J122" s="210">
        <f t="shared" si="30"/>
        <v>0</v>
      </c>
      <c r="K122" s="210">
        <f t="shared" si="30"/>
        <v>0</v>
      </c>
      <c r="L122" s="210">
        <f t="shared" si="30"/>
        <v>317794</v>
      </c>
      <c r="M122" s="210">
        <f t="shared" si="30"/>
        <v>12500</v>
      </c>
      <c r="N122" s="210">
        <f t="shared" si="30"/>
        <v>0</v>
      </c>
      <c r="O122" s="210">
        <f t="shared" si="30"/>
        <v>5000</v>
      </c>
      <c r="P122" s="210">
        <f t="shared" si="30"/>
        <v>0</v>
      </c>
      <c r="Q122" s="210">
        <f t="shared" si="30"/>
        <v>0</v>
      </c>
      <c r="R122" s="210">
        <f t="shared" si="24"/>
        <v>4388054.341</v>
      </c>
      <c r="S122" s="210"/>
      <c r="T122" s="210">
        <f>T121</f>
        <v>0</v>
      </c>
      <c r="U122" s="210">
        <f>U121</f>
        <v>0</v>
      </c>
      <c r="V122" s="252">
        <f t="shared" si="30"/>
        <v>0</v>
      </c>
      <c r="W122" s="210">
        <f t="shared" si="30"/>
        <v>0</v>
      </c>
      <c r="X122" s="252">
        <f t="shared" si="25"/>
        <v>0</v>
      </c>
      <c r="Y122" s="253">
        <f t="shared" si="26"/>
        <v>4388054.341</v>
      </c>
    </row>
    <row r="123" spans="1:25" ht="29.25" hidden="1" customHeight="1" x14ac:dyDescent="0.25">
      <c r="A123" s="17"/>
      <c r="B123" s="503"/>
      <c r="C123" s="589"/>
      <c r="D123" s="583"/>
      <c r="E123" s="583"/>
      <c r="F123" s="583"/>
      <c r="G123" s="583"/>
      <c r="H123" s="583"/>
      <c r="I123" s="583"/>
      <c r="J123" s="583"/>
      <c r="K123" s="583"/>
      <c r="L123" s="583"/>
      <c r="M123" s="583"/>
      <c r="N123" s="583"/>
      <c r="O123" s="583"/>
      <c r="P123" s="583"/>
      <c r="Q123" s="583"/>
      <c r="R123" s="583"/>
      <c r="S123" s="583"/>
      <c r="T123" s="583"/>
      <c r="U123" s="583"/>
      <c r="V123" s="585"/>
      <c r="W123" s="583"/>
      <c r="X123" s="585"/>
      <c r="Y123" s="322"/>
    </row>
    <row r="124" spans="1:25" ht="33.75" hidden="1" customHeight="1" x14ac:dyDescent="0.2">
      <c r="A124" s="79">
        <v>1</v>
      </c>
      <c r="B124" s="517"/>
      <c r="C124" s="40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>
        <f t="shared" si="24"/>
        <v>0</v>
      </c>
      <c r="S124" s="142"/>
      <c r="T124" s="142"/>
      <c r="U124" s="142"/>
      <c r="V124" s="148"/>
      <c r="W124" s="142"/>
      <c r="X124" s="148">
        <f t="shared" si="25"/>
        <v>0</v>
      </c>
      <c r="Y124" s="257">
        <f t="shared" si="26"/>
        <v>0</v>
      </c>
    </row>
    <row r="125" spans="1:25" ht="33.75" hidden="1" customHeight="1" x14ac:dyDescent="0.2">
      <c r="A125" s="214">
        <v>2</v>
      </c>
      <c r="B125" s="517"/>
      <c r="C125" s="40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>
        <f t="shared" si="24"/>
        <v>0</v>
      </c>
      <c r="S125" s="142"/>
      <c r="T125" s="142"/>
      <c r="U125" s="142"/>
      <c r="V125" s="148"/>
      <c r="W125" s="142"/>
      <c r="X125" s="148">
        <f t="shared" si="25"/>
        <v>0</v>
      </c>
      <c r="Y125" s="257">
        <f t="shared" si="26"/>
        <v>0</v>
      </c>
    </row>
    <row r="126" spans="1:25" ht="33.75" hidden="1" customHeight="1" x14ac:dyDescent="0.2">
      <c r="A126" s="79">
        <v>3</v>
      </c>
      <c r="B126" s="518"/>
      <c r="C126" s="40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>
        <f t="shared" si="24"/>
        <v>0</v>
      </c>
      <c r="S126" s="142"/>
      <c r="T126" s="142"/>
      <c r="U126" s="142"/>
      <c r="V126" s="148"/>
      <c r="W126" s="142"/>
      <c r="X126" s="148">
        <f t="shared" si="25"/>
        <v>0</v>
      </c>
      <c r="Y126" s="257">
        <f t="shared" si="26"/>
        <v>0</v>
      </c>
    </row>
    <row r="127" spans="1:25" ht="33.75" hidden="1" customHeight="1" x14ac:dyDescent="0.2">
      <c r="A127" s="214">
        <v>4</v>
      </c>
      <c r="B127" s="518"/>
      <c r="C127" s="40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>
        <f t="shared" si="24"/>
        <v>0</v>
      </c>
      <c r="S127" s="142"/>
      <c r="T127" s="142"/>
      <c r="U127" s="142"/>
      <c r="V127" s="148"/>
      <c r="W127" s="142"/>
      <c r="X127" s="148">
        <f t="shared" si="25"/>
        <v>0</v>
      </c>
      <c r="Y127" s="257">
        <f t="shared" si="26"/>
        <v>0</v>
      </c>
    </row>
    <row r="128" spans="1:25" ht="33.75" hidden="1" customHeight="1" x14ac:dyDescent="0.2">
      <c r="A128" s="79">
        <v>5</v>
      </c>
      <c r="B128" s="518"/>
      <c r="C128" s="40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>
        <f t="shared" si="24"/>
        <v>0</v>
      </c>
      <c r="S128" s="142"/>
      <c r="T128" s="142"/>
      <c r="U128" s="142"/>
      <c r="V128" s="148"/>
      <c r="W128" s="142"/>
      <c r="X128" s="148">
        <f t="shared" si="25"/>
        <v>0</v>
      </c>
      <c r="Y128" s="257">
        <f t="shared" si="26"/>
        <v>0</v>
      </c>
    </row>
    <row r="129" spans="1:25" ht="30.75" hidden="1" customHeight="1" x14ac:dyDescent="0.2">
      <c r="A129" s="79"/>
      <c r="B129" s="518"/>
      <c r="C129" s="40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8"/>
      <c r="W129" s="142"/>
      <c r="X129" s="148"/>
      <c r="Y129" s="257"/>
    </row>
    <row r="130" spans="1:25" ht="30.75" hidden="1" customHeight="1" x14ac:dyDescent="0.2">
      <c r="A130" s="79"/>
      <c r="B130" s="518"/>
      <c r="C130" s="40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8"/>
      <c r="W130" s="142"/>
      <c r="X130" s="148"/>
      <c r="Y130" s="257"/>
    </row>
    <row r="131" spans="1:25" ht="30.75" hidden="1" customHeight="1" x14ac:dyDescent="0.2">
      <c r="A131" s="79"/>
      <c r="B131" s="518"/>
      <c r="C131" s="40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8"/>
      <c r="W131" s="142"/>
      <c r="X131" s="148"/>
      <c r="Y131" s="257"/>
    </row>
    <row r="132" spans="1:25" ht="24" hidden="1" customHeight="1" x14ac:dyDescent="0.2">
      <c r="A132" s="79"/>
      <c r="B132" s="30"/>
      <c r="C132" s="40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8"/>
      <c r="W132" s="142"/>
      <c r="X132" s="148"/>
      <c r="Y132" s="257"/>
    </row>
    <row r="133" spans="1:25" ht="24" hidden="1" customHeight="1" x14ac:dyDescent="0.2">
      <c r="A133" s="199" t="s">
        <v>77</v>
      </c>
      <c r="B133" s="195"/>
      <c r="C133" s="200" t="s">
        <v>75</v>
      </c>
      <c r="D133" s="319">
        <f t="shared" ref="D133:W133" si="31">SUM(D124:D132)</f>
        <v>0</v>
      </c>
      <c r="E133" s="319">
        <f t="shared" si="31"/>
        <v>0</v>
      </c>
      <c r="F133" s="319">
        <f t="shared" si="31"/>
        <v>0</v>
      </c>
      <c r="G133" s="319">
        <f t="shared" si="31"/>
        <v>0</v>
      </c>
      <c r="H133" s="319">
        <f t="shared" si="31"/>
        <v>0</v>
      </c>
      <c r="I133" s="319">
        <f t="shared" si="31"/>
        <v>0</v>
      </c>
      <c r="J133" s="319">
        <f t="shared" si="31"/>
        <v>0</v>
      </c>
      <c r="K133" s="319">
        <f t="shared" si="31"/>
        <v>0</v>
      </c>
      <c r="L133" s="319">
        <f t="shared" si="31"/>
        <v>0</v>
      </c>
      <c r="M133" s="319">
        <f t="shared" si="31"/>
        <v>0</v>
      </c>
      <c r="N133" s="319">
        <f t="shared" si="31"/>
        <v>0</v>
      </c>
      <c r="O133" s="319">
        <f t="shared" si="31"/>
        <v>0</v>
      </c>
      <c r="P133" s="319">
        <f t="shared" si="31"/>
        <v>0</v>
      </c>
      <c r="Q133" s="319">
        <f t="shared" si="31"/>
        <v>0</v>
      </c>
      <c r="R133" s="319">
        <f t="shared" si="24"/>
        <v>0</v>
      </c>
      <c r="S133" s="319"/>
      <c r="T133" s="319">
        <f t="shared" si="31"/>
        <v>0</v>
      </c>
      <c r="U133" s="319">
        <f t="shared" si="31"/>
        <v>0</v>
      </c>
      <c r="V133" s="506">
        <f t="shared" si="31"/>
        <v>0</v>
      </c>
      <c r="W133" s="319">
        <f t="shared" si="31"/>
        <v>0</v>
      </c>
      <c r="X133" s="319">
        <f t="shared" si="25"/>
        <v>0</v>
      </c>
      <c r="Y133" s="319">
        <f t="shared" si="26"/>
        <v>0</v>
      </c>
    </row>
    <row r="134" spans="1:25" ht="30.75" hidden="1" customHeight="1" x14ac:dyDescent="0.2">
      <c r="A134" s="79"/>
      <c r="B134" s="31"/>
      <c r="C134" s="40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8"/>
      <c r="W134" s="142"/>
      <c r="X134" s="148"/>
      <c r="Y134" s="257"/>
    </row>
    <row r="135" spans="1:25" ht="33.75" hidden="1" customHeight="1" x14ac:dyDescent="0.2">
      <c r="A135" s="79" t="s">
        <v>99</v>
      </c>
      <c r="B135" s="218"/>
      <c r="C135" s="40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>
        <f t="shared" si="24"/>
        <v>0</v>
      </c>
      <c r="S135" s="142"/>
      <c r="T135" s="142"/>
      <c r="U135" s="142"/>
      <c r="V135" s="148"/>
      <c r="W135" s="142"/>
      <c r="X135" s="148">
        <f t="shared" si="25"/>
        <v>0</v>
      </c>
      <c r="Y135" s="257">
        <f t="shared" si="26"/>
        <v>0</v>
      </c>
    </row>
    <row r="136" spans="1:25" ht="33.75" hidden="1" customHeight="1" x14ac:dyDescent="0.2">
      <c r="A136" s="79" t="s">
        <v>99</v>
      </c>
      <c r="B136" s="218"/>
      <c r="C136" s="40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>
        <f t="shared" si="24"/>
        <v>0</v>
      </c>
      <c r="S136" s="142"/>
      <c r="T136" s="142"/>
      <c r="U136" s="142"/>
      <c r="V136" s="148"/>
      <c r="W136" s="142"/>
      <c r="X136" s="148">
        <f t="shared" si="25"/>
        <v>0</v>
      </c>
      <c r="Y136" s="257">
        <f t="shared" si="26"/>
        <v>0</v>
      </c>
    </row>
    <row r="137" spans="1:25" ht="33.75" hidden="1" customHeight="1" x14ac:dyDescent="0.2">
      <c r="A137" s="79" t="s">
        <v>99</v>
      </c>
      <c r="B137" s="218"/>
      <c r="C137" s="40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>
        <f t="shared" si="24"/>
        <v>0</v>
      </c>
      <c r="S137" s="142"/>
      <c r="T137" s="142"/>
      <c r="U137" s="142"/>
      <c r="V137" s="148"/>
      <c r="W137" s="142"/>
      <c r="X137" s="148">
        <f t="shared" ref="X137:X143" si="32">SUM(T137:W137)</f>
        <v>0</v>
      </c>
      <c r="Y137" s="257">
        <f t="shared" ref="Y137:Y143" si="33">R137+X137</f>
        <v>0</v>
      </c>
    </row>
    <row r="138" spans="1:25" ht="33.75" hidden="1" customHeight="1" x14ac:dyDescent="0.2">
      <c r="A138" s="79" t="s">
        <v>99</v>
      </c>
      <c r="B138" s="218"/>
      <c r="C138" s="40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>
        <f t="shared" si="24"/>
        <v>0</v>
      </c>
      <c r="S138" s="142"/>
      <c r="T138" s="142"/>
      <c r="U138" s="142"/>
      <c r="V138" s="148"/>
      <c r="W138" s="142"/>
      <c r="X138" s="148">
        <f t="shared" si="32"/>
        <v>0</v>
      </c>
      <c r="Y138" s="257">
        <f t="shared" si="33"/>
        <v>0</v>
      </c>
    </row>
    <row r="139" spans="1:25" ht="33.75" hidden="1" customHeight="1" x14ac:dyDescent="0.2">
      <c r="A139" s="79" t="s">
        <v>99</v>
      </c>
      <c r="B139" s="218"/>
      <c r="C139" s="40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>
        <f t="shared" si="24"/>
        <v>0</v>
      </c>
      <c r="S139" s="142"/>
      <c r="T139" s="142"/>
      <c r="U139" s="142"/>
      <c r="V139" s="148"/>
      <c r="W139" s="142"/>
      <c r="X139" s="148">
        <f t="shared" si="32"/>
        <v>0</v>
      </c>
      <c r="Y139" s="257">
        <f t="shared" si="33"/>
        <v>0</v>
      </c>
    </row>
    <row r="140" spans="1:25" ht="33.75" hidden="1" customHeight="1" x14ac:dyDescent="0.2">
      <c r="A140" s="79" t="s">
        <v>99</v>
      </c>
      <c r="B140" s="218"/>
      <c r="C140" s="40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>
        <f t="shared" si="24"/>
        <v>0</v>
      </c>
      <c r="S140" s="142"/>
      <c r="T140" s="142"/>
      <c r="U140" s="142"/>
      <c r="V140" s="148"/>
      <c r="W140" s="142"/>
      <c r="X140" s="148">
        <f t="shared" si="32"/>
        <v>0</v>
      </c>
      <c r="Y140" s="257">
        <f t="shared" si="33"/>
        <v>0</v>
      </c>
    </row>
    <row r="141" spans="1:25" ht="33.75" hidden="1" customHeight="1" x14ac:dyDescent="0.2">
      <c r="A141" s="79" t="s">
        <v>99</v>
      </c>
      <c r="B141" s="218"/>
      <c r="C141" s="40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>
        <f t="shared" si="24"/>
        <v>0</v>
      </c>
      <c r="S141" s="142"/>
      <c r="T141" s="142"/>
      <c r="U141" s="142"/>
      <c r="V141" s="148"/>
      <c r="W141" s="142"/>
      <c r="X141" s="148">
        <f t="shared" si="32"/>
        <v>0</v>
      </c>
      <c r="Y141" s="257">
        <f t="shared" si="33"/>
        <v>0</v>
      </c>
    </row>
    <row r="142" spans="1:25" ht="33.75" hidden="1" customHeight="1" x14ac:dyDescent="0.2">
      <c r="A142" s="79" t="s">
        <v>99</v>
      </c>
      <c r="B142" s="218"/>
      <c r="C142" s="40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>
        <f t="shared" si="24"/>
        <v>0</v>
      </c>
      <c r="S142" s="142"/>
      <c r="T142" s="142"/>
      <c r="U142" s="142"/>
      <c r="V142" s="148"/>
      <c r="W142" s="142"/>
      <c r="X142" s="148">
        <f t="shared" si="32"/>
        <v>0</v>
      </c>
      <c r="Y142" s="257">
        <f t="shared" si="33"/>
        <v>0</v>
      </c>
    </row>
    <row r="143" spans="1:25" ht="33.75" hidden="1" customHeight="1" x14ac:dyDescent="0.2">
      <c r="A143" s="79" t="s">
        <v>99</v>
      </c>
      <c r="B143" s="218"/>
      <c r="C143" s="40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>
        <f t="shared" si="24"/>
        <v>0</v>
      </c>
      <c r="S143" s="142"/>
      <c r="T143" s="142"/>
      <c r="U143" s="142"/>
      <c r="V143" s="148"/>
      <c r="W143" s="142"/>
      <c r="X143" s="148">
        <f t="shared" si="32"/>
        <v>0</v>
      </c>
      <c r="Y143" s="257">
        <f t="shared" si="33"/>
        <v>0</v>
      </c>
    </row>
    <row r="144" spans="1:25" ht="33.75" hidden="1" customHeight="1" x14ac:dyDescent="0.2">
      <c r="A144" s="79"/>
      <c r="B144" s="218"/>
      <c r="C144" s="40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8"/>
      <c r="W144" s="142"/>
      <c r="X144" s="148"/>
      <c r="Y144" s="257"/>
    </row>
    <row r="145" spans="1:25" ht="24" hidden="1" customHeight="1" x14ac:dyDescent="0.2">
      <c r="A145" s="79"/>
      <c r="B145" s="30"/>
      <c r="C145" s="40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8"/>
      <c r="W145" s="142"/>
      <c r="X145" s="148"/>
      <c r="Y145" s="316"/>
    </row>
    <row r="146" spans="1:25" ht="24" hidden="1" customHeight="1" x14ac:dyDescent="0.2">
      <c r="A146" s="199" t="s">
        <v>78</v>
      </c>
      <c r="B146" s="195"/>
      <c r="C146" s="200" t="s">
        <v>76</v>
      </c>
      <c r="D146" s="142">
        <f t="shared" ref="D146:Q146" si="34">SUM(D134:D145)</f>
        <v>0</v>
      </c>
      <c r="E146" s="142">
        <f t="shared" si="34"/>
        <v>0</v>
      </c>
      <c r="F146" s="142">
        <f t="shared" si="34"/>
        <v>0</v>
      </c>
      <c r="G146" s="142">
        <f t="shared" si="34"/>
        <v>0</v>
      </c>
      <c r="H146" s="142">
        <f t="shared" si="34"/>
        <v>0</v>
      </c>
      <c r="I146" s="142">
        <f t="shared" si="34"/>
        <v>0</v>
      </c>
      <c r="J146" s="142">
        <f t="shared" si="34"/>
        <v>0</v>
      </c>
      <c r="K146" s="142">
        <f t="shared" si="34"/>
        <v>0</v>
      </c>
      <c r="L146" s="142">
        <f t="shared" si="34"/>
        <v>0</v>
      </c>
      <c r="M146" s="142">
        <f t="shared" si="34"/>
        <v>0</v>
      </c>
      <c r="N146" s="142">
        <f t="shared" si="34"/>
        <v>0</v>
      </c>
      <c r="O146" s="142">
        <f t="shared" si="34"/>
        <v>0</v>
      </c>
      <c r="P146" s="142">
        <f t="shared" si="34"/>
        <v>0</v>
      </c>
      <c r="Q146" s="142">
        <f t="shared" si="34"/>
        <v>0</v>
      </c>
      <c r="R146" s="142">
        <f t="shared" si="24"/>
        <v>0</v>
      </c>
      <c r="S146" s="142"/>
      <c r="T146" s="142">
        <f>SUM(T134:T145)</f>
        <v>0</v>
      </c>
      <c r="U146" s="142">
        <f>SUM(U134:U145)</f>
        <v>0</v>
      </c>
      <c r="V146" s="148">
        <f>SUM(V134:V145)</f>
        <v>0</v>
      </c>
      <c r="W146" s="142">
        <f>SUM(W134:W145)</f>
        <v>0</v>
      </c>
      <c r="X146" s="148">
        <f t="shared" si="25"/>
        <v>0</v>
      </c>
      <c r="Y146" s="317">
        <f t="shared" si="26"/>
        <v>0</v>
      </c>
    </row>
    <row r="147" spans="1:25" ht="24" hidden="1" customHeight="1" thickBot="1" x14ac:dyDescent="0.25">
      <c r="A147" s="79"/>
      <c r="B147" s="30"/>
      <c r="C147" s="40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8"/>
      <c r="W147" s="142"/>
      <c r="X147" s="148"/>
      <c r="Y147" s="316"/>
    </row>
    <row r="148" spans="1:25" ht="30" hidden="1" customHeight="1" thickTop="1" thickBot="1" x14ac:dyDescent="0.25">
      <c r="A148" s="41"/>
      <c r="B148" s="313" t="s">
        <v>165</v>
      </c>
      <c r="C148" s="43" t="s">
        <v>79</v>
      </c>
      <c r="D148" s="509">
        <f t="shared" ref="D148:Q148" si="35">D133+D146</f>
        <v>0</v>
      </c>
      <c r="E148" s="509">
        <f t="shared" si="35"/>
        <v>0</v>
      </c>
      <c r="F148" s="509">
        <f t="shared" si="35"/>
        <v>0</v>
      </c>
      <c r="G148" s="509">
        <f t="shared" si="35"/>
        <v>0</v>
      </c>
      <c r="H148" s="509">
        <f t="shared" si="35"/>
        <v>0</v>
      </c>
      <c r="I148" s="509">
        <f t="shared" si="35"/>
        <v>0</v>
      </c>
      <c r="J148" s="509">
        <f t="shared" si="35"/>
        <v>0</v>
      </c>
      <c r="K148" s="509">
        <f t="shared" si="35"/>
        <v>0</v>
      </c>
      <c r="L148" s="509">
        <f t="shared" si="35"/>
        <v>0</v>
      </c>
      <c r="M148" s="509">
        <f t="shared" si="35"/>
        <v>0</v>
      </c>
      <c r="N148" s="509">
        <f t="shared" si="35"/>
        <v>0</v>
      </c>
      <c r="O148" s="509">
        <f t="shared" si="35"/>
        <v>0</v>
      </c>
      <c r="P148" s="509">
        <f t="shared" si="35"/>
        <v>0</v>
      </c>
      <c r="Q148" s="509">
        <f t="shared" si="35"/>
        <v>0</v>
      </c>
      <c r="R148" s="509">
        <f t="shared" si="24"/>
        <v>0</v>
      </c>
      <c r="S148" s="509"/>
      <c r="T148" s="509">
        <f>T133+T146</f>
        <v>0</v>
      </c>
      <c r="U148" s="509">
        <f>U133+U146</f>
        <v>0</v>
      </c>
      <c r="V148" s="510">
        <f>V133+V146</f>
        <v>0</v>
      </c>
      <c r="W148" s="509">
        <f>W133+W146</f>
        <v>0</v>
      </c>
      <c r="X148" s="510">
        <f t="shared" si="25"/>
        <v>0</v>
      </c>
      <c r="Y148" s="511">
        <f t="shared" si="26"/>
        <v>0</v>
      </c>
    </row>
    <row r="149" spans="1:25" ht="30" hidden="1" customHeight="1" thickTop="1" thickBot="1" x14ac:dyDescent="0.25">
      <c r="A149" s="41"/>
      <c r="B149" s="501" t="s">
        <v>166</v>
      </c>
      <c r="C149" s="43" t="s">
        <v>136</v>
      </c>
      <c r="D149" s="512">
        <f t="shared" ref="D149:Q149" si="36">D122+D148</f>
        <v>2614117.7000000002</v>
      </c>
      <c r="E149" s="519">
        <f t="shared" si="36"/>
        <v>556822.09699999995</v>
      </c>
      <c r="F149" s="512">
        <f t="shared" si="36"/>
        <v>881635.54399999999</v>
      </c>
      <c r="G149" s="512">
        <f t="shared" si="36"/>
        <v>185</v>
      </c>
      <c r="H149" s="512">
        <f t="shared" si="36"/>
        <v>0</v>
      </c>
      <c r="I149" s="512">
        <f t="shared" si="36"/>
        <v>0</v>
      </c>
      <c r="J149" s="512">
        <f t="shared" si="36"/>
        <v>0</v>
      </c>
      <c r="K149" s="512">
        <f t="shared" si="36"/>
        <v>0</v>
      </c>
      <c r="L149" s="512">
        <f t="shared" si="36"/>
        <v>317794</v>
      </c>
      <c r="M149" s="512">
        <f t="shared" si="36"/>
        <v>12500</v>
      </c>
      <c r="N149" s="512">
        <f t="shared" si="36"/>
        <v>0</v>
      </c>
      <c r="O149" s="512">
        <f t="shared" si="36"/>
        <v>5000</v>
      </c>
      <c r="P149" s="512">
        <f t="shared" si="36"/>
        <v>0</v>
      </c>
      <c r="Q149" s="512">
        <f t="shared" si="36"/>
        <v>0</v>
      </c>
      <c r="R149" s="519">
        <f t="shared" si="24"/>
        <v>4388054.341</v>
      </c>
      <c r="S149" s="512"/>
      <c r="T149" s="512">
        <f>T122+T148</f>
        <v>0</v>
      </c>
      <c r="U149" s="512">
        <f>U122+U148</f>
        <v>0</v>
      </c>
      <c r="V149" s="512">
        <f>V122+V148</f>
        <v>0</v>
      </c>
      <c r="W149" s="513">
        <f>W122+W148</f>
        <v>0</v>
      </c>
      <c r="X149" s="512">
        <f t="shared" si="25"/>
        <v>0</v>
      </c>
      <c r="Y149" s="530">
        <f t="shared" si="26"/>
        <v>4388054.341</v>
      </c>
    </row>
    <row r="150" spans="1:25" ht="24" hidden="1" customHeight="1" thickTop="1" x14ac:dyDescent="0.25">
      <c r="A150" s="118"/>
      <c r="B150" s="547" t="s">
        <v>170</v>
      </c>
      <c r="C150" s="119" t="s">
        <v>18</v>
      </c>
      <c r="D150" s="210">
        <f t="shared" ref="D150:W150" si="37">D149</f>
        <v>2614117.7000000002</v>
      </c>
      <c r="E150" s="520">
        <f t="shared" si="37"/>
        <v>556822.09699999995</v>
      </c>
      <c r="F150" s="210">
        <f t="shared" si="37"/>
        <v>881635.54399999999</v>
      </c>
      <c r="G150" s="210">
        <f t="shared" si="37"/>
        <v>185</v>
      </c>
      <c r="H150" s="210">
        <f t="shared" si="37"/>
        <v>0</v>
      </c>
      <c r="I150" s="210">
        <f t="shared" si="37"/>
        <v>0</v>
      </c>
      <c r="J150" s="210">
        <f t="shared" si="37"/>
        <v>0</v>
      </c>
      <c r="K150" s="210">
        <f t="shared" si="37"/>
        <v>0</v>
      </c>
      <c r="L150" s="210">
        <f t="shared" si="37"/>
        <v>317794</v>
      </c>
      <c r="M150" s="210">
        <f t="shared" si="37"/>
        <v>12500</v>
      </c>
      <c r="N150" s="210">
        <f t="shared" si="37"/>
        <v>0</v>
      </c>
      <c r="O150" s="210">
        <f t="shared" si="37"/>
        <v>5000</v>
      </c>
      <c r="P150" s="210">
        <f t="shared" si="37"/>
        <v>0</v>
      </c>
      <c r="Q150" s="210">
        <f t="shared" si="37"/>
        <v>0</v>
      </c>
      <c r="R150" s="520">
        <f t="shared" si="24"/>
        <v>4388054.341</v>
      </c>
      <c r="S150" s="210"/>
      <c r="T150" s="210">
        <f>T149</f>
        <v>0</v>
      </c>
      <c r="U150" s="210">
        <f>U149</f>
        <v>0</v>
      </c>
      <c r="V150" s="252">
        <f t="shared" si="37"/>
        <v>0</v>
      </c>
      <c r="W150" s="210">
        <f t="shared" si="37"/>
        <v>0</v>
      </c>
      <c r="X150" s="252">
        <f t="shared" si="25"/>
        <v>0</v>
      </c>
      <c r="Y150" s="531">
        <f t="shared" si="26"/>
        <v>4388054.341</v>
      </c>
    </row>
    <row r="151" spans="1:25" ht="33.75" hidden="1" customHeight="1" x14ac:dyDescent="0.2">
      <c r="A151" s="214"/>
      <c r="B151" s="321"/>
      <c r="C151" s="27"/>
      <c r="D151" s="147"/>
      <c r="E151" s="147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7"/>
      <c r="S151" s="142"/>
      <c r="T151" s="142"/>
      <c r="U151" s="142"/>
      <c r="V151" s="148"/>
      <c r="W151" s="142"/>
      <c r="X151" s="148"/>
      <c r="Y151" s="532">
        <f t="shared" si="26"/>
        <v>0</v>
      </c>
    </row>
    <row r="152" spans="1:25" ht="33.75" hidden="1" customHeight="1" x14ac:dyDescent="0.2">
      <c r="A152" s="214">
        <v>1</v>
      </c>
      <c r="B152" s="321"/>
      <c r="C152" s="27"/>
      <c r="D152" s="147"/>
      <c r="E152" s="147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7">
        <f t="shared" si="24"/>
        <v>0</v>
      </c>
      <c r="S152" s="142"/>
      <c r="T152" s="142"/>
      <c r="U152" s="142"/>
      <c r="V152" s="148"/>
      <c r="W152" s="142"/>
      <c r="X152" s="148">
        <f t="shared" si="25"/>
        <v>0</v>
      </c>
      <c r="Y152" s="532">
        <f t="shared" si="26"/>
        <v>0</v>
      </c>
    </row>
    <row r="153" spans="1:25" ht="33.75" hidden="1" customHeight="1" x14ac:dyDescent="0.2">
      <c r="A153" s="79">
        <v>2</v>
      </c>
      <c r="B153" s="108"/>
      <c r="C153" s="27"/>
      <c r="D153" s="147"/>
      <c r="E153" s="147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7">
        <f t="shared" si="24"/>
        <v>0</v>
      </c>
      <c r="S153" s="142"/>
      <c r="T153" s="142"/>
      <c r="U153" s="142"/>
      <c r="V153" s="148"/>
      <c r="W153" s="142"/>
      <c r="X153" s="148">
        <f t="shared" si="25"/>
        <v>0</v>
      </c>
      <c r="Y153" s="532">
        <f t="shared" si="26"/>
        <v>0</v>
      </c>
    </row>
    <row r="154" spans="1:25" ht="24" hidden="1" customHeight="1" x14ac:dyDescent="0.2">
      <c r="A154" s="79">
        <v>3</v>
      </c>
      <c r="B154" s="219"/>
      <c r="C154" s="32"/>
      <c r="D154" s="142"/>
      <c r="E154" s="147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7">
        <f t="shared" si="24"/>
        <v>0</v>
      </c>
      <c r="S154" s="142"/>
      <c r="T154" s="142"/>
      <c r="U154" s="142"/>
      <c r="V154" s="148"/>
      <c r="W154" s="142"/>
      <c r="X154" s="148">
        <f t="shared" si="25"/>
        <v>0</v>
      </c>
      <c r="Y154" s="532">
        <f t="shared" si="26"/>
        <v>0</v>
      </c>
    </row>
    <row r="155" spans="1:25" ht="33.75" hidden="1" customHeight="1" x14ac:dyDescent="0.2">
      <c r="A155" s="79"/>
      <c r="B155" s="219"/>
      <c r="C155" s="32"/>
      <c r="D155" s="142"/>
      <c r="E155" s="147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7"/>
      <c r="S155" s="142"/>
      <c r="T155" s="142"/>
      <c r="U155" s="142"/>
      <c r="V155" s="148"/>
      <c r="W155" s="142"/>
      <c r="X155" s="148"/>
      <c r="Y155" s="532"/>
    </row>
    <row r="156" spans="1:25" ht="33.75" hidden="1" customHeight="1" x14ac:dyDescent="0.2">
      <c r="A156" s="79"/>
      <c r="B156" s="29"/>
      <c r="C156" s="27"/>
      <c r="D156" s="142"/>
      <c r="E156" s="147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7"/>
      <c r="S156" s="142"/>
      <c r="T156" s="142"/>
      <c r="U156" s="142"/>
      <c r="V156" s="148"/>
      <c r="W156" s="142"/>
      <c r="X156" s="148"/>
      <c r="Y156" s="532">
        <f t="shared" si="26"/>
        <v>0</v>
      </c>
    </row>
    <row r="157" spans="1:25" ht="9.9499999999999993" hidden="1" customHeight="1" x14ac:dyDescent="0.2">
      <c r="A157" s="79"/>
      <c r="B157" s="29"/>
      <c r="C157" s="27"/>
      <c r="D157" s="142"/>
      <c r="E157" s="147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7"/>
      <c r="S157" s="142"/>
      <c r="T157" s="142"/>
      <c r="U157" s="142"/>
      <c r="V157" s="148"/>
      <c r="W157" s="142"/>
      <c r="X157" s="148"/>
      <c r="Y157" s="532"/>
    </row>
    <row r="158" spans="1:25" ht="20.100000000000001" hidden="1" customHeight="1" x14ac:dyDescent="0.2">
      <c r="A158" s="199" t="s">
        <v>77</v>
      </c>
      <c r="B158" s="195"/>
      <c r="C158" s="200" t="s">
        <v>75</v>
      </c>
      <c r="D158" s="142">
        <f t="shared" ref="D158:W158" si="38">SUM(D151:D157)</f>
        <v>0</v>
      </c>
      <c r="E158" s="147">
        <f t="shared" si="38"/>
        <v>0</v>
      </c>
      <c r="F158" s="142">
        <f t="shared" si="38"/>
        <v>0</v>
      </c>
      <c r="G158" s="142">
        <f t="shared" si="38"/>
        <v>0</v>
      </c>
      <c r="H158" s="142">
        <f t="shared" si="38"/>
        <v>0</v>
      </c>
      <c r="I158" s="142">
        <f t="shared" si="38"/>
        <v>0</v>
      </c>
      <c r="J158" s="142">
        <f t="shared" si="38"/>
        <v>0</v>
      </c>
      <c r="K158" s="142">
        <f t="shared" si="38"/>
        <v>0</v>
      </c>
      <c r="L158" s="142">
        <f t="shared" si="38"/>
        <v>0</v>
      </c>
      <c r="M158" s="142">
        <f t="shared" si="38"/>
        <v>0</v>
      </c>
      <c r="N158" s="142">
        <f t="shared" si="38"/>
        <v>0</v>
      </c>
      <c r="O158" s="142">
        <f t="shared" si="38"/>
        <v>0</v>
      </c>
      <c r="P158" s="142">
        <f t="shared" si="38"/>
        <v>0</v>
      </c>
      <c r="Q158" s="142">
        <f t="shared" si="38"/>
        <v>0</v>
      </c>
      <c r="R158" s="147">
        <f t="shared" si="24"/>
        <v>0</v>
      </c>
      <c r="S158" s="142"/>
      <c r="T158" s="142">
        <f t="shared" si="38"/>
        <v>0</v>
      </c>
      <c r="U158" s="142">
        <f t="shared" si="38"/>
        <v>0</v>
      </c>
      <c r="V158" s="148">
        <f t="shared" si="38"/>
        <v>0</v>
      </c>
      <c r="W158" s="142">
        <f t="shared" si="38"/>
        <v>0</v>
      </c>
      <c r="X158" s="148">
        <f t="shared" si="25"/>
        <v>0</v>
      </c>
      <c r="Y158" s="532">
        <f t="shared" si="26"/>
        <v>0</v>
      </c>
    </row>
    <row r="159" spans="1:25" ht="33.75" hidden="1" customHeight="1" x14ac:dyDescent="0.2">
      <c r="A159" s="214"/>
      <c r="B159" s="216"/>
      <c r="C159" s="40"/>
      <c r="D159" s="142"/>
      <c r="E159" s="147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7"/>
      <c r="S159" s="142"/>
      <c r="T159" s="142"/>
      <c r="U159" s="142"/>
      <c r="V159" s="148"/>
      <c r="W159" s="142"/>
      <c r="X159" s="148"/>
      <c r="Y159" s="532">
        <f t="shared" si="26"/>
        <v>0</v>
      </c>
    </row>
    <row r="160" spans="1:25" ht="33.75" hidden="1" customHeight="1" x14ac:dyDescent="0.2">
      <c r="A160" s="214" t="s">
        <v>99</v>
      </c>
      <c r="B160" s="216"/>
      <c r="C160" s="40"/>
      <c r="D160" s="142"/>
      <c r="E160" s="147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7">
        <f t="shared" si="24"/>
        <v>0</v>
      </c>
      <c r="S160" s="142"/>
      <c r="T160" s="142"/>
      <c r="U160" s="142"/>
      <c r="V160" s="148"/>
      <c r="W160" s="142"/>
      <c r="X160" s="148">
        <f t="shared" si="25"/>
        <v>0</v>
      </c>
      <c r="Y160" s="532">
        <f t="shared" si="26"/>
        <v>0</v>
      </c>
    </row>
    <row r="161" spans="1:26" ht="33.75" hidden="1" customHeight="1" x14ac:dyDescent="0.2">
      <c r="A161" s="214" t="s">
        <v>99</v>
      </c>
      <c r="B161" s="216"/>
      <c r="C161" s="40"/>
      <c r="D161" s="142"/>
      <c r="E161" s="147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7">
        <f t="shared" si="24"/>
        <v>0</v>
      </c>
      <c r="S161" s="142"/>
      <c r="T161" s="142"/>
      <c r="U161" s="142"/>
      <c r="V161" s="148"/>
      <c r="W161" s="142"/>
      <c r="X161" s="148">
        <f t="shared" si="25"/>
        <v>0</v>
      </c>
      <c r="Y161" s="532">
        <f t="shared" si="26"/>
        <v>0</v>
      </c>
    </row>
    <row r="162" spans="1:26" ht="33.75" hidden="1" customHeight="1" x14ac:dyDescent="0.2">
      <c r="A162" s="214" t="s">
        <v>99</v>
      </c>
      <c r="B162" s="216"/>
      <c r="C162" s="40"/>
      <c r="D162" s="142"/>
      <c r="E162" s="147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7">
        <f t="shared" si="24"/>
        <v>0</v>
      </c>
      <c r="S162" s="142"/>
      <c r="T162" s="142"/>
      <c r="U162" s="142"/>
      <c r="V162" s="148"/>
      <c r="W162" s="142"/>
      <c r="X162" s="148">
        <f t="shared" si="25"/>
        <v>0</v>
      </c>
      <c r="Y162" s="532">
        <f t="shared" si="26"/>
        <v>0</v>
      </c>
    </row>
    <row r="163" spans="1:26" ht="33.75" hidden="1" customHeight="1" x14ac:dyDescent="0.2">
      <c r="A163" s="214" t="s">
        <v>99</v>
      </c>
      <c r="B163" s="216"/>
      <c r="C163" s="40"/>
      <c r="D163" s="142"/>
      <c r="E163" s="147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7">
        <f t="shared" si="24"/>
        <v>0</v>
      </c>
      <c r="S163" s="142"/>
      <c r="T163" s="142"/>
      <c r="U163" s="142"/>
      <c r="V163" s="148"/>
      <c r="W163" s="142"/>
      <c r="X163" s="148">
        <f t="shared" si="25"/>
        <v>0</v>
      </c>
      <c r="Y163" s="532">
        <f t="shared" si="26"/>
        <v>0</v>
      </c>
    </row>
    <row r="164" spans="1:26" ht="33.75" hidden="1" customHeight="1" x14ac:dyDescent="0.2">
      <c r="A164" s="214"/>
      <c r="B164" s="216"/>
      <c r="C164" s="40"/>
      <c r="D164" s="142"/>
      <c r="E164" s="147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7"/>
      <c r="S164" s="142"/>
      <c r="T164" s="142"/>
      <c r="U164" s="142"/>
      <c r="V164" s="148"/>
      <c r="W164" s="142"/>
      <c r="X164" s="148"/>
      <c r="Y164" s="532">
        <f t="shared" si="26"/>
        <v>0</v>
      </c>
    </row>
    <row r="165" spans="1:26" ht="33.75" hidden="1" customHeight="1" x14ac:dyDescent="0.2">
      <c r="A165" s="79"/>
      <c r="B165" s="31"/>
      <c r="C165" s="33"/>
      <c r="D165" s="142"/>
      <c r="E165" s="147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7"/>
      <c r="S165" s="142"/>
      <c r="T165" s="142"/>
      <c r="U165" s="142"/>
      <c r="V165" s="148"/>
      <c r="W165" s="142"/>
      <c r="X165" s="148"/>
      <c r="Y165" s="532">
        <f t="shared" si="26"/>
        <v>0</v>
      </c>
    </row>
    <row r="166" spans="1:26" ht="9.9499999999999993" hidden="1" customHeight="1" x14ac:dyDescent="0.2">
      <c r="A166" s="79"/>
      <c r="B166" s="109"/>
      <c r="C166" s="40"/>
      <c r="D166" s="142"/>
      <c r="E166" s="147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7"/>
      <c r="S166" s="142"/>
      <c r="T166" s="142"/>
      <c r="U166" s="142"/>
      <c r="V166" s="148"/>
      <c r="W166" s="142"/>
      <c r="X166" s="148"/>
      <c r="Y166" s="532"/>
    </row>
    <row r="167" spans="1:26" ht="20.100000000000001" hidden="1" customHeight="1" x14ac:dyDescent="0.2">
      <c r="A167" s="199" t="s">
        <v>78</v>
      </c>
      <c r="B167" s="195"/>
      <c r="C167" s="200" t="s">
        <v>76</v>
      </c>
      <c r="D167" s="142">
        <f t="shared" ref="D167:W167" si="39">SUM(D159:D166)</f>
        <v>0</v>
      </c>
      <c r="E167" s="147">
        <f t="shared" si="39"/>
        <v>0</v>
      </c>
      <c r="F167" s="142">
        <f t="shared" si="39"/>
        <v>0</v>
      </c>
      <c r="G167" s="142">
        <f t="shared" si="39"/>
        <v>0</v>
      </c>
      <c r="H167" s="142">
        <f t="shared" si="39"/>
        <v>0</v>
      </c>
      <c r="I167" s="142">
        <f t="shared" si="39"/>
        <v>0</v>
      </c>
      <c r="J167" s="142">
        <f t="shared" si="39"/>
        <v>0</v>
      </c>
      <c r="K167" s="142">
        <f t="shared" si="39"/>
        <v>0</v>
      </c>
      <c r="L167" s="142">
        <f t="shared" si="39"/>
        <v>0</v>
      </c>
      <c r="M167" s="142">
        <f t="shared" si="39"/>
        <v>0</v>
      </c>
      <c r="N167" s="142">
        <f t="shared" si="39"/>
        <v>0</v>
      </c>
      <c r="O167" s="142">
        <f t="shared" si="39"/>
        <v>0</v>
      </c>
      <c r="P167" s="142">
        <f t="shared" si="39"/>
        <v>0</v>
      </c>
      <c r="Q167" s="142">
        <f t="shared" si="39"/>
        <v>0</v>
      </c>
      <c r="R167" s="147">
        <f t="shared" ref="R167:R234" si="40">SUM(D167:Q167)</f>
        <v>0</v>
      </c>
      <c r="S167" s="142"/>
      <c r="T167" s="142">
        <f t="shared" si="39"/>
        <v>0</v>
      </c>
      <c r="U167" s="142">
        <f t="shared" si="39"/>
        <v>0</v>
      </c>
      <c r="V167" s="148">
        <f t="shared" si="39"/>
        <v>0</v>
      </c>
      <c r="W167" s="142">
        <f t="shared" si="39"/>
        <v>0</v>
      </c>
      <c r="X167" s="148">
        <f t="shared" ref="X167:X234" si="41">SUM(T167:W167)</f>
        <v>0</v>
      </c>
      <c r="Y167" s="532">
        <f t="shared" ref="Y167:Y234" si="42">R167+X167</f>
        <v>0</v>
      </c>
    </row>
    <row r="168" spans="1:26" ht="9.9499999999999993" hidden="1" customHeight="1" x14ac:dyDescent="0.2">
      <c r="A168" s="79"/>
      <c r="B168" s="109"/>
      <c r="C168" s="40"/>
      <c r="D168" s="142"/>
      <c r="E168" s="147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7"/>
      <c r="S168" s="142"/>
      <c r="T168" s="142"/>
      <c r="U168" s="142"/>
      <c r="V168" s="148"/>
      <c r="W168" s="142"/>
      <c r="X168" s="148"/>
      <c r="Y168" s="532"/>
    </row>
    <row r="169" spans="1:26" ht="24" hidden="1" customHeight="1" thickBot="1" x14ac:dyDescent="0.25">
      <c r="A169" s="79"/>
      <c r="B169" s="86"/>
      <c r="C169" s="40"/>
      <c r="D169" s="142"/>
      <c r="E169" s="147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7"/>
      <c r="S169" s="142"/>
      <c r="T169" s="142"/>
      <c r="U169" s="142"/>
      <c r="V169" s="148"/>
      <c r="W169" s="142"/>
      <c r="X169" s="148"/>
      <c r="Y169" s="532"/>
    </row>
    <row r="170" spans="1:26" ht="30" hidden="1" customHeight="1" thickTop="1" thickBot="1" x14ac:dyDescent="0.25">
      <c r="A170" s="41"/>
      <c r="B170" s="250" t="s">
        <v>171</v>
      </c>
      <c r="C170" s="43" t="s">
        <v>79</v>
      </c>
      <c r="D170" s="149">
        <f t="shared" ref="D170:Q170" si="43">D158+D167</f>
        <v>0</v>
      </c>
      <c r="E170" s="507">
        <f t="shared" si="43"/>
        <v>0</v>
      </c>
      <c r="F170" s="149">
        <f t="shared" si="43"/>
        <v>0</v>
      </c>
      <c r="G170" s="149">
        <f t="shared" si="43"/>
        <v>0</v>
      </c>
      <c r="H170" s="149">
        <f t="shared" si="43"/>
        <v>0</v>
      </c>
      <c r="I170" s="149">
        <f t="shared" si="43"/>
        <v>0</v>
      </c>
      <c r="J170" s="149">
        <f t="shared" si="43"/>
        <v>0</v>
      </c>
      <c r="K170" s="149">
        <f t="shared" si="43"/>
        <v>0</v>
      </c>
      <c r="L170" s="149">
        <f t="shared" si="43"/>
        <v>0</v>
      </c>
      <c r="M170" s="149">
        <f t="shared" si="43"/>
        <v>0</v>
      </c>
      <c r="N170" s="149">
        <f t="shared" si="43"/>
        <v>0</v>
      </c>
      <c r="O170" s="149">
        <f t="shared" si="43"/>
        <v>0</v>
      </c>
      <c r="P170" s="149">
        <f t="shared" si="43"/>
        <v>0</v>
      </c>
      <c r="Q170" s="149">
        <f t="shared" si="43"/>
        <v>0</v>
      </c>
      <c r="R170" s="507">
        <f t="shared" si="40"/>
        <v>0</v>
      </c>
      <c r="S170" s="149"/>
      <c r="T170" s="149">
        <f>T158+T167</f>
        <v>0</v>
      </c>
      <c r="U170" s="149">
        <f>U158+U167</f>
        <v>0</v>
      </c>
      <c r="V170" s="152">
        <f>V158+V167</f>
        <v>0</v>
      </c>
      <c r="W170" s="149">
        <f>W158+W167</f>
        <v>0</v>
      </c>
      <c r="X170" s="152">
        <f t="shared" si="41"/>
        <v>0</v>
      </c>
      <c r="Y170" s="533">
        <f t="shared" si="42"/>
        <v>0</v>
      </c>
    </row>
    <row r="171" spans="1:26" ht="30" hidden="1" customHeight="1" thickTop="1" thickBot="1" x14ac:dyDescent="0.25">
      <c r="A171" s="41"/>
      <c r="B171" s="575" t="s">
        <v>170</v>
      </c>
      <c r="C171" s="43" t="s">
        <v>136</v>
      </c>
      <c r="D171" s="543">
        <f t="shared" ref="D171:Q171" si="44">D150+D170</f>
        <v>2614117.7000000002</v>
      </c>
      <c r="E171" s="572">
        <f t="shared" si="44"/>
        <v>556822.09699999995</v>
      </c>
      <c r="F171" s="543">
        <f t="shared" si="44"/>
        <v>881635.54399999999</v>
      </c>
      <c r="G171" s="543">
        <f t="shared" si="44"/>
        <v>185</v>
      </c>
      <c r="H171" s="543">
        <f t="shared" si="44"/>
        <v>0</v>
      </c>
      <c r="I171" s="543">
        <f t="shared" si="44"/>
        <v>0</v>
      </c>
      <c r="J171" s="543">
        <f t="shared" si="44"/>
        <v>0</v>
      </c>
      <c r="K171" s="543">
        <f t="shared" si="44"/>
        <v>0</v>
      </c>
      <c r="L171" s="543">
        <f t="shared" si="44"/>
        <v>317794</v>
      </c>
      <c r="M171" s="543">
        <f t="shared" si="44"/>
        <v>12500</v>
      </c>
      <c r="N171" s="543">
        <f t="shared" si="44"/>
        <v>0</v>
      </c>
      <c r="O171" s="543">
        <f t="shared" si="44"/>
        <v>5000</v>
      </c>
      <c r="P171" s="543">
        <f t="shared" si="44"/>
        <v>0</v>
      </c>
      <c r="Q171" s="543">
        <f t="shared" si="44"/>
        <v>0</v>
      </c>
      <c r="R171" s="572">
        <f t="shared" si="40"/>
        <v>4388054.341</v>
      </c>
      <c r="S171" s="543"/>
      <c r="T171" s="543">
        <f>T150+T170</f>
        <v>0</v>
      </c>
      <c r="U171" s="543">
        <f>U150+U170</f>
        <v>0</v>
      </c>
      <c r="V171" s="543">
        <f>V150+V170</f>
        <v>0</v>
      </c>
      <c r="W171" s="573">
        <f>W150+W170</f>
        <v>0</v>
      </c>
      <c r="X171" s="543">
        <f t="shared" si="41"/>
        <v>0</v>
      </c>
      <c r="Y171" s="571">
        <f t="shared" si="42"/>
        <v>4388054.341</v>
      </c>
      <c r="Z171" s="117">
        <f>Y171-W171</f>
        <v>4388054.341</v>
      </c>
    </row>
    <row r="172" spans="1:26" ht="24.95" hidden="1" customHeight="1" thickTop="1" x14ac:dyDescent="0.25">
      <c r="A172" s="574"/>
      <c r="B172" s="503" t="s">
        <v>174</v>
      </c>
      <c r="C172" s="119" t="s">
        <v>18</v>
      </c>
      <c r="D172" s="210">
        <f t="shared" ref="D172:W172" si="45">D171</f>
        <v>2614117.7000000002</v>
      </c>
      <c r="E172" s="520">
        <f t="shared" si="45"/>
        <v>556822.09699999995</v>
      </c>
      <c r="F172" s="210">
        <f t="shared" si="45"/>
        <v>881635.54399999999</v>
      </c>
      <c r="G172" s="210">
        <f t="shared" si="45"/>
        <v>185</v>
      </c>
      <c r="H172" s="210">
        <f t="shared" si="45"/>
        <v>0</v>
      </c>
      <c r="I172" s="210">
        <f t="shared" si="45"/>
        <v>0</v>
      </c>
      <c r="J172" s="210">
        <f t="shared" si="45"/>
        <v>0</v>
      </c>
      <c r="K172" s="210">
        <f t="shared" si="45"/>
        <v>0</v>
      </c>
      <c r="L172" s="210">
        <f t="shared" si="45"/>
        <v>317794</v>
      </c>
      <c r="M172" s="210">
        <f t="shared" si="45"/>
        <v>12500</v>
      </c>
      <c r="N172" s="210">
        <f t="shared" si="45"/>
        <v>0</v>
      </c>
      <c r="O172" s="210">
        <f t="shared" si="45"/>
        <v>5000</v>
      </c>
      <c r="P172" s="210">
        <f t="shared" si="45"/>
        <v>0</v>
      </c>
      <c r="Q172" s="210">
        <f t="shared" si="45"/>
        <v>0</v>
      </c>
      <c r="R172" s="520">
        <f t="shared" si="40"/>
        <v>4388054.341</v>
      </c>
      <c r="S172" s="210"/>
      <c r="T172" s="210">
        <f>T171</f>
        <v>0</v>
      </c>
      <c r="U172" s="210">
        <f>U171</f>
        <v>0</v>
      </c>
      <c r="V172" s="252">
        <f t="shared" si="45"/>
        <v>0</v>
      </c>
      <c r="W172" s="210">
        <f t="shared" si="45"/>
        <v>0</v>
      </c>
      <c r="X172" s="252">
        <f t="shared" si="41"/>
        <v>0</v>
      </c>
      <c r="Y172" s="531">
        <f t="shared" si="42"/>
        <v>4388054.341</v>
      </c>
      <c r="Z172" s="117"/>
    </row>
    <row r="173" spans="1:26" ht="33.75" hidden="1" customHeight="1" x14ac:dyDescent="0.25">
      <c r="A173" s="581"/>
      <c r="B173" s="171"/>
      <c r="C173" s="582"/>
      <c r="D173" s="583"/>
      <c r="E173" s="584"/>
      <c r="F173" s="583"/>
      <c r="G173" s="583"/>
      <c r="H173" s="583"/>
      <c r="I173" s="583"/>
      <c r="J173" s="583"/>
      <c r="K173" s="583"/>
      <c r="L173" s="583"/>
      <c r="M173" s="583"/>
      <c r="N173" s="583"/>
      <c r="O173" s="583"/>
      <c r="P173" s="583"/>
      <c r="Q173" s="583"/>
      <c r="R173" s="584"/>
      <c r="S173" s="583"/>
      <c r="T173" s="583"/>
      <c r="U173" s="583"/>
      <c r="V173" s="585"/>
      <c r="W173" s="583"/>
      <c r="X173" s="585"/>
      <c r="Y173" s="586"/>
      <c r="Z173" s="117"/>
    </row>
    <row r="174" spans="1:26" ht="33.75" hidden="1" customHeight="1" x14ac:dyDescent="0.2">
      <c r="A174" s="214">
        <v>1</v>
      </c>
      <c r="B174" s="578"/>
      <c r="C174" s="27"/>
      <c r="D174" s="147"/>
      <c r="E174" s="147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7">
        <f t="shared" si="40"/>
        <v>0</v>
      </c>
      <c r="S174" s="142"/>
      <c r="T174" s="142"/>
      <c r="U174" s="142"/>
      <c r="V174" s="148"/>
      <c r="W174" s="142"/>
      <c r="X174" s="148">
        <f t="shared" si="41"/>
        <v>0</v>
      </c>
      <c r="Y174" s="532">
        <f t="shared" si="42"/>
        <v>0</v>
      </c>
      <c r="Z174" s="117"/>
    </row>
    <row r="175" spans="1:26" ht="33.75" hidden="1" customHeight="1" x14ac:dyDescent="0.2">
      <c r="A175" s="214">
        <v>2</v>
      </c>
      <c r="B175" s="577"/>
      <c r="C175" s="27"/>
      <c r="D175" s="147"/>
      <c r="E175" s="147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7">
        <f t="shared" si="40"/>
        <v>0</v>
      </c>
      <c r="S175" s="142"/>
      <c r="T175" s="142"/>
      <c r="U175" s="142"/>
      <c r="V175" s="148"/>
      <c r="W175" s="142"/>
      <c r="X175" s="148">
        <f t="shared" si="41"/>
        <v>0</v>
      </c>
      <c r="Y175" s="532">
        <f t="shared" si="42"/>
        <v>0</v>
      </c>
      <c r="Z175" s="117"/>
    </row>
    <row r="176" spans="1:26" ht="33.75" hidden="1" customHeight="1" x14ac:dyDescent="0.2">
      <c r="A176" s="214">
        <v>3</v>
      </c>
      <c r="B176" s="577"/>
      <c r="C176" s="27"/>
      <c r="D176" s="147"/>
      <c r="E176" s="147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7">
        <f t="shared" si="40"/>
        <v>0</v>
      </c>
      <c r="S176" s="142"/>
      <c r="T176" s="142"/>
      <c r="U176" s="142"/>
      <c r="V176" s="148"/>
      <c r="W176" s="142"/>
      <c r="X176" s="148">
        <f t="shared" si="41"/>
        <v>0</v>
      </c>
      <c r="Y176" s="532">
        <f t="shared" si="42"/>
        <v>0</v>
      </c>
      <c r="Z176" s="117"/>
    </row>
    <row r="177" spans="1:26" ht="33.75" hidden="1" customHeight="1" x14ac:dyDescent="0.2">
      <c r="A177" s="214"/>
      <c r="B177" s="219"/>
      <c r="C177" s="32"/>
      <c r="D177" s="142"/>
      <c r="E177" s="147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7">
        <f t="shared" si="40"/>
        <v>0</v>
      </c>
      <c r="S177" s="142"/>
      <c r="T177" s="142"/>
      <c r="U177" s="142"/>
      <c r="V177" s="148"/>
      <c r="W177" s="142"/>
      <c r="X177" s="148">
        <f t="shared" si="41"/>
        <v>0</v>
      </c>
      <c r="Y177" s="532">
        <f t="shared" si="42"/>
        <v>0</v>
      </c>
      <c r="Z177" s="117"/>
    </row>
    <row r="178" spans="1:26" ht="33.75" hidden="1" customHeight="1" x14ac:dyDescent="0.2">
      <c r="A178" s="79"/>
      <c r="B178" s="29"/>
      <c r="C178" s="27"/>
      <c r="D178" s="142"/>
      <c r="E178" s="147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7">
        <f t="shared" si="40"/>
        <v>0</v>
      </c>
      <c r="S178" s="142"/>
      <c r="T178" s="142"/>
      <c r="U178" s="142"/>
      <c r="V178" s="148"/>
      <c r="W178" s="142"/>
      <c r="X178" s="148">
        <f t="shared" si="41"/>
        <v>0</v>
      </c>
      <c r="Y178" s="532">
        <f t="shared" si="42"/>
        <v>0</v>
      </c>
      <c r="Z178" s="117"/>
    </row>
    <row r="179" spans="1:26" ht="33.75" hidden="1" customHeight="1" x14ac:dyDescent="0.2">
      <c r="A179" s="79"/>
      <c r="B179" s="29"/>
      <c r="C179" s="27"/>
      <c r="D179" s="142"/>
      <c r="E179" s="147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7"/>
      <c r="S179" s="142"/>
      <c r="T179" s="142"/>
      <c r="U179" s="142"/>
      <c r="V179" s="148"/>
      <c r="W179" s="142"/>
      <c r="X179" s="148"/>
      <c r="Y179" s="532"/>
      <c r="Z179" s="117"/>
    </row>
    <row r="180" spans="1:26" ht="24" hidden="1" customHeight="1" x14ac:dyDescent="0.2">
      <c r="A180" s="199" t="s">
        <v>77</v>
      </c>
      <c r="B180" s="195"/>
      <c r="C180" s="200" t="s">
        <v>75</v>
      </c>
      <c r="D180" s="142">
        <f t="shared" ref="D180:W180" si="46">SUM(D174:D179)</f>
        <v>0</v>
      </c>
      <c r="E180" s="147">
        <f t="shared" si="46"/>
        <v>0</v>
      </c>
      <c r="F180" s="142">
        <f t="shared" si="46"/>
        <v>0</v>
      </c>
      <c r="G180" s="142">
        <f t="shared" si="46"/>
        <v>0</v>
      </c>
      <c r="H180" s="142">
        <f t="shared" si="46"/>
        <v>0</v>
      </c>
      <c r="I180" s="142">
        <f t="shared" si="46"/>
        <v>0</v>
      </c>
      <c r="J180" s="142">
        <f t="shared" si="46"/>
        <v>0</v>
      </c>
      <c r="K180" s="142">
        <f t="shared" si="46"/>
        <v>0</v>
      </c>
      <c r="L180" s="142">
        <f t="shared" si="46"/>
        <v>0</v>
      </c>
      <c r="M180" s="142">
        <f t="shared" si="46"/>
        <v>0</v>
      </c>
      <c r="N180" s="142">
        <f t="shared" si="46"/>
        <v>0</v>
      </c>
      <c r="O180" s="142">
        <f t="shared" si="46"/>
        <v>0</v>
      </c>
      <c r="P180" s="142">
        <f t="shared" si="46"/>
        <v>0</v>
      </c>
      <c r="Q180" s="142">
        <f t="shared" si="46"/>
        <v>0</v>
      </c>
      <c r="R180" s="147">
        <f t="shared" si="40"/>
        <v>0</v>
      </c>
      <c r="S180" s="142"/>
      <c r="T180" s="142">
        <f t="shared" si="46"/>
        <v>0</v>
      </c>
      <c r="U180" s="142">
        <f t="shared" si="46"/>
        <v>0</v>
      </c>
      <c r="V180" s="148">
        <f t="shared" si="46"/>
        <v>0</v>
      </c>
      <c r="W180" s="142">
        <f t="shared" si="46"/>
        <v>0</v>
      </c>
      <c r="X180" s="148">
        <f t="shared" si="41"/>
        <v>0</v>
      </c>
      <c r="Y180" s="532">
        <f t="shared" si="42"/>
        <v>0</v>
      </c>
      <c r="Z180" s="117"/>
    </row>
    <row r="181" spans="1:26" ht="33.75" hidden="1" customHeight="1" x14ac:dyDescent="0.2">
      <c r="A181" s="79"/>
      <c r="B181" s="44"/>
      <c r="C181" s="27"/>
      <c r="D181" s="142"/>
      <c r="E181" s="147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7"/>
      <c r="S181" s="142"/>
      <c r="T181" s="142"/>
      <c r="U181" s="142"/>
      <c r="V181" s="148"/>
      <c r="W181" s="142"/>
      <c r="X181" s="148"/>
      <c r="Y181" s="532"/>
      <c r="Z181" s="117"/>
    </row>
    <row r="182" spans="1:26" ht="33.75" hidden="1" customHeight="1" x14ac:dyDescent="0.2">
      <c r="A182" s="214" t="s">
        <v>99</v>
      </c>
      <c r="B182" s="216"/>
      <c r="C182" s="40"/>
      <c r="D182" s="142"/>
      <c r="E182" s="147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7">
        <f t="shared" si="40"/>
        <v>0</v>
      </c>
      <c r="S182" s="142"/>
      <c r="T182" s="142"/>
      <c r="U182" s="142"/>
      <c r="V182" s="148"/>
      <c r="W182" s="142"/>
      <c r="X182" s="148">
        <f t="shared" si="41"/>
        <v>0</v>
      </c>
      <c r="Y182" s="532">
        <f t="shared" si="42"/>
        <v>0</v>
      </c>
      <c r="Z182" s="117"/>
    </row>
    <row r="183" spans="1:26" ht="33.75" hidden="1" customHeight="1" x14ac:dyDescent="0.2">
      <c r="A183" s="214" t="s">
        <v>99</v>
      </c>
      <c r="B183" s="216"/>
      <c r="C183" s="40"/>
      <c r="D183" s="142"/>
      <c r="E183" s="147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7">
        <f t="shared" si="40"/>
        <v>0</v>
      </c>
      <c r="S183" s="142"/>
      <c r="T183" s="142"/>
      <c r="U183" s="142"/>
      <c r="V183" s="148"/>
      <c r="W183" s="142"/>
      <c r="X183" s="148">
        <f t="shared" si="41"/>
        <v>0</v>
      </c>
      <c r="Y183" s="532">
        <f t="shared" si="42"/>
        <v>0</v>
      </c>
      <c r="Z183" s="117"/>
    </row>
    <row r="184" spans="1:26" ht="33.75" hidden="1" customHeight="1" x14ac:dyDescent="0.2">
      <c r="A184" s="79" t="s">
        <v>99</v>
      </c>
      <c r="B184" s="31"/>
      <c r="C184" s="33"/>
      <c r="D184" s="142"/>
      <c r="E184" s="147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7">
        <f t="shared" si="40"/>
        <v>0</v>
      </c>
      <c r="S184" s="142"/>
      <c r="T184" s="142"/>
      <c r="U184" s="142"/>
      <c r="V184" s="148"/>
      <c r="W184" s="142"/>
      <c r="X184" s="148">
        <f t="shared" si="41"/>
        <v>0</v>
      </c>
      <c r="Y184" s="532">
        <f t="shared" si="42"/>
        <v>0</v>
      </c>
      <c r="Z184" s="117"/>
    </row>
    <row r="185" spans="1:26" ht="33.75" hidden="1" customHeight="1" x14ac:dyDescent="0.2">
      <c r="A185" s="79" t="s">
        <v>99</v>
      </c>
      <c r="B185" s="291"/>
      <c r="C185" s="33"/>
      <c r="D185" s="142"/>
      <c r="E185" s="147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7">
        <f t="shared" si="40"/>
        <v>0</v>
      </c>
      <c r="S185" s="142"/>
      <c r="T185" s="142"/>
      <c r="U185" s="142"/>
      <c r="V185" s="148"/>
      <c r="W185" s="142"/>
      <c r="X185" s="148">
        <f t="shared" si="41"/>
        <v>0</v>
      </c>
      <c r="Y185" s="532">
        <f t="shared" si="42"/>
        <v>0</v>
      </c>
      <c r="Z185" s="117"/>
    </row>
    <row r="186" spans="1:26" ht="33.75" hidden="1" customHeight="1" x14ac:dyDescent="0.2">
      <c r="A186" s="79" t="s">
        <v>177</v>
      </c>
      <c r="B186" s="281"/>
      <c r="C186" s="33"/>
      <c r="D186" s="142"/>
      <c r="E186" s="147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7">
        <f t="shared" si="40"/>
        <v>0</v>
      </c>
      <c r="S186" s="142"/>
      <c r="T186" s="142"/>
      <c r="U186" s="142"/>
      <c r="V186" s="148"/>
      <c r="W186" s="142"/>
      <c r="X186" s="148">
        <f t="shared" si="41"/>
        <v>0</v>
      </c>
      <c r="Y186" s="532">
        <f t="shared" si="42"/>
        <v>0</v>
      </c>
      <c r="Z186" s="117"/>
    </row>
    <row r="187" spans="1:26" ht="33.75" hidden="1" customHeight="1" x14ac:dyDescent="0.2">
      <c r="A187" s="79" t="s">
        <v>177</v>
      </c>
      <c r="B187" s="291"/>
      <c r="C187" s="33"/>
      <c r="D187" s="142"/>
      <c r="E187" s="147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7">
        <f t="shared" si="40"/>
        <v>0</v>
      </c>
      <c r="S187" s="142"/>
      <c r="T187" s="142"/>
      <c r="U187" s="142"/>
      <c r="V187" s="148"/>
      <c r="W187" s="142"/>
      <c r="X187" s="148">
        <f t="shared" si="41"/>
        <v>0</v>
      </c>
      <c r="Y187" s="532">
        <f t="shared" si="42"/>
        <v>0</v>
      </c>
      <c r="Z187" s="117"/>
    </row>
    <row r="188" spans="1:26" ht="33.75" hidden="1" customHeight="1" x14ac:dyDescent="0.2">
      <c r="A188" s="79" t="s">
        <v>177</v>
      </c>
      <c r="B188" s="291"/>
      <c r="C188" s="33"/>
      <c r="D188" s="142"/>
      <c r="E188" s="147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7">
        <f t="shared" si="40"/>
        <v>0</v>
      </c>
      <c r="S188" s="142"/>
      <c r="T188" s="142"/>
      <c r="U188" s="142"/>
      <c r="V188" s="148"/>
      <c r="W188" s="142"/>
      <c r="X188" s="148">
        <f t="shared" si="41"/>
        <v>0</v>
      </c>
      <c r="Y188" s="532">
        <f t="shared" si="42"/>
        <v>0</v>
      </c>
      <c r="Z188" s="117"/>
    </row>
    <row r="189" spans="1:26" ht="33.75" hidden="1" customHeight="1" x14ac:dyDescent="0.2">
      <c r="A189" s="79"/>
      <c r="B189" s="109"/>
      <c r="C189" s="40"/>
      <c r="D189" s="142"/>
      <c r="E189" s="147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7"/>
      <c r="S189" s="142"/>
      <c r="T189" s="142"/>
      <c r="U189" s="142"/>
      <c r="V189" s="148"/>
      <c r="W189" s="142"/>
      <c r="X189" s="148"/>
      <c r="Y189" s="532"/>
      <c r="Z189" s="117"/>
    </row>
    <row r="190" spans="1:26" ht="24" hidden="1" customHeight="1" x14ac:dyDescent="0.2">
      <c r="A190" s="199" t="s">
        <v>78</v>
      </c>
      <c r="B190" s="195"/>
      <c r="C190" s="200" t="s">
        <v>76</v>
      </c>
      <c r="D190" s="142">
        <f t="shared" ref="D190:W190" si="47">SUM(D182:D189)</f>
        <v>0</v>
      </c>
      <c r="E190" s="147">
        <f t="shared" si="47"/>
        <v>0</v>
      </c>
      <c r="F190" s="142">
        <f t="shared" si="47"/>
        <v>0</v>
      </c>
      <c r="G190" s="142">
        <f t="shared" si="47"/>
        <v>0</v>
      </c>
      <c r="H190" s="142">
        <f t="shared" si="47"/>
        <v>0</v>
      </c>
      <c r="I190" s="142">
        <f t="shared" si="47"/>
        <v>0</v>
      </c>
      <c r="J190" s="142">
        <f t="shared" si="47"/>
        <v>0</v>
      </c>
      <c r="K190" s="142">
        <f t="shared" si="47"/>
        <v>0</v>
      </c>
      <c r="L190" s="142">
        <f t="shared" si="47"/>
        <v>0</v>
      </c>
      <c r="M190" s="142">
        <f t="shared" si="47"/>
        <v>0</v>
      </c>
      <c r="N190" s="142">
        <f t="shared" si="47"/>
        <v>0</v>
      </c>
      <c r="O190" s="142">
        <f t="shared" si="47"/>
        <v>0</v>
      </c>
      <c r="P190" s="142">
        <f t="shared" si="47"/>
        <v>0</v>
      </c>
      <c r="Q190" s="142">
        <f t="shared" si="47"/>
        <v>0</v>
      </c>
      <c r="R190" s="147">
        <f t="shared" si="40"/>
        <v>0</v>
      </c>
      <c r="S190" s="142"/>
      <c r="T190" s="142">
        <f t="shared" si="47"/>
        <v>0</v>
      </c>
      <c r="U190" s="142">
        <f t="shared" si="47"/>
        <v>0</v>
      </c>
      <c r="V190" s="148">
        <f t="shared" si="47"/>
        <v>0</v>
      </c>
      <c r="W190" s="142">
        <f t="shared" si="47"/>
        <v>0</v>
      </c>
      <c r="X190" s="148">
        <f t="shared" si="41"/>
        <v>0</v>
      </c>
      <c r="Y190" s="532">
        <f t="shared" si="42"/>
        <v>0</v>
      </c>
      <c r="Z190" s="117"/>
    </row>
    <row r="191" spans="1:26" ht="24" hidden="1" customHeight="1" x14ac:dyDescent="0.2">
      <c r="A191" s="79"/>
      <c r="B191" s="109"/>
      <c r="C191" s="40"/>
      <c r="D191" s="142"/>
      <c r="E191" s="147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7"/>
      <c r="S191" s="142"/>
      <c r="T191" s="142"/>
      <c r="U191" s="142"/>
      <c r="V191" s="148"/>
      <c r="W191" s="142"/>
      <c r="X191" s="148"/>
      <c r="Y191" s="532"/>
      <c r="Z191" s="117"/>
    </row>
    <row r="192" spans="1:26" ht="24" hidden="1" customHeight="1" thickBot="1" x14ac:dyDescent="0.25">
      <c r="A192" s="79"/>
      <c r="B192" s="86"/>
      <c r="C192" s="40"/>
      <c r="D192" s="142"/>
      <c r="E192" s="147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7"/>
      <c r="S192" s="142"/>
      <c r="T192" s="142"/>
      <c r="U192" s="142"/>
      <c r="V192" s="148"/>
      <c r="W192" s="142"/>
      <c r="X192" s="148"/>
      <c r="Y192" s="532"/>
      <c r="Z192" s="117"/>
    </row>
    <row r="193" spans="1:26" ht="33.75" hidden="1" customHeight="1" thickTop="1" thickBot="1" x14ac:dyDescent="0.25">
      <c r="A193" s="41"/>
      <c r="B193" s="250" t="s">
        <v>173</v>
      </c>
      <c r="C193" s="43" t="s">
        <v>79</v>
      </c>
      <c r="D193" s="149">
        <f t="shared" ref="D193:W193" si="48">D180+D190</f>
        <v>0</v>
      </c>
      <c r="E193" s="507">
        <f t="shared" si="48"/>
        <v>0</v>
      </c>
      <c r="F193" s="149">
        <f t="shared" si="48"/>
        <v>0</v>
      </c>
      <c r="G193" s="149">
        <f t="shared" si="48"/>
        <v>0</v>
      </c>
      <c r="H193" s="149">
        <f t="shared" si="48"/>
        <v>0</v>
      </c>
      <c r="I193" s="149">
        <f t="shared" si="48"/>
        <v>0</v>
      </c>
      <c r="J193" s="149">
        <f t="shared" si="48"/>
        <v>0</v>
      </c>
      <c r="K193" s="149">
        <f t="shared" si="48"/>
        <v>0</v>
      </c>
      <c r="L193" s="149">
        <f t="shared" si="48"/>
        <v>0</v>
      </c>
      <c r="M193" s="149">
        <f t="shared" si="48"/>
        <v>0</v>
      </c>
      <c r="N193" s="149">
        <f t="shared" si="48"/>
        <v>0</v>
      </c>
      <c r="O193" s="149">
        <f t="shared" si="48"/>
        <v>0</v>
      </c>
      <c r="P193" s="149">
        <f t="shared" si="48"/>
        <v>0</v>
      </c>
      <c r="Q193" s="149">
        <f t="shared" si="48"/>
        <v>0</v>
      </c>
      <c r="R193" s="507">
        <f t="shared" si="40"/>
        <v>0</v>
      </c>
      <c r="S193" s="149"/>
      <c r="T193" s="149">
        <f>T180+T190</f>
        <v>0</v>
      </c>
      <c r="U193" s="149">
        <f>U180+U190</f>
        <v>0</v>
      </c>
      <c r="V193" s="152">
        <f t="shared" si="48"/>
        <v>0</v>
      </c>
      <c r="W193" s="149">
        <f t="shared" si="48"/>
        <v>0</v>
      </c>
      <c r="X193" s="152">
        <f t="shared" si="41"/>
        <v>0</v>
      </c>
      <c r="Y193" s="533">
        <f t="shared" si="42"/>
        <v>0</v>
      </c>
      <c r="Z193" s="117"/>
    </row>
    <row r="194" spans="1:26" ht="33.75" hidden="1" customHeight="1" thickTop="1" thickBot="1" x14ac:dyDescent="0.25">
      <c r="A194" s="41"/>
      <c r="B194" s="42" t="s">
        <v>174</v>
      </c>
      <c r="C194" s="43" t="s">
        <v>136</v>
      </c>
      <c r="D194" s="193">
        <f t="shared" ref="D194:W194" si="49">D172+D193</f>
        <v>2614117.7000000002</v>
      </c>
      <c r="E194" s="193">
        <f t="shared" si="49"/>
        <v>556822.09699999995</v>
      </c>
      <c r="F194" s="193">
        <f t="shared" si="49"/>
        <v>881635.54399999999</v>
      </c>
      <c r="G194" s="193">
        <f t="shared" si="49"/>
        <v>185</v>
      </c>
      <c r="H194" s="193">
        <f t="shared" si="49"/>
        <v>0</v>
      </c>
      <c r="I194" s="193">
        <f t="shared" si="49"/>
        <v>0</v>
      </c>
      <c r="J194" s="193">
        <f t="shared" si="49"/>
        <v>0</v>
      </c>
      <c r="K194" s="193">
        <f t="shared" si="49"/>
        <v>0</v>
      </c>
      <c r="L194" s="193">
        <f t="shared" si="49"/>
        <v>317794</v>
      </c>
      <c r="M194" s="193">
        <f t="shared" si="49"/>
        <v>12500</v>
      </c>
      <c r="N194" s="193">
        <f t="shared" si="49"/>
        <v>0</v>
      </c>
      <c r="O194" s="193">
        <f t="shared" si="49"/>
        <v>5000</v>
      </c>
      <c r="P194" s="193">
        <f t="shared" si="49"/>
        <v>0</v>
      </c>
      <c r="Q194" s="193">
        <f t="shared" si="49"/>
        <v>0</v>
      </c>
      <c r="R194" s="193">
        <f t="shared" si="40"/>
        <v>4388054.341</v>
      </c>
      <c r="S194" s="149"/>
      <c r="T194" s="149">
        <f>T172+T193</f>
        <v>0</v>
      </c>
      <c r="U194" s="149">
        <f>U172+U193</f>
        <v>0</v>
      </c>
      <c r="V194" s="152">
        <f t="shared" si="49"/>
        <v>0</v>
      </c>
      <c r="W194" s="149">
        <f t="shared" si="49"/>
        <v>0</v>
      </c>
      <c r="X194" s="152">
        <f t="shared" si="41"/>
        <v>0</v>
      </c>
      <c r="Y194" s="571">
        <f t="shared" si="42"/>
        <v>4388054.341</v>
      </c>
      <c r="Z194" s="117"/>
    </row>
    <row r="195" spans="1:26" ht="24" hidden="1" customHeight="1" thickTop="1" x14ac:dyDescent="0.2">
      <c r="A195" s="196"/>
      <c r="B195" s="211"/>
      <c r="C195" s="212"/>
      <c r="D195" s="326"/>
      <c r="E195" s="521"/>
      <c r="F195" s="326"/>
      <c r="G195" s="326"/>
      <c r="H195" s="326"/>
      <c r="I195" s="326"/>
      <c r="J195" s="326"/>
      <c r="K195" s="326"/>
      <c r="L195" s="326"/>
      <c r="M195" s="326"/>
      <c r="N195" s="326"/>
      <c r="O195" s="326"/>
      <c r="P195" s="326"/>
      <c r="Q195" s="326"/>
      <c r="R195" s="521">
        <f t="shared" si="40"/>
        <v>0</v>
      </c>
      <c r="S195" s="326"/>
      <c r="T195" s="326"/>
      <c r="U195" s="326"/>
      <c r="V195" s="327"/>
      <c r="W195" s="326"/>
      <c r="X195" s="327">
        <f t="shared" si="41"/>
        <v>0</v>
      </c>
      <c r="Y195" s="534">
        <f t="shared" si="42"/>
        <v>0</v>
      </c>
      <c r="Z195" s="117"/>
    </row>
    <row r="196" spans="1:26" ht="24" hidden="1" customHeight="1" x14ac:dyDescent="0.2">
      <c r="A196" s="196"/>
      <c r="B196" s="211"/>
      <c r="C196" s="212"/>
      <c r="D196" s="326"/>
      <c r="E196" s="521"/>
      <c r="F196" s="326"/>
      <c r="G196" s="326"/>
      <c r="H196" s="326"/>
      <c r="I196" s="326"/>
      <c r="J196" s="326"/>
      <c r="K196" s="326"/>
      <c r="L196" s="326"/>
      <c r="M196" s="326"/>
      <c r="N196" s="326"/>
      <c r="O196" s="326"/>
      <c r="P196" s="326"/>
      <c r="Q196" s="326"/>
      <c r="R196" s="521">
        <f t="shared" si="40"/>
        <v>0</v>
      </c>
      <c r="S196" s="326"/>
      <c r="T196" s="326"/>
      <c r="U196" s="326"/>
      <c r="V196" s="327"/>
      <c r="W196" s="326"/>
      <c r="X196" s="327">
        <f t="shared" si="41"/>
        <v>0</v>
      </c>
      <c r="Y196" s="534">
        <f t="shared" si="42"/>
        <v>0</v>
      </c>
      <c r="Z196" s="117"/>
    </row>
    <row r="197" spans="1:26" ht="24" hidden="1" customHeight="1" x14ac:dyDescent="0.2">
      <c r="A197" s="25"/>
      <c r="B197" s="73" t="s">
        <v>73</v>
      </c>
      <c r="C197" s="38" t="s">
        <v>23</v>
      </c>
      <c r="D197" s="153"/>
      <c r="E197" s="522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522">
        <f t="shared" si="40"/>
        <v>0</v>
      </c>
      <c r="S197" s="153"/>
      <c r="T197" s="153"/>
      <c r="U197" s="153"/>
      <c r="V197" s="154"/>
      <c r="W197" s="153"/>
      <c r="X197" s="154">
        <f t="shared" si="41"/>
        <v>0</v>
      </c>
      <c r="Y197" s="532">
        <f t="shared" si="42"/>
        <v>0</v>
      </c>
    </row>
    <row r="198" spans="1:26" ht="24" hidden="1" customHeight="1" x14ac:dyDescent="0.25">
      <c r="A198" s="25"/>
      <c r="B198" s="88" t="s">
        <v>59</v>
      </c>
      <c r="C198" s="38" t="s">
        <v>23</v>
      </c>
      <c r="D198" s="153"/>
      <c r="E198" s="522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522">
        <f t="shared" si="40"/>
        <v>0</v>
      </c>
      <c r="S198" s="153"/>
      <c r="T198" s="153"/>
      <c r="U198" s="153"/>
      <c r="V198" s="154"/>
      <c r="W198" s="153"/>
      <c r="X198" s="154">
        <f t="shared" si="41"/>
        <v>0</v>
      </c>
      <c r="Y198" s="532">
        <f t="shared" si="42"/>
        <v>0</v>
      </c>
    </row>
    <row r="199" spans="1:26" ht="24" hidden="1" customHeight="1" x14ac:dyDescent="0.25">
      <c r="A199" s="25"/>
      <c r="B199" s="88" t="s">
        <v>52</v>
      </c>
      <c r="C199" s="38" t="s">
        <v>23</v>
      </c>
      <c r="D199" s="153"/>
      <c r="E199" s="522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522">
        <f t="shared" si="40"/>
        <v>0</v>
      </c>
      <c r="S199" s="153"/>
      <c r="T199" s="153"/>
      <c r="U199" s="153"/>
      <c r="V199" s="154"/>
      <c r="W199" s="153"/>
      <c r="X199" s="154">
        <f t="shared" si="41"/>
        <v>0</v>
      </c>
      <c r="Y199" s="532">
        <f t="shared" si="42"/>
        <v>0</v>
      </c>
    </row>
    <row r="200" spans="1:26" ht="24" hidden="1" customHeight="1" x14ac:dyDescent="0.25">
      <c r="A200" s="25"/>
      <c r="B200" s="88" t="s">
        <v>61</v>
      </c>
      <c r="C200" s="38" t="s">
        <v>23</v>
      </c>
      <c r="D200" s="153"/>
      <c r="E200" s="522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522">
        <f t="shared" si="40"/>
        <v>0</v>
      </c>
      <c r="S200" s="153"/>
      <c r="T200" s="153"/>
      <c r="U200" s="153"/>
      <c r="V200" s="154"/>
      <c r="W200" s="153"/>
      <c r="X200" s="154">
        <f t="shared" si="41"/>
        <v>0</v>
      </c>
      <c r="Y200" s="532">
        <f t="shared" si="42"/>
        <v>0</v>
      </c>
    </row>
    <row r="201" spans="1:26" ht="24" hidden="1" customHeight="1" x14ac:dyDescent="0.25">
      <c r="A201" s="25"/>
      <c r="B201" s="88" t="s">
        <v>80</v>
      </c>
      <c r="C201" s="38" t="s">
        <v>23</v>
      </c>
      <c r="D201" s="153"/>
      <c r="E201" s="522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522">
        <f t="shared" si="40"/>
        <v>0</v>
      </c>
      <c r="S201" s="153"/>
      <c r="T201" s="153"/>
      <c r="U201" s="153"/>
      <c r="V201" s="154"/>
      <c r="W201" s="153"/>
      <c r="X201" s="154">
        <f t="shared" si="41"/>
        <v>0</v>
      </c>
      <c r="Y201" s="532">
        <f t="shared" si="42"/>
        <v>0</v>
      </c>
    </row>
    <row r="202" spans="1:26" ht="24" hidden="1" customHeight="1" thickBot="1" x14ac:dyDescent="0.25">
      <c r="A202" s="79"/>
      <c r="B202" s="81"/>
      <c r="C202" s="40"/>
      <c r="D202" s="142"/>
      <c r="E202" s="147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7">
        <f t="shared" si="40"/>
        <v>0</v>
      </c>
      <c r="S202" s="142"/>
      <c r="T202" s="142"/>
      <c r="U202" s="142"/>
      <c r="V202" s="148"/>
      <c r="W202" s="142"/>
      <c r="X202" s="148">
        <f t="shared" si="41"/>
        <v>0</v>
      </c>
      <c r="Y202" s="532">
        <f t="shared" si="42"/>
        <v>0</v>
      </c>
    </row>
    <row r="203" spans="1:26" ht="24" hidden="1" customHeight="1" thickTop="1" thickBot="1" x14ac:dyDescent="0.25">
      <c r="A203" s="46"/>
      <c r="B203" s="87"/>
      <c r="C203" s="43" t="s">
        <v>31</v>
      </c>
      <c r="D203" s="149">
        <f t="shared" ref="D203:P203" si="50">SUM(D197:D202)</f>
        <v>0</v>
      </c>
      <c r="E203" s="507">
        <f t="shared" si="50"/>
        <v>0</v>
      </c>
      <c r="F203" s="149">
        <f t="shared" si="50"/>
        <v>0</v>
      </c>
      <c r="G203" s="149">
        <f t="shared" si="50"/>
        <v>0</v>
      </c>
      <c r="H203" s="149">
        <f t="shared" si="50"/>
        <v>0</v>
      </c>
      <c r="I203" s="149">
        <f t="shared" si="50"/>
        <v>0</v>
      </c>
      <c r="J203" s="149">
        <f t="shared" si="50"/>
        <v>0</v>
      </c>
      <c r="K203" s="149">
        <f t="shared" si="50"/>
        <v>0</v>
      </c>
      <c r="L203" s="149">
        <f t="shared" si="50"/>
        <v>0</v>
      </c>
      <c r="M203" s="149">
        <f t="shared" si="50"/>
        <v>0</v>
      </c>
      <c r="N203" s="149">
        <f t="shared" si="50"/>
        <v>0</v>
      </c>
      <c r="O203" s="149">
        <f t="shared" si="50"/>
        <v>0</v>
      </c>
      <c r="P203" s="149">
        <f t="shared" si="50"/>
        <v>0</v>
      </c>
      <c r="Q203" s="149">
        <f t="shared" ref="Q203:W203" si="51">SUM(Q197:Q202)</f>
        <v>0</v>
      </c>
      <c r="R203" s="507">
        <f t="shared" si="40"/>
        <v>0</v>
      </c>
      <c r="S203" s="149"/>
      <c r="T203" s="149">
        <f t="shared" si="51"/>
        <v>0</v>
      </c>
      <c r="U203" s="149">
        <f t="shared" si="51"/>
        <v>0</v>
      </c>
      <c r="V203" s="152">
        <f t="shared" si="51"/>
        <v>0</v>
      </c>
      <c r="W203" s="149">
        <f t="shared" si="51"/>
        <v>0</v>
      </c>
      <c r="X203" s="152">
        <f t="shared" si="41"/>
        <v>0</v>
      </c>
      <c r="Y203" s="533">
        <f t="shared" si="42"/>
        <v>0</v>
      </c>
    </row>
    <row r="204" spans="1:26" ht="9.9499999999999993" hidden="1" customHeight="1" thickTop="1" x14ac:dyDescent="0.2">
      <c r="A204" s="175"/>
      <c r="B204" s="176"/>
      <c r="C204" s="177"/>
      <c r="D204" s="178"/>
      <c r="E204" s="523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523">
        <f t="shared" si="40"/>
        <v>0</v>
      </c>
      <c r="S204" s="178"/>
      <c r="T204" s="178"/>
      <c r="U204" s="178"/>
      <c r="V204" s="178"/>
      <c r="W204" s="425"/>
      <c r="X204" s="178">
        <f t="shared" si="41"/>
        <v>0</v>
      </c>
      <c r="Y204" s="535">
        <f t="shared" si="42"/>
        <v>0</v>
      </c>
    </row>
    <row r="205" spans="1:26" ht="24" hidden="1" customHeight="1" x14ac:dyDescent="0.2">
      <c r="A205" s="180"/>
      <c r="B205" s="181"/>
      <c r="C205" s="189" t="s">
        <v>57</v>
      </c>
      <c r="D205" s="182"/>
      <c r="E205" s="524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524">
        <f t="shared" si="40"/>
        <v>0</v>
      </c>
      <c r="S205" s="182"/>
      <c r="T205" s="182"/>
      <c r="U205" s="182"/>
      <c r="V205" s="182"/>
      <c r="W205" s="426"/>
      <c r="X205" s="182">
        <f t="shared" si="41"/>
        <v>0</v>
      </c>
      <c r="Y205" s="536">
        <f t="shared" si="42"/>
        <v>0</v>
      </c>
    </row>
    <row r="206" spans="1:26" ht="9.9499999999999993" hidden="1" customHeight="1" thickBot="1" x14ac:dyDescent="0.25">
      <c r="A206" s="184"/>
      <c r="B206" s="185"/>
      <c r="C206" s="186"/>
      <c r="D206" s="187"/>
      <c r="E206" s="525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525">
        <f t="shared" si="40"/>
        <v>0</v>
      </c>
      <c r="S206" s="187"/>
      <c r="T206" s="187"/>
      <c r="U206" s="187"/>
      <c r="V206" s="187"/>
      <c r="W206" s="428"/>
      <c r="X206" s="187">
        <f t="shared" si="41"/>
        <v>0</v>
      </c>
      <c r="Y206" s="537">
        <f t="shared" si="42"/>
        <v>0</v>
      </c>
    </row>
    <row r="207" spans="1:26" ht="24" hidden="1" customHeight="1" thickTop="1" thickBot="1" x14ac:dyDescent="0.25">
      <c r="A207" s="89"/>
      <c r="B207" s="42" t="s">
        <v>83</v>
      </c>
      <c r="C207" s="43" t="s">
        <v>136</v>
      </c>
      <c r="D207" s="155">
        <f>D194+D203</f>
        <v>2614117.7000000002</v>
      </c>
      <c r="E207" s="526">
        <f t="shared" ref="E207:W207" si="52">E194+E203</f>
        <v>556822.09699999995</v>
      </c>
      <c r="F207" s="155">
        <f t="shared" si="52"/>
        <v>881635.54399999999</v>
      </c>
      <c r="G207" s="155">
        <f t="shared" si="52"/>
        <v>185</v>
      </c>
      <c r="H207" s="155">
        <f t="shared" si="52"/>
        <v>0</v>
      </c>
      <c r="I207" s="155">
        <f t="shared" si="52"/>
        <v>0</v>
      </c>
      <c r="J207" s="155">
        <f t="shared" si="52"/>
        <v>0</v>
      </c>
      <c r="K207" s="155">
        <f t="shared" si="52"/>
        <v>0</v>
      </c>
      <c r="L207" s="155">
        <f t="shared" si="52"/>
        <v>317794</v>
      </c>
      <c r="M207" s="155">
        <f t="shared" si="52"/>
        <v>12500</v>
      </c>
      <c r="N207" s="155">
        <f t="shared" si="52"/>
        <v>0</v>
      </c>
      <c r="O207" s="155">
        <f t="shared" si="52"/>
        <v>5000</v>
      </c>
      <c r="P207" s="155">
        <f t="shared" si="52"/>
        <v>0</v>
      </c>
      <c r="Q207" s="155">
        <f t="shared" si="52"/>
        <v>0</v>
      </c>
      <c r="R207" s="526">
        <f t="shared" si="40"/>
        <v>4388054.341</v>
      </c>
      <c r="S207" s="155"/>
      <c r="T207" s="155">
        <f>T194+T203</f>
        <v>0</v>
      </c>
      <c r="U207" s="155">
        <f>U194+U203</f>
        <v>0</v>
      </c>
      <c r="V207" s="358">
        <f t="shared" si="52"/>
        <v>0</v>
      </c>
      <c r="W207" s="166">
        <f t="shared" si="52"/>
        <v>0</v>
      </c>
      <c r="X207" s="155">
        <f t="shared" si="41"/>
        <v>0</v>
      </c>
      <c r="Y207" s="372">
        <f t="shared" si="42"/>
        <v>4388054.341</v>
      </c>
      <c r="Z207" s="117"/>
    </row>
    <row r="208" spans="1:26" ht="24" hidden="1" customHeight="1" thickTop="1" thickBot="1" x14ac:dyDescent="0.25">
      <c r="A208" s="41"/>
      <c r="B208" s="106"/>
      <c r="C208" s="379" t="s">
        <v>18</v>
      </c>
      <c r="D208" s="380">
        <f t="shared" ref="D208:P208" si="53">D207</f>
        <v>2614117.7000000002</v>
      </c>
      <c r="E208" s="527">
        <f t="shared" si="53"/>
        <v>556822.09699999995</v>
      </c>
      <c r="F208" s="380">
        <f t="shared" si="53"/>
        <v>881635.54399999999</v>
      </c>
      <c r="G208" s="380">
        <f t="shared" si="53"/>
        <v>185</v>
      </c>
      <c r="H208" s="380">
        <f t="shared" si="53"/>
        <v>0</v>
      </c>
      <c r="I208" s="380">
        <f t="shared" si="53"/>
        <v>0</v>
      </c>
      <c r="J208" s="380">
        <f t="shared" si="53"/>
        <v>0</v>
      </c>
      <c r="K208" s="380">
        <f t="shared" si="53"/>
        <v>0</v>
      </c>
      <c r="L208" s="380">
        <f t="shared" si="53"/>
        <v>317794</v>
      </c>
      <c r="M208" s="380">
        <f t="shared" si="53"/>
        <v>12500</v>
      </c>
      <c r="N208" s="380">
        <f t="shared" si="53"/>
        <v>0</v>
      </c>
      <c r="O208" s="380">
        <f t="shared" si="53"/>
        <v>5000</v>
      </c>
      <c r="P208" s="380">
        <f t="shared" si="53"/>
        <v>0</v>
      </c>
      <c r="Q208" s="380">
        <f>Q207</f>
        <v>0</v>
      </c>
      <c r="R208" s="527">
        <f t="shared" si="40"/>
        <v>4388054.341</v>
      </c>
      <c r="S208" s="380"/>
      <c r="T208" s="380">
        <f>T207</f>
        <v>0</v>
      </c>
      <c r="U208" s="380">
        <f>U207</f>
        <v>0</v>
      </c>
      <c r="V208" s="469">
        <f>V207</f>
        <v>0</v>
      </c>
      <c r="W208" s="380">
        <f>W207</f>
        <v>0</v>
      </c>
      <c r="X208" s="469">
        <f t="shared" si="41"/>
        <v>0</v>
      </c>
      <c r="Y208" s="538">
        <f t="shared" si="42"/>
        <v>4388054.341</v>
      </c>
    </row>
    <row r="209" spans="1:25" ht="20.100000000000001" hidden="1" customHeight="1" thickTop="1" x14ac:dyDescent="0.2">
      <c r="A209" s="79">
        <v>1</v>
      </c>
      <c r="B209" s="108"/>
      <c r="C209" s="27"/>
      <c r="D209" s="147"/>
      <c r="E209" s="147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7">
        <f t="shared" si="40"/>
        <v>0</v>
      </c>
      <c r="S209" s="142"/>
      <c r="T209" s="142"/>
      <c r="U209" s="142"/>
      <c r="V209" s="148"/>
      <c r="W209" s="142"/>
      <c r="X209" s="148">
        <f t="shared" si="41"/>
        <v>0</v>
      </c>
      <c r="Y209" s="532">
        <f t="shared" si="42"/>
        <v>0</v>
      </c>
    </row>
    <row r="210" spans="1:25" ht="20.100000000000001" hidden="1" customHeight="1" x14ac:dyDescent="0.2">
      <c r="A210" s="214">
        <v>2</v>
      </c>
      <c r="B210" s="108"/>
      <c r="C210" s="27"/>
      <c r="D210" s="147"/>
      <c r="E210" s="147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7">
        <f t="shared" si="40"/>
        <v>0</v>
      </c>
      <c r="S210" s="142"/>
      <c r="T210" s="142"/>
      <c r="U210" s="142"/>
      <c r="V210" s="148"/>
      <c r="W210" s="142"/>
      <c r="X210" s="148">
        <f t="shared" si="41"/>
        <v>0</v>
      </c>
      <c r="Y210" s="532">
        <f t="shared" si="42"/>
        <v>0</v>
      </c>
    </row>
    <row r="211" spans="1:25" ht="20.100000000000001" hidden="1" customHeight="1" x14ac:dyDescent="0.2">
      <c r="A211" s="79">
        <v>3</v>
      </c>
      <c r="B211" s="108"/>
      <c r="C211" s="27"/>
      <c r="D211" s="147"/>
      <c r="E211" s="147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7">
        <f t="shared" si="40"/>
        <v>0</v>
      </c>
      <c r="S211" s="142"/>
      <c r="T211" s="142"/>
      <c r="U211" s="142"/>
      <c r="V211" s="148"/>
      <c r="W211" s="142"/>
      <c r="X211" s="148">
        <f t="shared" si="41"/>
        <v>0</v>
      </c>
      <c r="Y211" s="532">
        <f t="shared" si="42"/>
        <v>0</v>
      </c>
    </row>
    <row r="212" spans="1:25" ht="20.100000000000001" hidden="1" customHeight="1" x14ac:dyDescent="0.2">
      <c r="A212" s="214">
        <v>4</v>
      </c>
      <c r="B212" s="108"/>
      <c r="C212" s="27"/>
      <c r="D212" s="147"/>
      <c r="E212" s="147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7">
        <f t="shared" si="40"/>
        <v>0</v>
      </c>
      <c r="S212" s="142"/>
      <c r="T212" s="142"/>
      <c r="U212" s="142"/>
      <c r="V212" s="148"/>
      <c r="W212" s="142"/>
      <c r="X212" s="148">
        <f t="shared" si="41"/>
        <v>0</v>
      </c>
      <c r="Y212" s="532">
        <f t="shared" si="42"/>
        <v>0</v>
      </c>
    </row>
    <row r="213" spans="1:25" ht="20.100000000000001" hidden="1" customHeight="1" x14ac:dyDescent="0.2">
      <c r="A213" s="79">
        <v>5</v>
      </c>
      <c r="B213" s="108"/>
      <c r="C213" s="27"/>
      <c r="D213" s="142"/>
      <c r="E213" s="147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7">
        <f t="shared" si="40"/>
        <v>0</v>
      </c>
      <c r="S213" s="142"/>
      <c r="T213" s="142"/>
      <c r="U213" s="142"/>
      <c r="V213" s="148"/>
      <c r="W213" s="142"/>
      <c r="X213" s="148">
        <f t="shared" si="41"/>
        <v>0</v>
      </c>
      <c r="Y213" s="532">
        <f t="shared" si="42"/>
        <v>0</v>
      </c>
    </row>
    <row r="214" spans="1:25" ht="20.100000000000001" hidden="1" customHeight="1" x14ac:dyDescent="0.2">
      <c r="A214" s="214">
        <v>6</v>
      </c>
      <c r="B214" s="321"/>
      <c r="C214" s="85"/>
      <c r="D214" s="142"/>
      <c r="E214" s="147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7">
        <f t="shared" si="40"/>
        <v>0</v>
      </c>
      <c r="S214" s="142"/>
      <c r="T214" s="142"/>
      <c r="U214" s="142"/>
      <c r="V214" s="148"/>
      <c r="W214" s="142"/>
      <c r="X214" s="148">
        <f t="shared" si="41"/>
        <v>0</v>
      </c>
      <c r="Y214" s="532">
        <f t="shared" si="42"/>
        <v>0</v>
      </c>
    </row>
    <row r="215" spans="1:25" ht="20.100000000000001" hidden="1" customHeight="1" x14ac:dyDescent="0.2">
      <c r="A215" s="79">
        <v>7</v>
      </c>
      <c r="B215" s="381"/>
      <c r="C215" s="85"/>
      <c r="D215" s="142"/>
      <c r="E215" s="147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7">
        <f t="shared" si="40"/>
        <v>0</v>
      </c>
      <c r="S215" s="142"/>
      <c r="T215" s="142"/>
      <c r="U215" s="142"/>
      <c r="V215" s="148"/>
      <c r="W215" s="142"/>
      <c r="X215" s="148">
        <f t="shared" si="41"/>
        <v>0</v>
      </c>
      <c r="Y215" s="532">
        <f t="shared" si="42"/>
        <v>0</v>
      </c>
    </row>
    <row r="216" spans="1:25" ht="20.100000000000001" hidden="1" customHeight="1" x14ac:dyDescent="0.2">
      <c r="A216" s="214">
        <v>8</v>
      </c>
      <c r="B216" s="381"/>
      <c r="C216" s="27"/>
      <c r="D216" s="142"/>
      <c r="E216" s="147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7">
        <f t="shared" si="40"/>
        <v>0</v>
      </c>
      <c r="S216" s="142"/>
      <c r="T216" s="142"/>
      <c r="U216" s="142"/>
      <c r="V216" s="148"/>
      <c r="W216" s="142"/>
      <c r="X216" s="148">
        <f t="shared" si="41"/>
        <v>0</v>
      </c>
      <c r="Y216" s="532">
        <f t="shared" si="42"/>
        <v>0</v>
      </c>
    </row>
    <row r="217" spans="1:25" ht="20.100000000000001" hidden="1" customHeight="1" thickTop="1" x14ac:dyDescent="0.2">
      <c r="A217" s="79">
        <v>9</v>
      </c>
      <c r="B217" s="108"/>
      <c r="C217" s="27"/>
      <c r="D217" s="142"/>
      <c r="E217" s="147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7">
        <f t="shared" si="40"/>
        <v>0</v>
      </c>
      <c r="S217" s="142"/>
      <c r="T217" s="142"/>
      <c r="U217" s="142"/>
      <c r="V217" s="148"/>
      <c r="W217" s="142"/>
      <c r="X217" s="148">
        <f t="shared" si="41"/>
        <v>0</v>
      </c>
      <c r="Y217" s="532">
        <f t="shared" si="42"/>
        <v>0</v>
      </c>
    </row>
    <row r="218" spans="1:25" ht="20.100000000000001" hidden="1" customHeight="1" x14ac:dyDescent="0.2">
      <c r="A218" s="214">
        <v>10</v>
      </c>
      <c r="B218" s="108"/>
      <c r="C218" s="32"/>
      <c r="D218" s="142"/>
      <c r="E218" s="147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7">
        <f t="shared" si="40"/>
        <v>0</v>
      </c>
      <c r="S218" s="142"/>
      <c r="T218" s="142"/>
      <c r="U218" s="142"/>
      <c r="V218" s="148"/>
      <c r="W218" s="142"/>
      <c r="X218" s="148">
        <f t="shared" si="41"/>
        <v>0</v>
      </c>
      <c r="Y218" s="532">
        <f t="shared" si="42"/>
        <v>0</v>
      </c>
    </row>
    <row r="219" spans="1:25" ht="20.100000000000001" hidden="1" customHeight="1" x14ac:dyDescent="0.2">
      <c r="A219" s="79">
        <v>11</v>
      </c>
      <c r="B219" s="108"/>
      <c r="C219" s="32"/>
      <c r="D219" s="142"/>
      <c r="E219" s="147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7">
        <f t="shared" si="40"/>
        <v>0</v>
      </c>
      <c r="S219" s="142"/>
      <c r="T219" s="142"/>
      <c r="U219" s="142"/>
      <c r="V219" s="148"/>
      <c r="W219" s="142"/>
      <c r="X219" s="148">
        <f t="shared" si="41"/>
        <v>0</v>
      </c>
      <c r="Y219" s="532">
        <f t="shared" si="42"/>
        <v>0</v>
      </c>
    </row>
    <row r="220" spans="1:25" ht="20.100000000000001" hidden="1" customHeight="1" x14ac:dyDescent="0.2">
      <c r="A220" s="214">
        <v>12</v>
      </c>
      <c r="B220" s="108"/>
      <c r="C220" s="32"/>
      <c r="D220" s="142"/>
      <c r="E220" s="147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7">
        <f t="shared" si="40"/>
        <v>0</v>
      </c>
      <c r="S220" s="142"/>
      <c r="T220" s="142"/>
      <c r="U220" s="142"/>
      <c r="V220" s="148"/>
      <c r="W220" s="142"/>
      <c r="X220" s="148">
        <f t="shared" si="41"/>
        <v>0</v>
      </c>
      <c r="Y220" s="532">
        <f t="shared" si="42"/>
        <v>0</v>
      </c>
    </row>
    <row r="221" spans="1:25" ht="20.100000000000001" hidden="1" customHeight="1" x14ac:dyDescent="0.2">
      <c r="A221" s="79">
        <v>13</v>
      </c>
      <c r="B221" s="381"/>
      <c r="C221" s="32"/>
      <c r="D221" s="142"/>
      <c r="E221" s="147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7">
        <f t="shared" si="40"/>
        <v>0</v>
      </c>
      <c r="S221" s="142"/>
      <c r="T221" s="142"/>
      <c r="U221" s="142"/>
      <c r="V221" s="148"/>
      <c r="W221" s="142"/>
      <c r="X221" s="148">
        <f t="shared" si="41"/>
        <v>0</v>
      </c>
      <c r="Y221" s="532">
        <f t="shared" si="42"/>
        <v>0</v>
      </c>
    </row>
    <row r="222" spans="1:25" ht="20.100000000000001" hidden="1" customHeight="1" x14ac:dyDescent="0.2">
      <c r="A222" s="214">
        <v>14</v>
      </c>
      <c r="B222" s="108"/>
      <c r="C222" s="27"/>
      <c r="D222" s="142"/>
      <c r="E222" s="147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7">
        <f t="shared" si="40"/>
        <v>0</v>
      </c>
      <c r="S222" s="142"/>
      <c r="T222" s="142"/>
      <c r="U222" s="142"/>
      <c r="V222" s="148"/>
      <c r="W222" s="142"/>
      <c r="X222" s="148">
        <f t="shared" si="41"/>
        <v>0</v>
      </c>
      <c r="Y222" s="532">
        <f t="shared" si="42"/>
        <v>0</v>
      </c>
    </row>
    <row r="223" spans="1:25" ht="20.100000000000001" hidden="1" customHeight="1" x14ac:dyDescent="0.2">
      <c r="A223" s="79">
        <v>15</v>
      </c>
      <c r="B223" s="381"/>
      <c r="C223" s="32"/>
      <c r="D223" s="142"/>
      <c r="E223" s="147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7">
        <f t="shared" si="40"/>
        <v>0</v>
      </c>
      <c r="S223" s="142"/>
      <c r="T223" s="142"/>
      <c r="U223" s="142"/>
      <c r="V223" s="148"/>
      <c r="W223" s="142"/>
      <c r="X223" s="148">
        <f t="shared" si="41"/>
        <v>0</v>
      </c>
      <c r="Y223" s="532">
        <f t="shared" si="42"/>
        <v>0</v>
      </c>
    </row>
    <row r="224" spans="1:25" ht="20.100000000000001" hidden="1" customHeight="1" x14ac:dyDescent="0.2">
      <c r="A224" s="214">
        <v>16</v>
      </c>
      <c r="B224" s="381"/>
      <c r="C224" s="27"/>
      <c r="D224" s="142"/>
      <c r="E224" s="147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7">
        <f t="shared" si="40"/>
        <v>0</v>
      </c>
      <c r="S224" s="142"/>
      <c r="T224" s="142"/>
      <c r="U224" s="142"/>
      <c r="V224" s="148"/>
      <c r="W224" s="142"/>
      <c r="X224" s="148">
        <f t="shared" si="41"/>
        <v>0</v>
      </c>
      <c r="Y224" s="532">
        <f t="shared" si="42"/>
        <v>0</v>
      </c>
    </row>
    <row r="225" spans="1:25" ht="20.100000000000001" hidden="1" customHeight="1" x14ac:dyDescent="0.2">
      <c r="A225" s="79"/>
      <c r="B225" s="29"/>
      <c r="C225" s="27"/>
      <c r="D225" s="142"/>
      <c r="E225" s="147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7">
        <f t="shared" si="40"/>
        <v>0</v>
      </c>
      <c r="S225" s="142"/>
      <c r="T225" s="142"/>
      <c r="U225" s="142"/>
      <c r="V225" s="148"/>
      <c r="W225" s="142"/>
      <c r="X225" s="148">
        <f t="shared" si="41"/>
        <v>0</v>
      </c>
      <c r="Y225" s="532">
        <f t="shared" si="42"/>
        <v>0</v>
      </c>
    </row>
    <row r="226" spans="1:25" ht="20.100000000000001" hidden="1" customHeight="1" x14ac:dyDescent="0.2">
      <c r="A226" s="199" t="s">
        <v>77</v>
      </c>
      <c r="B226" s="195"/>
      <c r="C226" s="200" t="s">
        <v>75</v>
      </c>
      <c r="D226" s="142">
        <f t="shared" ref="D226:W226" si="54">SUM(D209:D225)</f>
        <v>0</v>
      </c>
      <c r="E226" s="147">
        <f t="shared" si="54"/>
        <v>0</v>
      </c>
      <c r="F226" s="142">
        <f t="shared" si="54"/>
        <v>0</v>
      </c>
      <c r="G226" s="142">
        <f t="shared" si="54"/>
        <v>0</v>
      </c>
      <c r="H226" s="142">
        <f t="shared" si="54"/>
        <v>0</v>
      </c>
      <c r="I226" s="142">
        <f t="shared" si="54"/>
        <v>0</v>
      </c>
      <c r="J226" s="142">
        <f t="shared" si="54"/>
        <v>0</v>
      </c>
      <c r="K226" s="142">
        <f t="shared" si="54"/>
        <v>0</v>
      </c>
      <c r="L226" s="142">
        <f t="shared" si="54"/>
        <v>0</v>
      </c>
      <c r="M226" s="142">
        <f t="shared" si="54"/>
        <v>0</v>
      </c>
      <c r="N226" s="142">
        <f t="shared" si="54"/>
        <v>0</v>
      </c>
      <c r="O226" s="142">
        <f t="shared" si="54"/>
        <v>0</v>
      </c>
      <c r="P226" s="142">
        <f t="shared" si="54"/>
        <v>0</v>
      </c>
      <c r="Q226" s="142">
        <f t="shared" si="54"/>
        <v>0</v>
      </c>
      <c r="R226" s="147">
        <f t="shared" si="40"/>
        <v>0</v>
      </c>
      <c r="S226" s="142"/>
      <c r="T226" s="142">
        <f t="shared" si="54"/>
        <v>0</v>
      </c>
      <c r="U226" s="142">
        <f t="shared" si="54"/>
        <v>0</v>
      </c>
      <c r="V226" s="148">
        <f t="shared" si="54"/>
        <v>0</v>
      </c>
      <c r="W226" s="142">
        <f t="shared" si="54"/>
        <v>0</v>
      </c>
      <c r="X226" s="148">
        <f t="shared" si="41"/>
        <v>0</v>
      </c>
      <c r="Y226" s="532">
        <f t="shared" si="42"/>
        <v>0</v>
      </c>
    </row>
    <row r="227" spans="1:25" ht="20.100000000000001" hidden="1" customHeight="1" x14ac:dyDescent="0.25">
      <c r="A227" s="79"/>
      <c r="D227" s="142"/>
      <c r="E227" s="147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7">
        <f t="shared" si="40"/>
        <v>0</v>
      </c>
      <c r="S227" s="142"/>
      <c r="T227" s="142"/>
      <c r="U227" s="142"/>
      <c r="V227" s="148"/>
      <c r="W227" s="142"/>
      <c r="X227" s="148">
        <f t="shared" si="41"/>
        <v>0</v>
      </c>
      <c r="Y227" s="532">
        <f t="shared" si="42"/>
        <v>0</v>
      </c>
    </row>
    <row r="228" spans="1:25" ht="20.100000000000001" hidden="1" customHeight="1" x14ac:dyDescent="0.2">
      <c r="A228" s="214" t="s">
        <v>99</v>
      </c>
      <c r="B228" s="44"/>
      <c r="C228" s="27"/>
      <c r="D228" s="142"/>
      <c r="E228" s="147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7">
        <f t="shared" si="40"/>
        <v>0</v>
      </c>
      <c r="S228" s="142"/>
      <c r="T228" s="142"/>
      <c r="U228" s="142"/>
      <c r="V228" s="148"/>
      <c r="W228" s="142"/>
      <c r="X228" s="148">
        <f t="shared" si="41"/>
        <v>0</v>
      </c>
      <c r="Y228" s="532">
        <f t="shared" si="42"/>
        <v>0</v>
      </c>
    </row>
    <row r="229" spans="1:25" ht="20.100000000000001" hidden="1" customHeight="1" thickTop="1" x14ac:dyDescent="0.2">
      <c r="A229" s="214" t="s">
        <v>99</v>
      </c>
      <c r="B229" s="44"/>
      <c r="C229" s="40"/>
      <c r="D229" s="142"/>
      <c r="E229" s="147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7">
        <f t="shared" si="40"/>
        <v>0</v>
      </c>
      <c r="S229" s="142"/>
      <c r="T229" s="142"/>
      <c r="U229" s="142"/>
      <c r="V229" s="148"/>
      <c r="W229" s="142"/>
      <c r="X229" s="148">
        <f t="shared" si="41"/>
        <v>0</v>
      </c>
      <c r="Y229" s="532">
        <f t="shared" si="42"/>
        <v>0</v>
      </c>
    </row>
    <row r="230" spans="1:25" ht="20.100000000000001" hidden="1" customHeight="1" x14ac:dyDescent="0.2">
      <c r="A230" s="214" t="s">
        <v>99</v>
      </c>
      <c r="B230" s="30"/>
      <c r="C230" s="40"/>
      <c r="D230" s="142"/>
      <c r="E230" s="147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7">
        <f t="shared" si="40"/>
        <v>0</v>
      </c>
      <c r="S230" s="142"/>
      <c r="T230" s="142"/>
      <c r="U230" s="142"/>
      <c r="V230" s="148"/>
      <c r="W230" s="142"/>
      <c r="X230" s="148">
        <f t="shared" si="41"/>
        <v>0</v>
      </c>
      <c r="Y230" s="532">
        <f t="shared" si="42"/>
        <v>0</v>
      </c>
    </row>
    <row r="231" spans="1:25" ht="20.100000000000001" hidden="1" customHeight="1" x14ac:dyDescent="0.2">
      <c r="A231" s="214" t="s">
        <v>99</v>
      </c>
      <c r="B231" s="216"/>
      <c r="C231" s="40"/>
      <c r="D231" s="142"/>
      <c r="E231" s="147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7">
        <f t="shared" si="40"/>
        <v>0</v>
      </c>
      <c r="S231" s="142"/>
      <c r="T231" s="142"/>
      <c r="U231" s="142"/>
      <c r="V231" s="148"/>
      <c r="W231" s="142"/>
      <c r="X231" s="148">
        <f t="shared" si="41"/>
        <v>0</v>
      </c>
      <c r="Y231" s="532">
        <f t="shared" si="42"/>
        <v>0</v>
      </c>
    </row>
    <row r="232" spans="1:25" ht="20.100000000000001" hidden="1" customHeight="1" x14ac:dyDescent="0.2">
      <c r="A232" s="214" t="s">
        <v>99</v>
      </c>
      <c r="B232" s="218"/>
      <c r="C232" s="33"/>
      <c r="D232" s="142"/>
      <c r="E232" s="147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7">
        <f t="shared" si="40"/>
        <v>0</v>
      </c>
      <c r="S232" s="142"/>
      <c r="T232" s="142"/>
      <c r="U232" s="142"/>
      <c r="V232" s="148"/>
      <c r="W232" s="142"/>
      <c r="X232" s="148">
        <f t="shared" si="41"/>
        <v>0</v>
      </c>
      <c r="Y232" s="532">
        <f t="shared" si="42"/>
        <v>0</v>
      </c>
    </row>
    <row r="233" spans="1:25" ht="20.100000000000001" hidden="1" customHeight="1" x14ac:dyDescent="0.2">
      <c r="A233" s="214" t="s">
        <v>99</v>
      </c>
      <c r="B233" s="291"/>
      <c r="C233" s="33"/>
      <c r="D233" s="142"/>
      <c r="E233" s="147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7">
        <f t="shared" si="40"/>
        <v>0</v>
      </c>
      <c r="S233" s="142"/>
      <c r="T233" s="142"/>
      <c r="U233" s="142"/>
      <c r="V233" s="148"/>
      <c r="W233" s="142"/>
      <c r="X233" s="148">
        <f t="shared" si="41"/>
        <v>0</v>
      </c>
      <c r="Y233" s="532">
        <f t="shared" si="42"/>
        <v>0</v>
      </c>
    </row>
    <row r="234" spans="1:25" ht="20.100000000000001" hidden="1" customHeight="1" x14ac:dyDescent="0.2">
      <c r="A234" s="214" t="s">
        <v>99</v>
      </c>
      <c r="B234" s="281"/>
      <c r="C234" s="33"/>
      <c r="D234" s="142"/>
      <c r="E234" s="147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7">
        <f t="shared" si="40"/>
        <v>0</v>
      </c>
      <c r="S234" s="142"/>
      <c r="T234" s="142"/>
      <c r="U234" s="142"/>
      <c r="V234" s="148"/>
      <c r="W234" s="142"/>
      <c r="X234" s="148">
        <f t="shared" si="41"/>
        <v>0</v>
      </c>
      <c r="Y234" s="532">
        <f t="shared" si="42"/>
        <v>0</v>
      </c>
    </row>
    <row r="235" spans="1:25" ht="20.100000000000001" hidden="1" customHeight="1" x14ac:dyDescent="0.2">
      <c r="A235" s="214" t="s">
        <v>99</v>
      </c>
      <c r="B235" s="281"/>
      <c r="C235" s="33"/>
      <c r="D235" s="142"/>
      <c r="E235" s="147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7">
        <f t="shared" ref="R235:R246" si="55">SUM(D235:Q235)</f>
        <v>0</v>
      </c>
      <c r="S235" s="142"/>
      <c r="T235" s="142"/>
      <c r="U235" s="142"/>
      <c r="V235" s="148"/>
      <c r="W235" s="142"/>
      <c r="X235" s="148">
        <f t="shared" ref="X235:X246" si="56">SUM(T235:W235)</f>
        <v>0</v>
      </c>
      <c r="Y235" s="532">
        <f t="shared" ref="Y235:Y246" si="57">R235+X235</f>
        <v>0</v>
      </c>
    </row>
    <row r="236" spans="1:25" ht="20.100000000000001" hidden="1" customHeight="1" x14ac:dyDescent="0.2">
      <c r="A236" s="214" t="s">
        <v>99</v>
      </c>
      <c r="B236" s="291"/>
      <c r="C236" s="33"/>
      <c r="D236" s="142"/>
      <c r="E236" s="147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7">
        <f t="shared" si="55"/>
        <v>0</v>
      </c>
      <c r="S236" s="142"/>
      <c r="T236" s="142"/>
      <c r="U236" s="142"/>
      <c r="V236" s="148"/>
      <c r="W236" s="142"/>
      <c r="X236" s="148">
        <f t="shared" si="56"/>
        <v>0</v>
      </c>
      <c r="Y236" s="532">
        <f t="shared" si="57"/>
        <v>0</v>
      </c>
    </row>
    <row r="237" spans="1:25" ht="20.100000000000001" hidden="1" customHeight="1" x14ac:dyDescent="0.2">
      <c r="A237" s="214" t="s">
        <v>99</v>
      </c>
      <c r="B237" s="291"/>
      <c r="C237" s="33"/>
      <c r="D237" s="142"/>
      <c r="E237" s="147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7">
        <f t="shared" si="55"/>
        <v>0</v>
      </c>
      <c r="S237" s="142"/>
      <c r="T237" s="142"/>
      <c r="U237" s="142"/>
      <c r="V237" s="148"/>
      <c r="W237" s="142"/>
      <c r="X237" s="148">
        <f t="shared" si="56"/>
        <v>0</v>
      </c>
      <c r="Y237" s="532">
        <f t="shared" si="57"/>
        <v>0</v>
      </c>
    </row>
    <row r="238" spans="1:25" ht="20.100000000000001" hidden="1" customHeight="1" x14ac:dyDescent="0.2">
      <c r="A238" s="79"/>
      <c r="B238" s="281"/>
      <c r="C238" s="33"/>
      <c r="D238" s="142"/>
      <c r="E238" s="147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7">
        <f t="shared" si="55"/>
        <v>0</v>
      </c>
      <c r="S238" s="142"/>
      <c r="T238" s="142"/>
      <c r="U238" s="142"/>
      <c r="V238" s="148"/>
      <c r="W238" s="142"/>
      <c r="X238" s="148">
        <f t="shared" si="56"/>
        <v>0</v>
      </c>
      <c r="Y238" s="532">
        <f t="shared" si="57"/>
        <v>0</v>
      </c>
    </row>
    <row r="239" spans="1:25" ht="20.100000000000001" hidden="1" customHeight="1" x14ac:dyDescent="0.2">
      <c r="A239" s="79"/>
      <c r="B239" s="290"/>
      <c r="C239" s="33"/>
      <c r="D239" s="142"/>
      <c r="E239" s="147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7">
        <f t="shared" si="55"/>
        <v>0</v>
      </c>
      <c r="S239" s="142"/>
      <c r="T239" s="142"/>
      <c r="U239" s="142"/>
      <c r="V239" s="148"/>
      <c r="W239" s="142"/>
      <c r="X239" s="148">
        <f t="shared" si="56"/>
        <v>0</v>
      </c>
      <c r="Y239" s="532">
        <f t="shared" si="57"/>
        <v>0</v>
      </c>
    </row>
    <row r="240" spans="1:25" ht="20.100000000000001" hidden="1" customHeight="1" x14ac:dyDescent="0.2">
      <c r="A240" s="79"/>
      <c r="B240" s="290"/>
      <c r="C240" s="33"/>
      <c r="D240" s="142"/>
      <c r="E240" s="147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7">
        <f t="shared" si="55"/>
        <v>0</v>
      </c>
      <c r="S240" s="142"/>
      <c r="T240" s="142"/>
      <c r="U240" s="142"/>
      <c r="V240" s="148"/>
      <c r="W240" s="142"/>
      <c r="X240" s="148">
        <f t="shared" si="56"/>
        <v>0</v>
      </c>
      <c r="Y240" s="532">
        <f t="shared" si="57"/>
        <v>0</v>
      </c>
    </row>
    <row r="241" spans="1:25" ht="20.100000000000001" hidden="1" customHeight="1" thickTop="1" x14ac:dyDescent="0.2">
      <c r="A241" s="79"/>
      <c r="B241" s="109"/>
      <c r="C241" s="40"/>
      <c r="D241" s="142"/>
      <c r="E241" s="147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7">
        <f t="shared" si="55"/>
        <v>0</v>
      </c>
      <c r="S241" s="142"/>
      <c r="T241" s="142"/>
      <c r="U241" s="142"/>
      <c r="V241" s="148"/>
      <c r="W241" s="142"/>
      <c r="X241" s="148">
        <f t="shared" si="56"/>
        <v>0</v>
      </c>
      <c r="Y241" s="532">
        <f t="shared" si="57"/>
        <v>0</v>
      </c>
    </row>
    <row r="242" spans="1:25" ht="20.100000000000001" hidden="1" customHeight="1" x14ac:dyDescent="0.2">
      <c r="A242" s="199" t="s">
        <v>78</v>
      </c>
      <c r="B242" s="195"/>
      <c r="C242" s="200" t="s">
        <v>76</v>
      </c>
      <c r="D242" s="142">
        <f t="shared" ref="D242:W242" si="58">SUM(D228:D241)</f>
        <v>0</v>
      </c>
      <c r="E242" s="147">
        <f t="shared" si="58"/>
        <v>0</v>
      </c>
      <c r="F242" s="142">
        <f>SUM(F228:F241)</f>
        <v>0</v>
      </c>
      <c r="G242" s="142">
        <f t="shared" si="58"/>
        <v>0</v>
      </c>
      <c r="H242" s="142">
        <f t="shared" si="58"/>
        <v>0</v>
      </c>
      <c r="I242" s="142">
        <f t="shared" si="58"/>
        <v>0</v>
      </c>
      <c r="J242" s="142">
        <f t="shared" si="58"/>
        <v>0</v>
      </c>
      <c r="K242" s="142">
        <f t="shared" si="58"/>
        <v>0</v>
      </c>
      <c r="L242" s="142">
        <f t="shared" si="58"/>
        <v>0</v>
      </c>
      <c r="M242" s="142">
        <f t="shared" si="58"/>
        <v>0</v>
      </c>
      <c r="N242" s="142">
        <f t="shared" si="58"/>
        <v>0</v>
      </c>
      <c r="O242" s="142">
        <f t="shared" si="58"/>
        <v>0</v>
      </c>
      <c r="P242" s="142">
        <f t="shared" si="58"/>
        <v>0</v>
      </c>
      <c r="Q242" s="142">
        <f t="shared" si="58"/>
        <v>0</v>
      </c>
      <c r="R242" s="147">
        <f t="shared" si="55"/>
        <v>0</v>
      </c>
      <c r="S242" s="142"/>
      <c r="T242" s="142">
        <f t="shared" si="58"/>
        <v>0</v>
      </c>
      <c r="U242" s="142">
        <f t="shared" si="58"/>
        <v>0</v>
      </c>
      <c r="V242" s="148">
        <f t="shared" si="58"/>
        <v>0</v>
      </c>
      <c r="W242" s="142">
        <f t="shared" si="58"/>
        <v>0</v>
      </c>
      <c r="X242" s="148">
        <f t="shared" si="56"/>
        <v>0</v>
      </c>
      <c r="Y242" s="532">
        <f t="shared" si="57"/>
        <v>0</v>
      </c>
    </row>
    <row r="243" spans="1:25" ht="20.100000000000001" hidden="1" customHeight="1" x14ac:dyDescent="0.2">
      <c r="A243" s="79"/>
      <c r="B243" s="109"/>
      <c r="C243" s="40"/>
      <c r="D243" s="142"/>
      <c r="E243" s="147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7">
        <f t="shared" si="55"/>
        <v>0</v>
      </c>
      <c r="S243" s="142"/>
      <c r="T243" s="142"/>
      <c r="U243" s="142"/>
      <c r="V243" s="148"/>
      <c r="W243" s="142"/>
      <c r="X243" s="148">
        <f t="shared" si="56"/>
        <v>0</v>
      </c>
      <c r="Y243" s="532">
        <f t="shared" si="57"/>
        <v>0</v>
      </c>
    </row>
    <row r="244" spans="1:25" ht="20.100000000000001" hidden="1" customHeight="1" thickBot="1" x14ac:dyDescent="0.25">
      <c r="A244" s="79"/>
      <c r="B244" s="86"/>
      <c r="C244" s="40"/>
      <c r="D244" s="142"/>
      <c r="E244" s="147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7">
        <f t="shared" si="55"/>
        <v>0</v>
      </c>
      <c r="S244" s="142"/>
      <c r="T244" s="142"/>
      <c r="U244" s="142"/>
      <c r="V244" s="148"/>
      <c r="W244" s="142"/>
      <c r="X244" s="148">
        <f t="shared" si="56"/>
        <v>0</v>
      </c>
      <c r="Y244" s="532">
        <f t="shared" si="57"/>
        <v>0</v>
      </c>
    </row>
    <row r="245" spans="1:25" ht="24.75" hidden="1" customHeight="1" thickTop="1" thickBot="1" x14ac:dyDescent="0.25">
      <c r="A245" s="41"/>
      <c r="B245" s="250">
        <v>41274</v>
      </c>
      <c r="C245" s="43" t="s">
        <v>79</v>
      </c>
      <c r="D245" s="149">
        <f t="shared" ref="D245:W245" si="59">D226+D242</f>
        <v>0</v>
      </c>
      <c r="E245" s="507">
        <f t="shared" si="59"/>
        <v>0</v>
      </c>
      <c r="F245" s="149">
        <f t="shared" si="59"/>
        <v>0</v>
      </c>
      <c r="G245" s="149">
        <f t="shared" si="59"/>
        <v>0</v>
      </c>
      <c r="H245" s="149">
        <f t="shared" si="59"/>
        <v>0</v>
      </c>
      <c r="I245" s="149">
        <f t="shared" si="59"/>
        <v>0</v>
      </c>
      <c r="J245" s="149">
        <f>J226+J242</f>
        <v>0</v>
      </c>
      <c r="K245" s="149">
        <f t="shared" si="59"/>
        <v>0</v>
      </c>
      <c r="L245" s="149">
        <f t="shared" si="59"/>
        <v>0</v>
      </c>
      <c r="M245" s="149">
        <f t="shared" si="59"/>
        <v>0</v>
      </c>
      <c r="N245" s="149">
        <f t="shared" si="59"/>
        <v>0</v>
      </c>
      <c r="O245" s="149">
        <f t="shared" si="59"/>
        <v>0</v>
      </c>
      <c r="P245" s="149">
        <f t="shared" si="59"/>
        <v>0</v>
      </c>
      <c r="Q245" s="149">
        <f t="shared" si="59"/>
        <v>0</v>
      </c>
      <c r="R245" s="507">
        <f t="shared" si="55"/>
        <v>0</v>
      </c>
      <c r="S245" s="149"/>
      <c r="T245" s="149">
        <f>T226+T242</f>
        <v>0</v>
      </c>
      <c r="U245" s="149">
        <f>U226+U242</f>
        <v>0</v>
      </c>
      <c r="V245" s="152">
        <f t="shared" si="59"/>
        <v>0</v>
      </c>
      <c r="W245" s="149">
        <f t="shared" si="59"/>
        <v>0</v>
      </c>
      <c r="X245" s="152">
        <f t="shared" si="56"/>
        <v>0</v>
      </c>
      <c r="Y245" s="533">
        <f t="shared" si="57"/>
        <v>0</v>
      </c>
    </row>
    <row r="246" spans="1:25" ht="24.75" hidden="1" customHeight="1" thickTop="1" thickBot="1" x14ac:dyDescent="0.25">
      <c r="A246" s="41"/>
      <c r="B246" s="42" t="s">
        <v>104</v>
      </c>
      <c r="C246" s="43" t="s">
        <v>20</v>
      </c>
      <c r="D246" s="193">
        <f t="shared" ref="D246:W246" si="60">D208+D245</f>
        <v>2614117.7000000002</v>
      </c>
      <c r="E246" s="193">
        <f t="shared" si="60"/>
        <v>556822.09699999995</v>
      </c>
      <c r="F246" s="193">
        <f t="shared" si="60"/>
        <v>881635.54399999999</v>
      </c>
      <c r="G246" s="193">
        <f t="shared" si="60"/>
        <v>185</v>
      </c>
      <c r="H246" s="193">
        <f t="shared" si="60"/>
        <v>0</v>
      </c>
      <c r="I246" s="193">
        <f t="shared" si="60"/>
        <v>0</v>
      </c>
      <c r="J246" s="193">
        <f>J208+J245</f>
        <v>0</v>
      </c>
      <c r="K246" s="193">
        <f t="shared" si="60"/>
        <v>0</v>
      </c>
      <c r="L246" s="193">
        <f t="shared" si="60"/>
        <v>317794</v>
      </c>
      <c r="M246" s="193">
        <f t="shared" si="60"/>
        <v>12500</v>
      </c>
      <c r="N246" s="193">
        <f t="shared" si="60"/>
        <v>0</v>
      </c>
      <c r="O246" s="193">
        <f t="shared" si="60"/>
        <v>5000</v>
      </c>
      <c r="P246" s="193">
        <f t="shared" si="60"/>
        <v>0</v>
      </c>
      <c r="Q246" s="193">
        <f t="shared" si="60"/>
        <v>0</v>
      </c>
      <c r="R246" s="193">
        <f t="shared" si="55"/>
        <v>4388054.341</v>
      </c>
      <c r="S246" s="149"/>
      <c r="T246" s="193">
        <f>T208+T245</f>
        <v>0</v>
      </c>
      <c r="U246" s="193">
        <f>U208+U245</f>
        <v>0</v>
      </c>
      <c r="V246" s="193">
        <f t="shared" si="60"/>
        <v>0</v>
      </c>
      <c r="W246" s="193">
        <f t="shared" si="60"/>
        <v>0</v>
      </c>
      <c r="X246" s="193">
        <f t="shared" si="56"/>
        <v>0</v>
      </c>
      <c r="Y246" s="571">
        <f t="shared" si="57"/>
        <v>4388054.341</v>
      </c>
    </row>
    <row r="247" spans="1:25" ht="17.25" thickTop="1" x14ac:dyDescent="0.25">
      <c r="E247" s="528"/>
      <c r="R247" s="528"/>
      <c r="V247" s="508"/>
      <c r="W247" s="508"/>
      <c r="X247" s="508"/>
      <c r="Y247" s="539"/>
    </row>
    <row r="248" spans="1:25" x14ac:dyDescent="0.25">
      <c r="E248" s="528"/>
      <c r="R248" s="528"/>
      <c r="Y248" s="539"/>
    </row>
    <row r="249" spans="1:25" ht="17.25" hidden="1" thickBot="1" x14ac:dyDescent="0.3">
      <c r="E249" s="528"/>
      <c r="R249" s="528"/>
      <c r="Y249" s="539"/>
    </row>
    <row r="250" spans="1:25" ht="18" hidden="1" thickTop="1" thickBot="1" x14ac:dyDescent="0.3">
      <c r="C250" s="284" t="s">
        <v>87</v>
      </c>
      <c r="D250" s="289">
        <v>2614117.7000000002</v>
      </c>
      <c r="E250" s="529">
        <v>556822.09699999995</v>
      </c>
      <c r="F250" s="288">
        <v>881635.54399999999</v>
      </c>
      <c r="G250" s="288">
        <v>185</v>
      </c>
      <c r="H250" s="288">
        <v>0</v>
      </c>
      <c r="I250" s="288">
        <v>0</v>
      </c>
      <c r="J250" s="288">
        <v>0</v>
      </c>
      <c r="K250" s="288">
        <v>0</v>
      </c>
      <c r="L250" s="288">
        <v>317794</v>
      </c>
      <c r="M250" s="288">
        <v>12500</v>
      </c>
      <c r="N250" s="288">
        <v>0</v>
      </c>
      <c r="O250" s="288">
        <v>5000</v>
      </c>
      <c r="P250" s="288">
        <v>0</v>
      </c>
      <c r="Q250" s="288">
        <v>0</v>
      </c>
      <c r="R250" s="529">
        <v>4388054.341</v>
      </c>
      <c r="S250" s="288"/>
      <c r="T250" s="288">
        <v>0</v>
      </c>
      <c r="U250" s="288">
        <v>0</v>
      </c>
      <c r="V250" s="288"/>
      <c r="W250" s="288"/>
      <c r="X250" s="288">
        <v>0</v>
      </c>
      <c r="Y250" s="540">
        <v>4388054.341</v>
      </c>
    </row>
    <row r="251" spans="1:25" ht="17.25" hidden="1" thickTop="1" x14ac:dyDescent="0.25"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6"/>
    </row>
    <row r="252" spans="1:25" hidden="1" x14ac:dyDescent="0.25">
      <c r="C252" s="2" t="s">
        <v>82</v>
      </c>
      <c r="D252" s="287">
        <f>D250-D246</f>
        <v>0</v>
      </c>
      <c r="E252" s="287">
        <f>E250-E246</f>
        <v>0</v>
      </c>
      <c r="F252" s="287">
        <f t="shared" ref="F252:Y252" si="61">F250-F246</f>
        <v>0</v>
      </c>
      <c r="G252" s="287">
        <f t="shared" si="61"/>
        <v>0</v>
      </c>
      <c r="H252" s="287">
        <f t="shared" si="61"/>
        <v>0</v>
      </c>
      <c r="I252" s="287">
        <f>I250-I246</f>
        <v>0</v>
      </c>
      <c r="J252" s="287">
        <f t="shared" si="61"/>
        <v>0</v>
      </c>
      <c r="K252" s="287">
        <f t="shared" si="61"/>
        <v>0</v>
      </c>
      <c r="L252" s="287">
        <f t="shared" si="61"/>
        <v>0</v>
      </c>
      <c r="M252" s="287">
        <f t="shared" si="61"/>
        <v>0</v>
      </c>
      <c r="N252" s="287">
        <f t="shared" si="61"/>
        <v>0</v>
      </c>
      <c r="O252" s="287">
        <f t="shared" si="61"/>
        <v>0</v>
      </c>
      <c r="P252" s="287">
        <f t="shared" si="61"/>
        <v>0</v>
      </c>
      <c r="Q252" s="287">
        <f t="shared" si="61"/>
        <v>0</v>
      </c>
      <c r="R252" s="287">
        <f t="shared" si="61"/>
        <v>0</v>
      </c>
      <c r="S252" s="287"/>
      <c r="T252" s="287">
        <f t="shared" si="61"/>
        <v>0</v>
      </c>
      <c r="U252" s="287">
        <f t="shared" si="61"/>
        <v>0</v>
      </c>
      <c r="V252" s="287">
        <f t="shared" si="61"/>
        <v>0</v>
      </c>
      <c r="W252" s="287">
        <f t="shared" si="61"/>
        <v>0</v>
      </c>
      <c r="X252" s="287">
        <f t="shared" si="61"/>
        <v>0</v>
      </c>
      <c r="Y252" s="287">
        <f t="shared" si="61"/>
        <v>0</v>
      </c>
    </row>
    <row r="253" spans="1:25" hidden="1" x14ac:dyDescent="0.25"/>
  </sheetData>
  <mergeCells count="8">
    <mergeCell ref="T8:W8"/>
    <mergeCell ref="AH13:AI13"/>
    <mergeCell ref="A2:Y2"/>
    <mergeCell ref="A4:Y4"/>
    <mergeCell ref="AH9:AI9"/>
    <mergeCell ref="D8:K8"/>
    <mergeCell ref="L8:Q8"/>
    <mergeCell ref="D7:X7"/>
  </mergeCells>
  <phoneticPr fontId="3" type="noConversion"/>
  <printOptions horizontalCentered="1" verticalCentered="1"/>
  <pageMargins left="0" right="0" top="0.4" bottom="0.28999999999999998" header="0.27" footer="0.15"/>
  <pageSetup paperSize="9" scale="4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10</vt:i4>
      </vt:variant>
    </vt:vector>
  </HeadingPairs>
  <TitlesOfParts>
    <vt:vector size="14" baseType="lpstr">
      <vt:lpstr>8.sz.melléklet</vt:lpstr>
      <vt:lpstr>9.sz.melléklet</vt:lpstr>
      <vt:lpstr>10.sz.melléklet</vt:lpstr>
      <vt:lpstr>11.sz.melléklet</vt:lpstr>
      <vt:lpstr>Excel_BuiltIn__FilterDatabase_2</vt:lpstr>
      <vt:lpstr>Excel_BuiltIn__FilterDatabase_3_3</vt:lpstr>
      <vt:lpstr>'10.sz.melléklet'!Nyomtatási_cím</vt:lpstr>
      <vt:lpstr>'11.sz.melléklet'!Nyomtatási_cím</vt:lpstr>
      <vt:lpstr>'8.sz.melléklet'!Nyomtatási_cím</vt:lpstr>
      <vt:lpstr>'9.sz.melléklet'!Nyomtatási_cím</vt:lpstr>
      <vt:lpstr>'10.sz.melléklet'!Nyomtatási_terület</vt:lpstr>
      <vt:lpstr>'11.sz.melléklet'!Nyomtatási_terület</vt:lpstr>
      <vt:lpstr>'8.sz.melléklet'!Nyomtatási_terület</vt:lpstr>
      <vt:lpstr>'9.sz.melléklet'!Nyomtatási_terület</vt:lpstr>
    </vt:vector>
  </TitlesOfParts>
  <Company>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</dc:creator>
  <cp:lastModifiedBy>Balog Lászlóné Zsuzsa</cp:lastModifiedBy>
  <cp:lastPrinted>2019-05-23T07:27:36Z</cp:lastPrinted>
  <dcterms:created xsi:type="dcterms:W3CDTF">2009-03-23T07:49:10Z</dcterms:created>
  <dcterms:modified xsi:type="dcterms:W3CDTF">2019-05-23T11:50:06Z</dcterms:modified>
</cp:coreProperties>
</file>