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Penzugyi es Koltsegvetesi Osztaly\HUPENZU\2017\Beszámoló\ELŐTERJESZTÉS\"/>
    </mc:Choice>
  </mc:AlternateContent>
  <bookViews>
    <workbookView xWindow="0" yWindow="0" windowWidth="28800" windowHeight="11835" tabRatio="736"/>
  </bookViews>
  <sheets>
    <sheet name="T_1_mérleg" sheetId="402" r:id="rId1"/>
    <sheet name="T_2_kiadás" sheetId="350" r:id="rId2"/>
    <sheet name="T_3_bevétel" sheetId="351" r:id="rId3"/>
    <sheet name="4.tábla" sheetId="301" r:id="rId4"/>
    <sheet name="5.tábla" sheetId="302" r:id="rId5"/>
    <sheet name="6. sz. 2017.K." sheetId="440" r:id="rId6"/>
    <sheet name="7. sz.2017.B. " sheetId="441" r:id="rId7"/>
    <sheet name="8.sz. 2017." sheetId="442" r:id="rId8"/>
    <sheet name="T.9.műk.peszk.kiad" sheetId="314" r:id="rId9"/>
    <sheet name="T.10.műk.bev." sheetId="315" r:id="rId10"/>
    <sheet name="T.11.felh.peszk.átad." sheetId="316" r:id="rId11"/>
    <sheet name="T.12.felhalm.bev." sheetId="317" r:id="rId12"/>
    <sheet name="T_13_kölcsönök" sheetId="387" r:id="rId13"/>
    <sheet name="T_14_Önk+PH_felúj_" sheetId="403" r:id="rId14"/>
    <sheet name="_14_int felúj. 2017. " sheetId="443" r:id="rId15"/>
    <sheet name="15_ Önk+PH_beruh " sheetId="404" r:id="rId16"/>
    <sheet name="_15_int beruh. 2017. " sheetId="444" r:id="rId17"/>
    <sheet name="T.16.Tartalék" sheetId="385" r:id="rId18"/>
    <sheet name="PM" sheetId="422" r:id="rId19"/>
    <sheet name="PM Intézmények" sheetId="423" r:id="rId20"/>
    <sheet name="egysz.mérleg" sheetId="394" state="hidden" r:id="rId21"/>
    <sheet name="egysz.pforg" sheetId="343" state="hidden" r:id="rId22"/>
    <sheet name="egysz.pm." sheetId="344" state="hidden" r:id="rId23"/>
    <sheet name="pm.kimutatás" sheetId="370" state="hidden" r:id="rId24"/>
    <sheet name="pm.ÖM" sheetId="401" state="hidden" r:id="rId25"/>
    <sheet name="kötött normatív" sheetId="328" state="hidden" r:id="rId26"/>
    <sheet name="központosított" sheetId="329" state="hidden" r:id="rId27"/>
    <sheet name="cél,címzett" sheetId="330" state="hidden" r:id="rId28"/>
  </sheets>
  <definedNames>
    <definedName name="_1Excel_BuiltIn_Print_Area_34_1" localSheetId="21">#REF!</definedName>
    <definedName name="_1Excel_BuiltIn_Print_Area_34_1">#REF!</definedName>
    <definedName name="_2Excel_BuiltIn_Print_Area_34_1" localSheetId="22">#REF!</definedName>
    <definedName name="_3Excel_BuiltIn_Print_Area_34_1" localSheetId="23">#REF!</definedName>
    <definedName name="_3Excel_BuiltIn_Print_Area_34_1" localSheetId="24">#REF!</definedName>
    <definedName name="_4Excel_BuiltIn_Print_Area_34_1" localSheetId="19">#REF!</definedName>
    <definedName name="_4Excel_BuiltIn_Print_Area_34_1">#REF!</definedName>
    <definedName name="a" localSheetId="14">#REF!</definedName>
    <definedName name="a" localSheetId="19">#REF!</definedName>
    <definedName name="a">#REF!</definedName>
    <definedName name="Excel_BuiltIn_Print_Area_100_1" localSheetId="14">#REF!</definedName>
    <definedName name="Excel_BuiltIn_Print_Area_100_1" localSheetId="16">#REF!</definedName>
    <definedName name="Excel_BuiltIn_Print_Area_100_1" localSheetId="5">#REF!</definedName>
    <definedName name="Excel_BuiltIn_Print_Area_100_1" localSheetId="6">#REF!</definedName>
    <definedName name="Excel_BuiltIn_Print_Area_100_1" localSheetId="20">#REF!</definedName>
    <definedName name="Excel_BuiltIn_Print_Area_100_1" localSheetId="22">#REF!</definedName>
    <definedName name="Excel_BuiltIn_Print_Area_100_1" localSheetId="19">#REF!</definedName>
    <definedName name="Excel_BuiltIn_Print_Area_100_1" localSheetId="23">#REF!</definedName>
    <definedName name="Excel_BuiltIn_Print_Area_100_1" localSheetId="24">#REF!</definedName>
    <definedName name="Excel_BuiltIn_Print_Area_100_1">#REF!</definedName>
    <definedName name="Excel_BuiltIn_Print_Area_109_1" localSheetId="14">#REF!</definedName>
    <definedName name="Excel_BuiltIn_Print_Area_109_1" localSheetId="16">#REF!</definedName>
    <definedName name="Excel_BuiltIn_Print_Area_109_1" localSheetId="15">'15_ Önk+PH_beruh '!$A$13:$D$262</definedName>
    <definedName name="Excel_BuiltIn_Print_Area_109_1" localSheetId="5">#REF!</definedName>
    <definedName name="Excel_BuiltIn_Print_Area_109_1" localSheetId="6">#REF!</definedName>
    <definedName name="Excel_BuiltIn_Print_Area_109_1" localSheetId="20">#REF!</definedName>
    <definedName name="Excel_BuiltIn_Print_Area_109_1" localSheetId="21">#REF!</definedName>
    <definedName name="Excel_BuiltIn_Print_Area_109_1" localSheetId="22">#REF!</definedName>
    <definedName name="Excel_BuiltIn_Print_Area_109_1" localSheetId="19">#REF!</definedName>
    <definedName name="Excel_BuiltIn_Print_Area_109_1" localSheetId="23">#REF!</definedName>
    <definedName name="Excel_BuiltIn_Print_Area_109_1" localSheetId="24">#REF!</definedName>
    <definedName name="Excel_BuiltIn_Print_Area_109_1">#REF!</definedName>
    <definedName name="Excel_BuiltIn_Print_Area_111" localSheetId="14">#REF!</definedName>
    <definedName name="Excel_BuiltIn_Print_Area_111" localSheetId="16">#REF!</definedName>
    <definedName name="Excel_BuiltIn_Print_Area_111" localSheetId="5">#REF!</definedName>
    <definedName name="Excel_BuiltIn_Print_Area_111" localSheetId="6">#REF!</definedName>
    <definedName name="Excel_BuiltIn_Print_Area_111" localSheetId="20">#REF!</definedName>
    <definedName name="Excel_BuiltIn_Print_Area_111" localSheetId="19">#REF!</definedName>
    <definedName name="Excel_BuiltIn_Print_Area_111">#REF!</definedName>
    <definedName name="Excel_BuiltIn_Print_Area_14_1" localSheetId="14">#REF!</definedName>
    <definedName name="Excel_BuiltIn_Print_Area_14_1" localSheetId="16">#REF!</definedName>
    <definedName name="Excel_BuiltIn_Print_Area_14_1" localSheetId="15">#REF!</definedName>
    <definedName name="Excel_BuiltIn_Print_Area_14_1" localSheetId="5">#REF!</definedName>
    <definedName name="Excel_BuiltIn_Print_Area_14_1" localSheetId="20">#REF!</definedName>
    <definedName name="Excel_BuiltIn_Print_Area_14_1" localSheetId="22">#REF!</definedName>
    <definedName name="Excel_BuiltIn_Print_Area_14_1" localSheetId="19">#REF!</definedName>
    <definedName name="Excel_BuiltIn_Print_Area_14_1" localSheetId="23">#REF!</definedName>
    <definedName name="Excel_BuiltIn_Print_Area_14_1" localSheetId="24">#REF!</definedName>
    <definedName name="Excel_BuiltIn_Print_Area_14_1" localSheetId="0">#REF!</definedName>
    <definedName name="Excel_BuiltIn_Print_Area_14_1" localSheetId="12">#REF!</definedName>
    <definedName name="Excel_BuiltIn_Print_Area_14_1" localSheetId="13">#REF!</definedName>
    <definedName name="Excel_BuiltIn_Print_Area_14_1">#REF!</definedName>
    <definedName name="Excel_BuiltIn_Print_Area_14_1_1" localSheetId="14">#REF!</definedName>
    <definedName name="Excel_BuiltIn_Print_Area_14_1_1" localSheetId="16">#REF!</definedName>
    <definedName name="Excel_BuiltIn_Print_Area_14_1_1" localSheetId="15">#REF!</definedName>
    <definedName name="Excel_BuiltIn_Print_Area_14_1_1" localSheetId="5">#REF!</definedName>
    <definedName name="Excel_BuiltIn_Print_Area_14_1_1" localSheetId="20">#REF!</definedName>
    <definedName name="Excel_BuiltIn_Print_Area_14_1_1" localSheetId="22">#REF!</definedName>
    <definedName name="Excel_BuiltIn_Print_Area_14_1_1" localSheetId="19">#REF!</definedName>
    <definedName name="Excel_BuiltIn_Print_Area_14_1_1" localSheetId="23">#REF!</definedName>
    <definedName name="Excel_BuiltIn_Print_Area_14_1_1" localSheetId="24">#REF!</definedName>
    <definedName name="Excel_BuiltIn_Print_Area_14_1_1" localSheetId="0">#REF!</definedName>
    <definedName name="Excel_BuiltIn_Print_Area_14_1_1" localSheetId="12">#REF!</definedName>
    <definedName name="Excel_BuiltIn_Print_Area_14_1_1" localSheetId="13">#REF!</definedName>
    <definedName name="Excel_BuiltIn_Print_Area_14_1_1">#REF!</definedName>
    <definedName name="Excel_BuiltIn_Print_Area_2_1" localSheetId="20">#REF!</definedName>
    <definedName name="Excel_BuiltIn_Print_Area_2_1" localSheetId="22">#REF!</definedName>
    <definedName name="Excel_BuiltIn_Print_Area_2_1" localSheetId="19">#REF!</definedName>
    <definedName name="Excel_BuiltIn_Print_Area_2_1" localSheetId="23">#REF!</definedName>
    <definedName name="Excel_BuiltIn_Print_Area_2_1" localSheetId="24">#REF!</definedName>
    <definedName name="Excel_BuiltIn_Print_Area_2_1">#REF!</definedName>
    <definedName name="Excel_BuiltIn_Print_Area_29_1" localSheetId="14">#REF!</definedName>
    <definedName name="Excel_BuiltIn_Print_Area_29_1" localSheetId="16">#REF!</definedName>
    <definedName name="Excel_BuiltIn_Print_Area_29_1" localSheetId="15">#REF!</definedName>
    <definedName name="Excel_BuiltIn_Print_Area_29_1" localSheetId="5">#REF!</definedName>
    <definedName name="Excel_BuiltIn_Print_Area_29_1" localSheetId="20">#REF!</definedName>
    <definedName name="Excel_BuiltIn_Print_Area_29_1" localSheetId="22">#REF!</definedName>
    <definedName name="Excel_BuiltIn_Print_Area_29_1" localSheetId="19">#REF!</definedName>
    <definedName name="Excel_BuiltIn_Print_Area_29_1" localSheetId="23">#REF!</definedName>
    <definedName name="Excel_BuiltIn_Print_Area_29_1" localSheetId="24">#REF!</definedName>
    <definedName name="Excel_BuiltIn_Print_Area_29_1" localSheetId="0">#REF!</definedName>
    <definedName name="Excel_BuiltIn_Print_Area_29_1" localSheetId="12">#REF!</definedName>
    <definedName name="Excel_BuiltIn_Print_Area_29_1" localSheetId="13">#REF!</definedName>
    <definedName name="Excel_BuiltIn_Print_Area_29_1" localSheetId="1">#REF!</definedName>
    <definedName name="Excel_BuiltIn_Print_Area_29_1" localSheetId="2">#REF!</definedName>
    <definedName name="Excel_BuiltIn_Print_Area_29_1">#REF!</definedName>
    <definedName name="Excel_BuiltIn_Print_Area_29_1_1" localSheetId="14">#REF!</definedName>
    <definedName name="Excel_BuiltIn_Print_Area_29_1_1" localSheetId="16">#REF!</definedName>
    <definedName name="Excel_BuiltIn_Print_Area_29_1_1" localSheetId="15">#REF!</definedName>
    <definedName name="Excel_BuiltIn_Print_Area_29_1_1" localSheetId="5">#REF!</definedName>
    <definedName name="Excel_BuiltIn_Print_Area_29_1_1" localSheetId="20">#REF!</definedName>
    <definedName name="Excel_BuiltIn_Print_Area_29_1_1" localSheetId="22">#REF!</definedName>
    <definedName name="Excel_BuiltIn_Print_Area_29_1_1" localSheetId="19">#REF!</definedName>
    <definedName name="Excel_BuiltIn_Print_Area_29_1_1" localSheetId="23">#REF!</definedName>
    <definedName name="Excel_BuiltIn_Print_Area_29_1_1" localSheetId="24">#REF!</definedName>
    <definedName name="Excel_BuiltIn_Print_Area_29_1_1" localSheetId="0">#REF!</definedName>
    <definedName name="Excel_BuiltIn_Print_Area_29_1_1" localSheetId="12">#REF!</definedName>
    <definedName name="Excel_BuiltIn_Print_Area_29_1_1" localSheetId="13">#REF!</definedName>
    <definedName name="Excel_BuiltIn_Print_Area_29_1_1" localSheetId="1">#REF!</definedName>
    <definedName name="Excel_BuiltIn_Print_Area_29_1_1" localSheetId="2">#REF!</definedName>
    <definedName name="Excel_BuiltIn_Print_Area_29_1_1">#REF!</definedName>
    <definedName name="Excel_BuiltIn_Print_Area_29_1_1_62" localSheetId="14">#REF!</definedName>
    <definedName name="Excel_BuiltIn_Print_Area_29_1_1_62" localSheetId="16">#REF!</definedName>
    <definedName name="Excel_BuiltIn_Print_Area_29_1_1_62" localSheetId="5">#REF!</definedName>
    <definedName name="Excel_BuiltIn_Print_Area_29_1_1_62">#REF!</definedName>
    <definedName name="Excel_BuiltIn_Print_Area_29_1_62" localSheetId="14">#REF!</definedName>
    <definedName name="Excel_BuiltIn_Print_Area_29_1_62" localSheetId="16">#REF!</definedName>
    <definedName name="Excel_BuiltIn_Print_Area_29_1_62" localSheetId="5">#REF!</definedName>
    <definedName name="Excel_BuiltIn_Print_Area_29_1_62">#REF!</definedName>
    <definedName name="Excel_BuiltIn_Print_Area_30_1" localSheetId="20">#REF!</definedName>
    <definedName name="Excel_BuiltIn_Print_Area_30_1" localSheetId="22">#REF!</definedName>
    <definedName name="Excel_BuiltIn_Print_Area_30_1" localSheetId="19">#REF!</definedName>
    <definedName name="Excel_BuiltIn_Print_Area_30_1" localSheetId="23">#REF!</definedName>
    <definedName name="Excel_BuiltIn_Print_Area_30_1" localSheetId="24">#REF!</definedName>
    <definedName name="Excel_BuiltIn_Print_Area_30_1">#REF!</definedName>
    <definedName name="Excel_BuiltIn_Print_Area_31_1" localSheetId="14">#REF!</definedName>
    <definedName name="Excel_BuiltIn_Print_Area_31_1" localSheetId="16">#REF!</definedName>
    <definedName name="Excel_BuiltIn_Print_Area_31_1" localSheetId="15">#REF!</definedName>
    <definedName name="Excel_BuiltIn_Print_Area_31_1" localSheetId="5">#REF!</definedName>
    <definedName name="Excel_BuiltIn_Print_Area_31_1" localSheetId="20">#REF!</definedName>
    <definedName name="Excel_BuiltIn_Print_Area_31_1" localSheetId="21">#REF!</definedName>
    <definedName name="Excel_BuiltIn_Print_Area_31_1" localSheetId="22">#REF!</definedName>
    <definedName name="Excel_BuiltIn_Print_Area_31_1" localSheetId="19">#REF!</definedName>
    <definedName name="Excel_BuiltIn_Print_Area_31_1" localSheetId="23">#REF!</definedName>
    <definedName name="Excel_BuiltIn_Print_Area_31_1" localSheetId="24">#REF!</definedName>
    <definedName name="Excel_BuiltIn_Print_Area_31_1" localSheetId="0">#REF!</definedName>
    <definedName name="Excel_BuiltIn_Print_Area_31_1" localSheetId="12">#REF!</definedName>
    <definedName name="Excel_BuiltIn_Print_Area_31_1" localSheetId="13">#REF!</definedName>
    <definedName name="Excel_BuiltIn_Print_Area_31_1" localSheetId="1">#REF!</definedName>
    <definedName name="Excel_BuiltIn_Print_Area_31_1" localSheetId="2">#REF!</definedName>
    <definedName name="Excel_BuiltIn_Print_Area_31_1">#REF!</definedName>
    <definedName name="Excel_BuiltIn_Print_Area_32_1" localSheetId="14">#REF!</definedName>
    <definedName name="Excel_BuiltIn_Print_Area_32_1" localSheetId="16">#REF!</definedName>
    <definedName name="Excel_BuiltIn_Print_Area_32_1" localSheetId="15">#REF!</definedName>
    <definedName name="Excel_BuiltIn_Print_Area_32_1" localSheetId="5">#REF!</definedName>
    <definedName name="Excel_BuiltIn_Print_Area_32_1" localSheetId="20">#REF!</definedName>
    <definedName name="Excel_BuiltIn_Print_Area_32_1" localSheetId="22">#REF!</definedName>
    <definedName name="Excel_BuiltIn_Print_Area_32_1" localSheetId="19">#REF!</definedName>
    <definedName name="Excel_BuiltIn_Print_Area_32_1" localSheetId="23">#REF!</definedName>
    <definedName name="Excel_BuiltIn_Print_Area_32_1" localSheetId="24">#REF!</definedName>
    <definedName name="Excel_BuiltIn_Print_Area_32_1" localSheetId="0">#REF!</definedName>
    <definedName name="Excel_BuiltIn_Print_Area_32_1" localSheetId="12">#REF!</definedName>
    <definedName name="Excel_BuiltIn_Print_Area_32_1" localSheetId="13">#REF!</definedName>
    <definedName name="Excel_BuiltIn_Print_Area_32_1" localSheetId="1">#REF!</definedName>
    <definedName name="Excel_BuiltIn_Print_Area_32_1" localSheetId="2">#REF!</definedName>
    <definedName name="Excel_BuiltIn_Print_Area_32_1">#REF!</definedName>
    <definedName name="Excel_BuiltIn_Print_Area_32_1_64" localSheetId="14">#REF!</definedName>
    <definedName name="Excel_BuiltIn_Print_Area_32_1_64" localSheetId="16">#REF!</definedName>
    <definedName name="Excel_BuiltIn_Print_Area_32_1_64" localSheetId="5">#REF!</definedName>
    <definedName name="Excel_BuiltIn_Print_Area_32_1_64">#REF!</definedName>
    <definedName name="Excel_BuiltIn_Print_Area_33_1" localSheetId="14">#REF!</definedName>
    <definedName name="Excel_BuiltIn_Print_Area_33_1" localSheetId="16">#REF!</definedName>
    <definedName name="Excel_BuiltIn_Print_Area_33_1" localSheetId="5">#REF!</definedName>
    <definedName name="Excel_BuiltIn_Print_Area_33_1" localSheetId="20">#REF!</definedName>
    <definedName name="Excel_BuiltIn_Print_Area_33_1" localSheetId="22">#REF!</definedName>
    <definedName name="Excel_BuiltIn_Print_Area_33_1" localSheetId="19">#REF!</definedName>
    <definedName name="Excel_BuiltIn_Print_Area_33_1" localSheetId="23">#REF!</definedName>
    <definedName name="Excel_BuiltIn_Print_Area_33_1" localSheetId="24">#REF!</definedName>
    <definedName name="Excel_BuiltIn_Print_Area_33_1">#REF!</definedName>
    <definedName name="Excel_BuiltIn_Print_Area_34_1" localSheetId="14">#REF!</definedName>
    <definedName name="Excel_BuiltIn_Print_Area_34_1" localSheetId="16">#REF!</definedName>
    <definedName name="Excel_BuiltIn_Print_Area_34_1" localSheetId="15">#REF!</definedName>
    <definedName name="Excel_BuiltIn_Print_Area_34_1" localSheetId="5">#REF!</definedName>
    <definedName name="Excel_BuiltIn_Print_Area_34_1" localSheetId="20">#REF!</definedName>
    <definedName name="Excel_BuiltIn_Print_Area_34_1" localSheetId="21">#REF!</definedName>
    <definedName name="Excel_BuiltIn_Print_Area_34_1" localSheetId="22">#REF!</definedName>
    <definedName name="Excel_BuiltIn_Print_Area_34_1" localSheetId="19">#REF!</definedName>
    <definedName name="Excel_BuiltIn_Print_Area_34_1" localSheetId="23">#REF!</definedName>
    <definedName name="Excel_BuiltIn_Print_Area_34_1" localSheetId="24">#REF!</definedName>
    <definedName name="Excel_BuiltIn_Print_Area_34_1" localSheetId="0">#REF!</definedName>
    <definedName name="Excel_BuiltIn_Print_Area_34_1" localSheetId="12">#REF!</definedName>
    <definedName name="Excel_BuiltIn_Print_Area_34_1" localSheetId="13">#REF!</definedName>
    <definedName name="Excel_BuiltIn_Print_Area_34_1" localSheetId="1">#REF!</definedName>
    <definedName name="Excel_BuiltIn_Print_Area_34_1" localSheetId="2">#REF!</definedName>
    <definedName name="Excel_BuiltIn_Print_Area_34_1">#REF!</definedName>
    <definedName name="Excel_BuiltIn_Print_Area_35_1" localSheetId="14">#REF!</definedName>
    <definedName name="Excel_BuiltIn_Print_Area_35_1" localSheetId="16">#REF!</definedName>
    <definedName name="Excel_BuiltIn_Print_Area_35_1" localSheetId="5">#REF!</definedName>
    <definedName name="Excel_BuiltIn_Print_Area_35_1" localSheetId="20">#REF!</definedName>
    <definedName name="Excel_BuiltIn_Print_Area_35_1" localSheetId="22">#REF!</definedName>
    <definedName name="Excel_BuiltIn_Print_Area_35_1" localSheetId="19">#REF!</definedName>
    <definedName name="Excel_BuiltIn_Print_Area_35_1" localSheetId="23">#REF!</definedName>
    <definedName name="Excel_BuiltIn_Print_Area_35_1" localSheetId="24">#REF!</definedName>
    <definedName name="Excel_BuiltIn_Print_Area_35_1">#REF!</definedName>
    <definedName name="Excel_BuiltIn_Print_Area_36_1" localSheetId="14">#REF!</definedName>
    <definedName name="Excel_BuiltIn_Print_Area_36_1" localSheetId="16">#REF!</definedName>
    <definedName name="Excel_BuiltIn_Print_Area_36_1" localSheetId="5">#REF!</definedName>
    <definedName name="Excel_BuiltIn_Print_Area_36_1" localSheetId="20">#REF!</definedName>
    <definedName name="Excel_BuiltIn_Print_Area_36_1" localSheetId="22">#REF!</definedName>
    <definedName name="Excel_BuiltIn_Print_Area_36_1" localSheetId="19">#REF!</definedName>
    <definedName name="Excel_BuiltIn_Print_Area_36_1" localSheetId="23">#REF!</definedName>
    <definedName name="Excel_BuiltIn_Print_Area_36_1" localSheetId="24">#REF!</definedName>
    <definedName name="Excel_BuiltIn_Print_Area_36_1">#REF!</definedName>
    <definedName name="Excel_BuiltIn_Print_Area_37_1" localSheetId="14">#REF!</definedName>
    <definedName name="Excel_BuiltIn_Print_Area_37_1" localSheetId="16">#REF!</definedName>
    <definedName name="Excel_BuiltIn_Print_Area_37_1" localSheetId="15">#REF!</definedName>
    <definedName name="Excel_BuiltIn_Print_Area_37_1" localSheetId="5">#REF!</definedName>
    <definedName name="Excel_BuiltIn_Print_Area_37_1" localSheetId="20">#REF!</definedName>
    <definedName name="Excel_BuiltIn_Print_Area_37_1" localSheetId="22">#REF!</definedName>
    <definedName name="Excel_BuiltIn_Print_Area_37_1" localSheetId="19">#REF!</definedName>
    <definedName name="Excel_BuiltIn_Print_Area_37_1" localSheetId="23">#REF!</definedName>
    <definedName name="Excel_BuiltIn_Print_Area_37_1" localSheetId="24">#REF!</definedName>
    <definedName name="Excel_BuiltIn_Print_Area_37_1" localSheetId="0">#REF!</definedName>
    <definedName name="Excel_BuiltIn_Print_Area_37_1" localSheetId="12">#REF!</definedName>
    <definedName name="Excel_BuiltIn_Print_Area_37_1" localSheetId="13">#REF!</definedName>
    <definedName name="Excel_BuiltIn_Print_Area_37_1" localSheetId="1">#REF!</definedName>
    <definedName name="Excel_BuiltIn_Print_Area_37_1" localSheetId="2">#REF!</definedName>
    <definedName name="Excel_BuiltIn_Print_Area_37_1">#REF!</definedName>
    <definedName name="Excel_BuiltIn_Print_Area_38_1" localSheetId="20">#REF!</definedName>
    <definedName name="Excel_BuiltIn_Print_Area_38_1" localSheetId="22">#REF!</definedName>
    <definedName name="Excel_BuiltIn_Print_Area_38_1" localSheetId="19">#REF!</definedName>
    <definedName name="Excel_BuiltIn_Print_Area_38_1" localSheetId="23">#REF!</definedName>
    <definedName name="Excel_BuiltIn_Print_Area_38_1" localSheetId="24">#REF!</definedName>
    <definedName name="Excel_BuiltIn_Print_Area_38_1">#REF!</definedName>
    <definedName name="Excel_BuiltIn_Print_Area_4_1" localSheetId="14">#REF!</definedName>
    <definedName name="Excel_BuiltIn_Print_Area_4_1" localSheetId="16">#REF!</definedName>
    <definedName name="Excel_BuiltIn_Print_Area_4_1" localSheetId="5">#REF!</definedName>
    <definedName name="Excel_BuiltIn_Print_Area_4_1" localSheetId="20">#REF!</definedName>
    <definedName name="Excel_BuiltIn_Print_Area_4_1" localSheetId="22">#REF!</definedName>
    <definedName name="Excel_BuiltIn_Print_Area_4_1" localSheetId="19">#REF!</definedName>
    <definedName name="Excel_BuiltIn_Print_Area_4_1" localSheetId="23">#REF!</definedName>
    <definedName name="Excel_BuiltIn_Print_Area_4_1" localSheetId="24">#REF!</definedName>
    <definedName name="Excel_BuiltIn_Print_Area_4_1">#REF!</definedName>
    <definedName name="Excel_BuiltIn_Print_Area_41_1" localSheetId="14">#REF!</definedName>
    <definedName name="Excel_BuiltIn_Print_Area_41_1" localSheetId="16">#REF!</definedName>
    <definedName name="Excel_BuiltIn_Print_Area_41_1" localSheetId="5">#REF!</definedName>
    <definedName name="Excel_BuiltIn_Print_Area_41_1" localSheetId="20">#REF!</definedName>
    <definedName name="Excel_BuiltIn_Print_Area_41_1" localSheetId="22">#REF!</definedName>
    <definedName name="Excel_BuiltIn_Print_Area_41_1" localSheetId="19">#REF!</definedName>
    <definedName name="Excel_BuiltIn_Print_Area_41_1" localSheetId="23">#REF!</definedName>
    <definedName name="Excel_BuiltIn_Print_Area_41_1" localSheetId="24">#REF!</definedName>
    <definedName name="Excel_BuiltIn_Print_Area_41_1">#REF!</definedName>
    <definedName name="Excel_BuiltIn_Print_Area_44_1" localSheetId="14">#REF!</definedName>
    <definedName name="Excel_BuiltIn_Print_Area_44_1" localSheetId="16">#REF!</definedName>
    <definedName name="Excel_BuiltIn_Print_Area_44_1" localSheetId="5">#REF!</definedName>
    <definedName name="Excel_BuiltIn_Print_Area_44_1" localSheetId="20">#REF!</definedName>
    <definedName name="Excel_BuiltIn_Print_Area_44_1" localSheetId="22">#REF!</definedName>
    <definedName name="Excel_BuiltIn_Print_Area_44_1" localSheetId="19">#REF!</definedName>
    <definedName name="Excel_BuiltIn_Print_Area_44_1" localSheetId="23">#REF!</definedName>
    <definedName name="Excel_BuiltIn_Print_Area_44_1" localSheetId="24">#REF!</definedName>
    <definedName name="Excel_BuiltIn_Print_Area_44_1">#REF!</definedName>
    <definedName name="Excel_BuiltIn_Print_Area_48_1" localSheetId="14">#REF!</definedName>
    <definedName name="Excel_BuiltIn_Print_Area_48_1" localSheetId="16">#REF!</definedName>
    <definedName name="Excel_BuiltIn_Print_Area_48_1" localSheetId="5">#REF!</definedName>
    <definedName name="Excel_BuiltIn_Print_Area_48_1">#REF!</definedName>
    <definedName name="Excel_BuiltIn_Print_Area_5_1" localSheetId="14">#REF!</definedName>
    <definedName name="Excel_BuiltIn_Print_Area_5_1" localSheetId="16">#REF!</definedName>
    <definedName name="Excel_BuiltIn_Print_Area_5_1" localSheetId="5">#REF!</definedName>
    <definedName name="Excel_BuiltIn_Print_Area_5_1" localSheetId="20">#REF!</definedName>
    <definedName name="Excel_BuiltIn_Print_Area_5_1" localSheetId="22">#REF!</definedName>
    <definedName name="Excel_BuiltIn_Print_Area_5_1" localSheetId="19">#REF!</definedName>
    <definedName name="Excel_BuiltIn_Print_Area_5_1" localSheetId="23">#REF!</definedName>
    <definedName name="Excel_BuiltIn_Print_Area_5_1" localSheetId="24">#REF!</definedName>
    <definedName name="Excel_BuiltIn_Print_Area_5_1">#REF!</definedName>
    <definedName name="Excel_BuiltIn_Print_Area_50_1" localSheetId="14">#REF!</definedName>
    <definedName name="Excel_BuiltIn_Print_Area_50_1" localSheetId="16">#REF!</definedName>
    <definedName name="Excel_BuiltIn_Print_Area_50_1" localSheetId="5">#REF!</definedName>
    <definedName name="Excel_BuiltIn_Print_Area_50_1" localSheetId="20">#REF!</definedName>
    <definedName name="Excel_BuiltIn_Print_Area_50_1" localSheetId="22">#REF!</definedName>
    <definedName name="Excel_BuiltIn_Print_Area_50_1" localSheetId="19">#REF!</definedName>
    <definedName name="Excel_BuiltIn_Print_Area_50_1" localSheetId="23">#REF!</definedName>
    <definedName name="Excel_BuiltIn_Print_Area_50_1" localSheetId="24">#REF!</definedName>
    <definedName name="Excel_BuiltIn_Print_Area_50_1">#REF!</definedName>
    <definedName name="Excel_BuiltIn_Print_Area_55_1" localSheetId="14">#REF!</definedName>
    <definedName name="Excel_BuiltIn_Print_Area_55_1" localSheetId="16">#REF!</definedName>
    <definedName name="Excel_BuiltIn_Print_Area_55_1" localSheetId="15">#REF!</definedName>
    <definedName name="Excel_BuiltIn_Print_Area_55_1" localSheetId="5">#REF!</definedName>
    <definedName name="Excel_BuiltIn_Print_Area_55_1" localSheetId="20">#REF!</definedName>
    <definedName name="Excel_BuiltIn_Print_Area_55_1" localSheetId="21">#REF!</definedName>
    <definedName name="Excel_BuiltIn_Print_Area_55_1" localSheetId="22">#REF!</definedName>
    <definedName name="Excel_BuiltIn_Print_Area_55_1" localSheetId="19">#REF!</definedName>
    <definedName name="Excel_BuiltIn_Print_Area_55_1" localSheetId="23">#REF!</definedName>
    <definedName name="Excel_BuiltIn_Print_Area_55_1" localSheetId="24">#REF!</definedName>
    <definedName name="Excel_BuiltIn_Print_Area_55_1" localSheetId="0">#REF!</definedName>
    <definedName name="Excel_BuiltIn_Print_Area_55_1" localSheetId="12">#REF!</definedName>
    <definedName name="Excel_BuiltIn_Print_Area_55_1" localSheetId="13">#REF!</definedName>
    <definedName name="Excel_BuiltIn_Print_Area_55_1" localSheetId="1">#REF!</definedName>
    <definedName name="Excel_BuiltIn_Print_Area_55_1" localSheetId="2">#REF!</definedName>
    <definedName name="Excel_BuiltIn_Print_Area_55_1">#REF!</definedName>
    <definedName name="Excel_BuiltIn_Print_Area_61_1" localSheetId="14">#REF!</definedName>
    <definedName name="Excel_BuiltIn_Print_Area_61_1" localSheetId="16">#REF!</definedName>
    <definedName name="Excel_BuiltIn_Print_Area_61_1" localSheetId="5">#REF!</definedName>
    <definedName name="Excel_BuiltIn_Print_Area_61_1" localSheetId="20">#REF!</definedName>
    <definedName name="Excel_BuiltIn_Print_Area_61_1" localSheetId="22">#REF!</definedName>
    <definedName name="Excel_BuiltIn_Print_Area_61_1" localSheetId="19">#REF!</definedName>
    <definedName name="Excel_BuiltIn_Print_Area_61_1" localSheetId="23">#REF!</definedName>
    <definedName name="Excel_BuiltIn_Print_Area_61_1" localSheetId="24">#REF!</definedName>
    <definedName name="Excel_BuiltIn_Print_Area_61_1">#REF!</definedName>
    <definedName name="Excel_BuiltIn_Print_Area_61_1_68" localSheetId="14">#REF!</definedName>
    <definedName name="Excel_BuiltIn_Print_Area_61_1_68" localSheetId="16">#REF!</definedName>
    <definedName name="Excel_BuiltIn_Print_Area_61_1_68" localSheetId="5">#REF!</definedName>
    <definedName name="Excel_BuiltIn_Print_Area_61_1_68">#REF!</definedName>
    <definedName name="Excel_BuiltIn_Print_Area_62_1" localSheetId="14">#REF!</definedName>
    <definedName name="Excel_BuiltIn_Print_Area_62_1" localSheetId="16">#REF!</definedName>
    <definedName name="Excel_BuiltIn_Print_Area_62_1" localSheetId="5">#REF!</definedName>
    <definedName name="Excel_BuiltIn_Print_Area_62_1">#REF!</definedName>
    <definedName name="Excel_BuiltIn_Print_Area_64_1" localSheetId="14">#REF!</definedName>
    <definedName name="Excel_BuiltIn_Print_Area_64_1" localSheetId="20">#REF!</definedName>
    <definedName name="Excel_BuiltIn_Print_Area_64_1" localSheetId="22">#REF!</definedName>
    <definedName name="Excel_BuiltIn_Print_Area_64_1" localSheetId="19">#REF!</definedName>
    <definedName name="Excel_BuiltIn_Print_Area_64_1" localSheetId="23">#REF!</definedName>
    <definedName name="Excel_BuiltIn_Print_Area_64_1" localSheetId="24">#REF!</definedName>
    <definedName name="Excel_BuiltIn_Print_Area_64_1">#REF!</definedName>
    <definedName name="Excel_BuiltIn_Print_Area_71_1" localSheetId="14">#REF!</definedName>
    <definedName name="Excel_BuiltIn_Print_Area_71_1">#REF!</definedName>
    <definedName name="Excel_BuiltIn_Print_Area_91_1" localSheetId="14">#REF!</definedName>
    <definedName name="Excel_BuiltIn_Print_Area_91_1" localSheetId="16">#REF!</definedName>
    <definedName name="Excel_BuiltIn_Print_Area_91_1" localSheetId="5">#REF!</definedName>
    <definedName name="Excel_BuiltIn_Print_Area_91_1" localSheetId="20">#REF!</definedName>
    <definedName name="Excel_BuiltIn_Print_Area_91_1" localSheetId="22">#REF!</definedName>
    <definedName name="Excel_BuiltIn_Print_Area_91_1" localSheetId="19">#REF!</definedName>
    <definedName name="Excel_BuiltIn_Print_Area_91_1" localSheetId="23">#REF!</definedName>
    <definedName name="Excel_BuiltIn_Print_Area_91_1" localSheetId="24">#REF!</definedName>
    <definedName name="Excel_BuiltIn_Print_Area_91_1">#REF!</definedName>
    <definedName name="mama" localSheetId="14">#REF!</definedName>
    <definedName name="mama" localSheetId="19">#REF!</definedName>
    <definedName name="mama">#REF!</definedName>
    <definedName name="_xlnm.Print_Titles" localSheetId="14">'_14_int felúj. 2017. '!$6:$9</definedName>
    <definedName name="_xlnm.Print_Titles" localSheetId="16">'_15_int beruh. 2017. '!$5:$8</definedName>
    <definedName name="_xlnm.Print_Titles" localSheetId="15">'15_ Önk+PH_beruh '!$9:$12</definedName>
    <definedName name="_xlnm.Print_Titles" localSheetId="3">'4.tábla'!$A:$B</definedName>
    <definedName name="_xlnm.Print_Titles" localSheetId="4">'5.tábla'!$A:$B</definedName>
    <definedName name="_xlnm.Print_Titles" localSheetId="24">pm.ÖM!$A:$B</definedName>
    <definedName name="_xlnm.Print_Titles" localSheetId="13">'T_14_Önk+PH_felúj_'!$9:$11</definedName>
    <definedName name="_xlnm.Print_Area" localSheetId="14">'_14_int felúj. 2017. '!$A$6:$F$73</definedName>
    <definedName name="_xlnm.Print_Area" localSheetId="16">'_15_int beruh. 2017. '!$A$5:$F$114</definedName>
    <definedName name="_xlnm.Print_Area" localSheetId="15">'15_ Önk+PH_beruh '!$A$2:$F$262</definedName>
    <definedName name="_xlnm.Print_Area" localSheetId="3">'4.tábla'!$A$2:$DV$57</definedName>
    <definedName name="_xlnm.Print_Area" localSheetId="4">'5.tábla'!$A$2:$DV$95</definedName>
    <definedName name="_xlnm.Print_Area" localSheetId="5">'6. sz. 2017.K.'!$A$1:$Q$51</definedName>
    <definedName name="_xlnm.Print_Area" localSheetId="6">'7. sz.2017.B. '!$A$1:$Q$51</definedName>
    <definedName name="_xlnm.Print_Area" localSheetId="27">'cél,címzett'!$A$1:$O$29</definedName>
    <definedName name="_xlnm.Print_Area" localSheetId="20">egysz.mérleg!$A$1:$N$50</definedName>
    <definedName name="_xlnm.Print_Area" localSheetId="21">egysz.pforg!$A$2:$E$60</definedName>
    <definedName name="_xlnm.Print_Area" localSheetId="22">egysz.pm.!$A$1:$H$35</definedName>
    <definedName name="_xlnm.Print_Area" localSheetId="25">'kötött normatív'!$A$1:$M$52</definedName>
    <definedName name="_xlnm.Print_Area" localSheetId="26">központosított!$A$1:$I$37</definedName>
    <definedName name="_xlnm.Print_Area" localSheetId="19">'PM Intézmények'!$A$1:$W$21</definedName>
    <definedName name="_xlnm.Print_Area" localSheetId="23">pm.kimutatás!$A$1:$K$39</definedName>
    <definedName name="_xlnm.Print_Area" localSheetId="24">pm.ÖM!$A$1:$AH$40</definedName>
    <definedName name="_xlnm.Print_Area" localSheetId="9">T.10.műk.bev.!$A$2:$F$46</definedName>
    <definedName name="_xlnm.Print_Area" localSheetId="10">T.11.felh.peszk.átad.!$A$2:$F$72</definedName>
    <definedName name="_xlnm.Print_Area" localSheetId="11">T.12.felhalm.bev.!$A$1:$F$34</definedName>
    <definedName name="_xlnm.Print_Area" localSheetId="17">T.16.Tartalék!$A$1:$F$59</definedName>
    <definedName name="_xlnm.Print_Area" localSheetId="8">T.9.műk.peszk.kiad!$A$2:$F$71</definedName>
    <definedName name="_xlnm.Print_Area" localSheetId="0">T_1_mérleg!$A$2:$Q$53</definedName>
    <definedName name="_xlnm.Print_Area" localSheetId="12">T_13_kölcsönök!$A$1:$F$47</definedName>
    <definedName name="_xlnm.Print_Area" localSheetId="13">'T_14_Önk+PH_felúj_'!$A$2:$F$116</definedName>
    <definedName name="_xlnm.Print_Area" localSheetId="1">T_2_kiadás!$A$2:$F$55</definedName>
    <definedName name="_xlnm.Print_Area" localSheetId="2">T_3_bevétel!$A$2:$F$95</definedName>
    <definedName name="pm" localSheetId="14">#REF!</definedName>
    <definedName name="pm" localSheetId="16">#REF!</definedName>
    <definedName name="pm" localSheetId="15">#REF!</definedName>
    <definedName name="pm" localSheetId="5">#REF!</definedName>
    <definedName name="pm" localSheetId="20">#REF!</definedName>
    <definedName name="pm" localSheetId="19">#REF!</definedName>
    <definedName name="pm" localSheetId="0">#REF!</definedName>
    <definedName name="pm" localSheetId="12">#REF!</definedName>
    <definedName name="pm" localSheetId="13">#REF!</definedName>
    <definedName name="pm">#REF!</definedName>
    <definedName name="szabadság." localSheetId="19">#REF!</definedName>
    <definedName name="szabadság.">#REF!</definedName>
    <definedName name="teszt" localSheetId="14">#REF!</definedName>
    <definedName name="teszt" localSheetId="19">#REF!</definedName>
    <definedName name="teszt">#REF!</definedName>
    <definedName name="uuuuu" localSheetId="19">#REF!</definedName>
    <definedName name="uuuuu">#REF!</definedName>
    <definedName name="xxxx">#REF!</definedName>
  </definedNames>
  <calcPr calcId="152511"/>
</workbook>
</file>

<file path=xl/calcChain.xml><?xml version="1.0" encoding="utf-8"?>
<calcChain xmlns="http://schemas.openxmlformats.org/spreadsheetml/2006/main">
  <c r="C17" i="422" l="1"/>
  <c r="F50" i="403" l="1"/>
  <c r="DV54" i="302" l="1"/>
  <c r="DV93" i="302"/>
  <c r="DV18" i="301"/>
  <c r="F22" i="351"/>
  <c r="F55" i="351"/>
  <c r="F82" i="351"/>
  <c r="F18" i="350"/>
  <c r="E25" i="317" l="1"/>
  <c r="D25" i="317"/>
  <c r="F93" i="351" l="1"/>
  <c r="D42" i="444" l="1"/>
  <c r="E34" i="444"/>
  <c r="G114" i="444" l="1"/>
  <c r="C114" i="444"/>
  <c r="E112" i="444" l="1"/>
  <c r="C112" i="444"/>
  <c r="F110" i="444"/>
  <c r="F109" i="444"/>
  <c r="D108" i="444"/>
  <c r="F108" i="444" s="1"/>
  <c r="F107" i="444"/>
  <c r="F106" i="444"/>
  <c r="F105" i="444"/>
  <c r="F104" i="444"/>
  <c r="F103" i="444"/>
  <c r="F102" i="444"/>
  <c r="F101" i="444"/>
  <c r="F100" i="444"/>
  <c r="F99" i="444"/>
  <c r="D99" i="444"/>
  <c r="D112" i="444" s="1"/>
  <c r="F112" i="444" s="1"/>
  <c r="E95" i="444"/>
  <c r="F95" i="444" s="1"/>
  <c r="F94" i="444"/>
  <c r="F93" i="444"/>
  <c r="F92" i="444"/>
  <c r="F91" i="444"/>
  <c r="F90" i="444"/>
  <c r="F88" i="444"/>
  <c r="F87" i="444"/>
  <c r="F85" i="444"/>
  <c r="F84" i="444"/>
  <c r="F83" i="444"/>
  <c r="D82" i="444"/>
  <c r="D95" i="444" s="1"/>
  <c r="F81" i="444"/>
  <c r="C81" i="444"/>
  <c r="C95" i="444" s="1"/>
  <c r="E77" i="444"/>
  <c r="F77" i="444" s="1"/>
  <c r="D77" i="444"/>
  <c r="C77" i="444"/>
  <c r="C79" i="444" s="1"/>
  <c r="F76" i="444"/>
  <c r="F75" i="444"/>
  <c r="E74" i="444"/>
  <c r="F74" i="444" s="1"/>
  <c r="D74" i="444"/>
  <c r="C74" i="444"/>
  <c r="F73" i="444"/>
  <c r="F72" i="444"/>
  <c r="E72" i="444"/>
  <c r="D72" i="444"/>
  <c r="C72" i="444"/>
  <c r="F71" i="444"/>
  <c r="D71" i="444"/>
  <c r="E70" i="444"/>
  <c r="D70" i="444"/>
  <c r="F70" i="444" s="1"/>
  <c r="C70" i="444"/>
  <c r="F69" i="444"/>
  <c r="E68" i="444"/>
  <c r="E79" i="444" s="1"/>
  <c r="F79" i="444" s="1"/>
  <c r="C68" i="444"/>
  <c r="D67" i="444"/>
  <c r="D68" i="444" s="1"/>
  <c r="D79" i="444" s="1"/>
  <c r="E63" i="444"/>
  <c r="F63" i="444" s="1"/>
  <c r="D63" i="444"/>
  <c r="C63" i="444"/>
  <c r="F62" i="444"/>
  <c r="F61" i="444"/>
  <c r="E60" i="444"/>
  <c r="C60" i="444"/>
  <c r="D59" i="444"/>
  <c r="F59" i="444" s="1"/>
  <c r="D58" i="444"/>
  <c r="D60" i="444" s="1"/>
  <c r="C58" i="444"/>
  <c r="E57" i="444"/>
  <c r="C57" i="444"/>
  <c r="F56" i="444"/>
  <c r="D55" i="444"/>
  <c r="F55" i="444" s="1"/>
  <c r="E54" i="444"/>
  <c r="C54" i="444"/>
  <c r="F53" i="444"/>
  <c r="F52" i="444"/>
  <c r="D52" i="444"/>
  <c r="D54" i="444" s="1"/>
  <c r="E51" i="444"/>
  <c r="C51" i="444"/>
  <c r="F50" i="444"/>
  <c r="D49" i="444"/>
  <c r="F49" i="444" s="1"/>
  <c r="D48" i="444"/>
  <c r="F48" i="444" s="1"/>
  <c r="E47" i="444"/>
  <c r="F47" i="444" s="1"/>
  <c r="F46" i="444"/>
  <c r="F45" i="444"/>
  <c r="D45" i="444"/>
  <c r="D47" i="444" s="1"/>
  <c r="C45" i="444"/>
  <c r="C47" i="444" s="1"/>
  <c r="E44" i="444"/>
  <c r="C44" i="444"/>
  <c r="D43" i="444"/>
  <c r="F43" i="444" s="1"/>
  <c r="D44" i="444"/>
  <c r="C42" i="444"/>
  <c r="E41" i="444"/>
  <c r="C41" i="444"/>
  <c r="F40" i="444"/>
  <c r="D39" i="444"/>
  <c r="F39" i="444" s="1"/>
  <c r="E38" i="444"/>
  <c r="C38" i="444"/>
  <c r="F37" i="444"/>
  <c r="F36" i="444"/>
  <c r="D36" i="444"/>
  <c r="D38" i="444" s="1"/>
  <c r="E35" i="444"/>
  <c r="C35" i="444"/>
  <c r="F34" i="444"/>
  <c r="D33" i="444"/>
  <c r="F33" i="444" s="1"/>
  <c r="E32" i="444"/>
  <c r="C32" i="444"/>
  <c r="C65" i="444" s="1"/>
  <c r="D31" i="444"/>
  <c r="F31" i="444" s="1"/>
  <c r="E30" i="444"/>
  <c r="C30" i="444"/>
  <c r="F29" i="444"/>
  <c r="F28" i="444"/>
  <c r="D28" i="444"/>
  <c r="D30" i="444" s="1"/>
  <c r="F23" i="444"/>
  <c r="D22" i="444"/>
  <c r="F22" i="444" s="1"/>
  <c r="C22" i="444"/>
  <c r="C24" i="444" s="1"/>
  <c r="C21" i="444"/>
  <c r="D20" i="444"/>
  <c r="F20" i="444" s="1"/>
  <c r="D19" i="444"/>
  <c r="D21" i="444" s="1"/>
  <c r="F21" i="444" s="1"/>
  <c r="C19" i="444"/>
  <c r="F18" i="444"/>
  <c r="D18" i="444"/>
  <c r="C18" i="444"/>
  <c r="F17" i="444"/>
  <c r="C16" i="444"/>
  <c r="D15" i="444"/>
  <c r="D16" i="444" s="1"/>
  <c r="F16" i="444" s="1"/>
  <c r="C15" i="444"/>
  <c r="F13" i="444"/>
  <c r="F12" i="444"/>
  <c r="D12" i="444"/>
  <c r="D14" i="444" s="1"/>
  <c r="F14" i="444" s="1"/>
  <c r="C12" i="444"/>
  <c r="C14" i="444" s="1"/>
  <c r="D11" i="444"/>
  <c r="F11" i="444" s="1"/>
  <c r="F10" i="444"/>
  <c r="D10" i="444"/>
  <c r="C10" i="444"/>
  <c r="C11" i="444" s="1"/>
  <c r="C26" i="444" s="1"/>
  <c r="C97" i="444" s="1"/>
  <c r="E67" i="443"/>
  <c r="F67" i="443" s="1"/>
  <c r="D67" i="443"/>
  <c r="F65" i="443"/>
  <c r="C64" i="443"/>
  <c r="F62" i="443"/>
  <c r="E62" i="443"/>
  <c r="E64" i="443" s="1"/>
  <c r="D62" i="443"/>
  <c r="D64" i="443" s="1"/>
  <c r="F61" i="443"/>
  <c r="C52" i="443"/>
  <c r="D46" i="443"/>
  <c r="E42" i="443"/>
  <c r="F42" i="443" s="1"/>
  <c r="D42" i="443"/>
  <c r="F41" i="443"/>
  <c r="E36" i="443"/>
  <c r="E52" i="443" s="1"/>
  <c r="D36" i="443"/>
  <c r="D52" i="443" s="1"/>
  <c r="F35" i="443"/>
  <c r="D26" i="443"/>
  <c r="F16" i="443"/>
  <c r="E16" i="443"/>
  <c r="E26" i="443" s="1"/>
  <c r="D16" i="443"/>
  <c r="F15" i="443"/>
  <c r="F14" i="443"/>
  <c r="O42" i="442"/>
  <c r="O40" i="442"/>
  <c r="L40" i="442"/>
  <c r="I40" i="442"/>
  <c r="K40" i="442" s="1"/>
  <c r="C40" i="442"/>
  <c r="R38" i="442"/>
  <c r="Q38" i="442"/>
  <c r="P38" i="442"/>
  <c r="O38" i="442"/>
  <c r="N38" i="442"/>
  <c r="M38" i="442"/>
  <c r="L38" i="442"/>
  <c r="J38" i="442"/>
  <c r="I38" i="442"/>
  <c r="H38" i="442"/>
  <c r="G38" i="442"/>
  <c r="F38" i="442"/>
  <c r="E38" i="442"/>
  <c r="D38" i="442"/>
  <c r="L36" i="442"/>
  <c r="C36" i="442"/>
  <c r="K36" i="442" s="1"/>
  <c r="L35" i="442"/>
  <c r="K35" i="442"/>
  <c r="L34" i="442"/>
  <c r="K34" i="442"/>
  <c r="C34" i="442"/>
  <c r="L33" i="442"/>
  <c r="C33" i="442"/>
  <c r="C38" i="442" s="1"/>
  <c r="L32" i="442"/>
  <c r="K32" i="442"/>
  <c r="R30" i="442"/>
  <c r="Q30" i="442"/>
  <c r="P30" i="442"/>
  <c r="O30" i="442"/>
  <c r="N30" i="442"/>
  <c r="M30" i="442"/>
  <c r="J30" i="442"/>
  <c r="H30" i="442"/>
  <c r="F30" i="442"/>
  <c r="E30" i="442"/>
  <c r="D30" i="442"/>
  <c r="L28" i="442"/>
  <c r="K28" i="442"/>
  <c r="L27" i="442"/>
  <c r="C27" i="442"/>
  <c r="K27" i="442" s="1"/>
  <c r="L26" i="442"/>
  <c r="K26" i="442"/>
  <c r="L25" i="442"/>
  <c r="I25" i="442"/>
  <c r="I30" i="442" s="1"/>
  <c r="G25" i="442"/>
  <c r="G30" i="442" s="1"/>
  <c r="G42" i="442" s="1"/>
  <c r="C25" i="442"/>
  <c r="K25" i="442" s="1"/>
  <c r="L24" i="442"/>
  <c r="K24" i="442"/>
  <c r="L23" i="442"/>
  <c r="K23" i="442"/>
  <c r="C23" i="442"/>
  <c r="L22" i="442"/>
  <c r="C22" i="442"/>
  <c r="K22" i="442" s="1"/>
  <c r="L21" i="442"/>
  <c r="K21" i="442"/>
  <c r="L20" i="442"/>
  <c r="K20" i="442"/>
  <c r="L19" i="442"/>
  <c r="K19" i="442"/>
  <c r="L18" i="442"/>
  <c r="K18" i="442"/>
  <c r="C18" i="442"/>
  <c r="C30" i="442" s="1"/>
  <c r="L17" i="442"/>
  <c r="L30" i="442" s="1"/>
  <c r="K17" i="442"/>
  <c r="K30" i="442" s="1"/>
  <c r="R15" i="442"/>
  <c r="R42" i="442" s="1"/>
  <c r="Q15" i="442"/>
  <c r="Q42" i="442" s="1"/>
  <c r="P15" i="442"/>
  <c r="P42" i="442" s="1"/>
  <c r="O15" i="442"/>
  <c r="N15" i="442"/>
  <c r="N42" i="442" s="1"/>
  <c r="M15" i="442"/>
  <c r="M42" i="442" s="1"/>
  <c r="L15" i="442"/>
  <c r="L42" i="442" s="1"/>
  <c r="J15" i="442"/>
  <c r="J42" i="442" s="1"/>
  <c r="I15" i="442"/>
  <c r="H15" i="442"/>
  <c r="H42" i="442" s="1"/>
  <c r="G15" i="442"/>
  <c r="F15" i="442"/>
  <c r="F42" i="442" s="1"/>
  <c r="E15" i="442"/>
  <c r="E42" i="442" s="1"/>
  <c r="D15" i="442"/>
  <c r="D42" i="442" s="1"/>
  <c r="C15" i="442"/>
  <c r="L13" i="442"/>
  <c r="K13" i="442"/>
  <c r="K15" i="442" s="1"/>
  <c r="T51" i="441"/>
  <c r="N51" i="441"/>
  <c r="J51" i="441"/>
  <c r="F51" i="441"/>
  <c r="O46" i="441"/>
  <c r="E46" i="441" s="1"/>
  <c r="L46" i="441"/>
  <c r="Q44" i="441"/>
  <c r="P44" i="441"/>
  <c r="O44" i="441"/>
  <c r="N44" i="441"/>
  <c r="M44" i="441"/>
  <c r="L44" i="441"/>
  <c r="K44" i="441"/>
  <c r="J44" i="441"/>
  <c r="I44" i="441"/>
  <c r="H44" i="441"/>
  <c r="G44" i="441"/>
  <c r="F44" i="441"/>
  <c r="C44" i="441"/>
  <c r="E42" i="441"/>
  <c r="E41" i="441"/>
  <c r="E40" i="441"/>
  <c r="E39" i="441"/>
  <c r="F38" i="441"/>
  <c r="E38" i="441"/>
  <c r="E44" i="441" s="1"/>
  <c r="Q36" i="441"/>
  <c r="P36" i="441"/>
  <c r="O36" i="441"/>
  <c r="N36" i="441"/>
  <c r="M36" i="441"/>
  <c r="L36" i="441"/>
  <c r="K36" i="441"/>
  <c r="J36" i="441"/>
  <c r="I36" i="441"/>
  <c r="H36" i="441"/>
  <c r="G36" i="441"/>
  <c r="F36" i="441"/>
  <c r="D36" i="441"/>
  <c r="D51" i="441" s="1"/>
  <c r="C36" i="441"/>
  <c r="E34" i="441"/>
  <c r="E33" i="441"/>
  <c r="E32" i="441"/>
  <c r="E31" i="441"/>
  <c r="E30" i="441"/>
  <c r="E29" i="441"/>
  <c r="E28" i="441"/>
  <c r="E27" i="441"/>
  <c r="E26" i="441"/>
  <c r="E25" i="441"/>
  <c r="E24" i="441"/>
  <c r="E23" i="441"/>
  <c r="E36" i="441" s="1"/>
  <c r="Q21" i="441"/>
  <c r="Q51" i="441" s="1"/>
  <c r="P21" i="441"/>
  <c r="P51" i="441" s="1"/>
  <c r="O21" i="441"/>
  <c r="O51" i="441" s="1"/>
  <c r="N21" i="441"/>
  <c r="M21" i="441"/>
  <c r="M51" i="441" s="1"/>
  <c r="L21" i="441"/>
  <c r="L51" i="441" s="1"/>
  <c r="K21" i="441"/>
  <c r="K51" i="441" s="1"/>
  <c r="J21" i="441"/>
  <c r="I21" i="441"/>
  <c r="I51" i="441" s="1"/>
  <c r="H21" i="441"/>
  <c r="H51" i="441" s="1"/>
  <c r="G21" i="441"/>
  <c r="G51" i="441" s="1"/>
  <c r="F21" i="441"/>
  <c r="C21" i="441"/>
  <c r="C51" i="441" s="1"/>
  <c r="E19" i="441"/>
  <c r="E21" i="441" s="1"/>
  <c r="E50" i="440"/>
  <c r="E49" i="440"/>
  <c r="E48" i="440"/>
  <c r="P46" i="440"/>
  <c r="E46" i="440"/>
  <c r="Q44" i="440"/>
  <c r="P44" i="440"/>
  <c r="O44" i="440"/>
  <c r="N44" i="440"/>
  <c r="N51" i="440" s="1"/>
  <c r="M44" i="440"/>
  <c r="L44" i="440"/>
  <c r="K44" i="440"/>
  <c r="J44" i="440"/>
  <c r="J51" i="440" s="1"/>
  <c r="I44" i="440"/>
  <c r="G44" i="440"/>
  <c r="F44" i="440"/>
  <c r="F51" i="440" s="1"/>
  <c r="D44" i="440"/>
  <c r="C44" i="440"/>
  <c r="H42" i="440"/>
  <c r="E42" i="440" s="1"/>
  <c r="E41" i="440"/>
  <c r="E40" i="440"/>
  <c r="E39" i="440"/>
  <c r="E38" i="440"/>
  <c r="E44" i="440" s="1"/>
  <c r="Q36" i="440"/>
  <c r="Q51" i="440" s="1"/>
  <c r="O36" i="440"/>
  <c r="N36" i="440"/>
  <c r="M36" i="440"/>
  <c r="L36" i="440"/>
  <c r="K36" i="440"/>
  <c r="J36" i="440"/>
  <c r="I36" i="440"/>
  <c r="H36" i="440"/>
  <c r="G36" i="440"/>
  <c r="F36" i="440"/>
  <c r="D36" i="440"/>
  <c r="C36" i="440"/>
  <c r="E34" i="440"/>
  <c r="G33" i="440"/>
  <c r="E33" i="440" s="1"/>
  <c r="E32" i="440"/>
  <c r="P31" i="440"/>
  <c r="E31" i="440"/>
  <c r="E30" i="440"/>
  <c r="E29" i="440"/>
  <c r="E28" i="440"/>
  <c r="E27" i="440"/>
  <c r="E26" i="440"/>
  <c r="E25" i="440"/>
  <c r="P24" i="440"/>
  <c r="P36" i="440" s="1"/>
  <c r="E24" i="440"/>
  <c r="E23" i="440"/>
  <c r="E36" i="440" s="1"/>
  <c r="P21" i="440"/>
  <c r="P51" i="440" s="1"/>
  <c r="O21" i="440"/>
  <c r="O51" i="440" s="1"/>
  <c r="N21" i="440"/>
  <c r="M21" i="440"/>
  <c r="M51" i="440" s="1"/>
  <c r="L21" i="440"/>
  <c r="L51" i="440" s="1"/>
  <c r="K21" i="440"/>
  <c r="K51" i="440" s="1"/>
  <c r="J21" i="440"/>
  <c r="I21" i="440"/>
  <c r="I51" i="440" s="1"/>
  <c r="H21" i="440"/>
  <c r="G21" i="440"/>
  <c r="G51" i="440" s="1"/>
  <c r="F21" i="440"/>
  <c r="D21" i="440"/>
  <c r="D51" i="440" s="1"/>
  <c r="C21" i="440"/>
  <c r="C51" i="440" s="1"/>
  <c r="E19" i="440"/>
  <c r="E21" i="440" s="1"/>
  <c r="E65" i="444" l="1"/>
  <c r="E69" i="443"/>
  <c r="F26" i="443"/>
  <c r="F52" i="443"/>
  <c r="F64" i="443"/>
  <c r="E51" i="440"/>
  <c r="E51" i="441"/>
  <c r="C42" i="442"/>
  <c r="D69" i="443"/>
  <c r="E97" i="444"/>
  <c r="E114" i="444" s="1"/>
  <c r="F38" i="444"/>
  <c r="F54" i="444"/>
  <c r="K42" i="442"/>
  <c r="I42" i="442"/>
  <c r="K38" i="442"/>
  <c r="F44" i="444"/>
  <c r="F60" i="444"/>
  <c r="D35" i="444"/>
  <c r="F35" i="444" s="1"/>
  <c r="D51" i="444"/>
  <c r="F51" i="444" s="1"/>
  <c r="K33" i="442"/>
  <c r="C69" i="443"/>
  <c r="F15" i="444"/>
  <c r="F30" i="444"/>
  <c r="D32" i="444"/>
  <c r="F32" i="444" s="1"/>
  <c r="F67" i="444"/>
  <c r="F68" i="444"/>
  <c r="H44" i="440"/>
  <c r="H51" i="440" s="1"/>
  <c r="D24" i="444"/>
  <c r="F24" i="444" s="1"/>
  <c r="D41" i="444"/>
  <c r="F41" i="444" s="1"/>
  <c r="D57" i="444"/>
  <c r="F57" i="444" s="1"/>
  <c r="F36" i="443"/>
  <c r="F19" i="444"/>
  <c r="F42" i="444"/>
  <c r="F58" i="444"/>
  <c r="F82" i="444"/>
  <c r="I114" i="444" l="1"/>
  <c r="D26" i="444"/>
  <c r="D65" i="444"/>
  <c r="F65" i="444" s="1"/>
  <c r="F69" i="443"/>
  <c r="D97" i="444" l="1"/>
  <c r="F26" i="444"/>
  <c r="F97" i="444" l="1"/>
  <c r="D114" i="444"/>
  <c r="F36" i="385"/>
  <c r="F248" i="404"/>
  <c r="F254" i="404"/>
  <c r="F255" i="404"/>
  <c r="F256" i="404"/>
  <c r="F257" i="404"/>
  <c r="F258" i="404"/>
  <c r="F218" i="404"/>
  <c r="E220" i="404"/>
  <c r="D220" i="404"/>
  <c r="C220" i="404"/>
  <c r="E214" i="404"/>
  <c r="D214" i="404"/>
  <c r="C214" i="404"/>
  <c r="F212" i="404"/>
  <c r="F193" i="404"/>
  <c r="F194" i="404"/>
  <c r="F149" i="404"/>
  <c r="F71" i="404"/>
  <c r="D105" i="403"/>
  <c r="E103" i="403"/>
  <c r="F103" i="403" s="1"/>
  <c r="C103" i="403"/>
  <c r="C105" i="403" s="1"/>
  <c r="F100" i="403"/>
  <c r="F75" i="403"/>
  <c r="F76" i="403"/>
  <c r="F77" i="403"/>
  <c r="E23" i="317"/>
  <c r="C23" i="317"/>
  <c r="D23" i="317"/>
  <c r="F28" i="317"/>
  <c r="F20" i="315"/>
  <c r="F21" i="315"/>
  <c r="F22" i="315"/>
  <c r="F23" i="315"/>
  <c r="F58" i="316"/>
  <c r="F59" i="316"/>
  <c r="F24" i="314"/>
  <c r="BG17" i="301"/>
  <c r="BF17" i="301"/>
  <c r="BD17" i="302"/>
  <c r="H114" i="444" l="1"/>
  <c r="F114" i="444"/>
  <c r="F214" i="404"/>
  <c r="F220" i="404"/>
  <c r="E105" i="403"/>
  <c r="F105" i="403" s="1"/>
  <c r="D71" i="351" l="1"/>
  <c r="C70" i="351"/>
  <c r="DH80" i="302" l="1"/>
  <c r="CT88" i="302"/>
  <c r="CT87" i="302" s="1"/>
  <c r="CS88" i="302"/>
  <c r="CR88" i="302"/>
  <c r="CS87" i="302"/>
  <c r="CR87" i="302"/>
  <c r="CT82" i="302"/>
  <c r="CS82" i="302"/>
  <c r="CR82" i="302"/>
  <c r="CT75" i="302"/>
  <c r="CS75" i="302"/>
  <c r="CR75" i="302"/>
  <c r="CT70" i="302"/>
  <c r="CT69" i="302" s="1"/>
  <c r="CT67" i="302" s="1"/>
  <c r="CS70" i="302"/>
  <c r="CS69" i="302" s="1"/>
  <c r="CS67" i="302" s="1"/>
  <c r="CS60" i="302" s="1"/>
  <c r="CR70" i="302"/>
  <c r="CR69" i="302"/>
  <c r="CR67" i="302" s="1"/>
  <c r="CR60" i="302" s="1"/>
  <c r="CT61" i="302"/>
  <c r="CS61" i="302"/>
  <c r="CR61" i="302"/>
  <c r="CT47" i="302"/>
  <c r="CS47" i="302"/>
  <c r="CR47" i="302"/>
  <c r="CT42" i="302"/>
  <c r="CS42" i="302"/>
  <c r="CR42" i="302"/>
  <c r="CT34" i="302"/>
  <c r="CS34" i="302"/>
  <c r="CR34" i="302"/>
  <c r="CT27" i="302"/>
  <c r="CT26" i="302" s="1"/>
  <c r="CS27" i="302"/>
  <c r="CS26" i="302" s="1"/>
  <c r="CS12" i="302" s="1"/>
  <c r="CS86" i="302" s="1"/>
  <c r="CS95" i="302" s="1"/>
  <c r="CR27" i="302"/>
  <c r="CR26" i="302"/>
  <c r="CT14" i="302"/>
  <c r="CS14" i="302"/>
  <c r="CR14" i="302"/>
  <c r="CR13" i="302" s="1"/>
  <c r="CR12" i="302" s="1"/>
  <c r="CT13" i="302"/>
  <c r="CS13" i="302"/>
  <c r="CT60" i="302" l="1"/>
  <c r="CT12" i="302"/>
  <c r="CT86" i="302" s="1"/>
  <c r="CT95" i="302" s="1"/>
  <c r="CR86" i="302"/>
  <c r="CR95" i="302" s="1"/>
  <c r="BC17" i="302" l="1"/>
  <c r="D29" i="350" l="1"/>
  <c r="CW19" i="301"/>
  <c r="CV19" i="301"/>
  <c r="CU19" i="301"/>
  <c r="CW18" i="301"/>
  <c r="CV18" i="301"/>
  <c r="CU18" i="301"/>
  <c r="CW17" i="301"/>
  <c r="CV17" i="301"/>
  <c r="CU17" i="301"/>
  <c r="CW16" i="301"/>
  <c r="CV16" i="301"/>
  <c r="CU16" i="301"/>
  <c r="CW15" i="301"/>
  <c r="CV15" i="301"/>
  <c r="CU15" i="301"/>
  <c r="CW30" i="301"/>
  <c r="CV30" i="301"/>
  <c r="CU30" i="301"/>
  <c r="CW29" i="301"/>
  <c r="CV29" i="301"/>
  <c r="CU29" i="301"/>
  <c r="CW28" i="301"/>
  <c r="CV28" i="301"/>
  <c r="CU28" i="301"/>
  <c r="CW27" i="301"/>
  <c r="CV27" i="301"/>
  <c r="CU27" i="301"/>
  <c r="CW26" i="301"/>
  <c r="CV26" i="301"/>
  <c r="CU26" i="301"/>
  <c r="CW25" i="301"/>
  <c r="CV25" i="301"/>
  <c r="CU25" i="301"/>
  <c r="CW24" i="301"/>
  <c r="CV24" i="301"/>
  <c r="CU24" i="301"/>
  <c r="CW23" i="301"/>
  <c r="CV23" i="301"/>
  <c r="CU23" i="301"/>
  <c r="CW22" i="301"/>
  <c r="CV22" i="301"/>
  <c r="CU22" i="301"/>
  <c r="CW21" i="301"/>
  <c r="CV21" i="301"/>
  <c r="CU21" i="301"/>
  <c r="CW57" i="301"/>
  <c r="CV57" i="301"/>
  <c r="CU57" i="301"/>
  <c r="CW56" i="301"/>
  <c r="CV56" i="301"/>
  <c r="CU56" i="301"/>
  <c r="CW54" i="301"/>
  <c r="CV54" i="301"/>
  <c r="CU54" i="301"/>
  <c r="CW53" i="301"/>
  <c r="CV53" i="301"/>
  <c r="CU53" i="301"/>
  <c r="CW52" i="301"/>
  <c r="CV52" i="301"/>
  <c r="CU52" i="301"/>
  <c r="CW51" i="301"/>
  <c r="CV51" i="301"/>
  <c r="CU51" i="301"/>
  <c r="CW50" i="301"/>
  <c r="CV50" i="301"/>
  <c r="CU50" i="301"/>
  <c r="CW49" i="301"/>
  <c r="CV49" i="301"/>
  <c r="CU49" i="301"/>
  <c r="CW48" i="301"/>
  <c r="CV48" i="301"/>
  <c r="CU48" i="301"/>
  <c r="CW47" i="301"/>
  <c r="CV47" i="301"/>
  <c r="CU47" i="301"/>
  <c r="CW46" i="301"/>
  <c r="CV46" i="301"/>
  <c r="CU46" i="301"/>
  <c r="CW42" i="301"/>
  <c r="CV42" i="301"/>
  <c r="CU42" i="301"/>
  <c r="CW41" i="301"/>
  <c r="CV41" i="301"/>
  <c r="CU41" i="301"/>
  <c r="CW40" i="301"/>
  <c r="CV40" i="301"/>
  <c r="CU40" i="301"/>
  <c r="CW39" i="301"/>
  <c r="CV39" i="301"/>
  <c r="CU39" i="301"/>
  <c r="CW38" i="301"/>
  <c r="CV38" i="301"/>
  <c r="CU38" i="301"/>
  <c r="CW37" i="301"/>
  <c r="CV37" i="301"/>
  <c r="CU37" i="301"/>
  <c r="CW36" i="301"/>
  <c r="CV36" i="301"/>
  <c r="CU36" i="301"/>
  <c r="CW35" i="301"/>
  <c r="CV35" i="301"/>
  <c r="CU35" i="301"/>
  <c r="CW33" i="301"/>
  <c r="CV33" i="301"/>
  <c r="CU33" i="301"/>
  <c r="CW32" i="301"/>
  <c r="CV32" i="301"/>
  <c r="CU32" i="301"/>
  <c r="CU31" i="301"/>
  <c r="CV31" i="301"/>
  <c r="CT45" i="301"/>
  <c r="CT44" i="301" s="1"/>
  <c r="CS45" i="301"/>
  <c r="CS44" i="301" s="1"/>
  <c r="CR45" i="301"/>
  <c r="CR44" i="301" s="1"/>
  <c r="CT34" i="301"/>
  <c r="CT31" i="301" s="1"/>
  <c r="CS34" i="301"/>
  <c r="CS31" i="301" s="1"/>
  <c r="CR34" i="301"/>
  <c r="CR31" i="301"/>
  <c r="CT20" i="301"/>
  <c r="CS20" i="301"/>
  <c r="CS14" i="301" s="1"/>
  <c r="CR20" i="301"/>
  <c r="CR14" i="301" s="1"/>
  <c r="CT14" i="301"/>
  <c r="CJ30" i="301"/>
  <c r="CD30" i="301"/>
  <c r="BC30" i="301"/>
  <c r="CT55" i="301" l="1"/>
  <c r="CR55" i="301"/>
  <c r="CR43" i="301"/>
  <c r="CS43" i="301"/>
  <c r="CS55" i="301"/>
  <c r="CT43" i="301"/>
  <c r="DN47" i="302" l="1"/>
  <c r="DR88" i="302"/>
  <c r="DQ88" i="302"/>
  <c r="DQ87" i="302" s="1"/>
  <c r="DO88" i="302"/>
  <c r="DO87" i="302" s="1"/>
  <c r="W20" i="423" l="1"/>
  <c r="C21" i="423"/>
  <c r="E19" i="422"/>
  <c r="E15" i="422"/>
  <c r="E13" i="422"/>
  <c r="E12" i="422"/>
  <c r="CW20" i="302" l="1"/>
  <c r="CV20" i="302"/>
  <c r="CU20" i="302"/>
  <c r="CW19" i="302"/>
  <c r="CV19" i="302"/>
  <c r="CU19" i="302"/>
  <c r="CW18" i="302"/>
  <c r="CV18" i="302"/>
  <c r="CU18" i="302"/>
  <c r="CW17" i="302"/>
  <c r="CV17" i="302"/>
  <c r="CU17" i="302"/>
  <c r="CW16" i="302"/>
  <c r="CV16" i="302"/>
  <c r="CU16" i="302"/>
  <c r="CW15" i="302"/>
  <c r="CV15" i="302"/>
  <c r="CU15" i="302"/>
  <c r="CW25" i="302"/>
  <c r="CV25" i="302"/>
  <c r="CU25" i="302"/>
  <c r="CW24" i="302"/>
  <c r="CV24" i="302"/>
  <c r="CU24" i="302"/>
  <c r="CW23" i="302"/>
  <c r="CV23" i="302"/>
  <c r="CU23" i="302"/>
  <c r="CW22" i="302"/>
  <c r="CV22" i="302"/>
  <c r="CU22" i="302"/>
  <c r="CW21" i="302"/>
  <c r="CV21" i="302"/>
  <c r="CU21" i="302"/>
  <c r="CW33" i="302"/>
  <c r="CV33" i="302"/>
  <c r="CU33" i="302"/>
  <c r="CW32" i="302"/>
  <c r="CV32" i="302"/>
  <c r="CU32" i="302"/>
  <c r="CW31" i="302"/>
  <c r="CV31" i="302"/>
  <c r="CU31" i="302"/>
  <c r="CW30" i="302"/>
  <c r="CV30" i="302"/>
  <c r="CU30" i="302"/>
  <c r="CW29" i="302"/>
  <c r="CV29" i="302"/>
  <c r="CU29" i="302"/>
  <c r="CW28" i="302"/>
  <c r="CV28" i="302"/>
  <c r="CU28" i="302"/>
  <c r="CW41" i="302"/>
  <c r="CV41" i="302"/>
  <c r="CU41" i="302"/>
  <c r="CW40" i="302"/>
  <c r="CV40" i="302"/>
  <c r="CU40" i="302"/>
  <c r="CW39" i="302"/>
  <c r="CV39" i="302"/>
  <c r="CU39" i="302"/>
  <c r="CW38" i="302"/>
  <c r="CV38" i="302"/>
  <c r="CU38" i="302"/>
  <c r="CW37" i="302"/>
  <c r="CV37" i="302"/>
  <c r="CU37" i="302"/>
  <c r="CW36" i="302"/>
  <c r="CV36" i="302"/>
  <c r="CU36" i="302"/>
  <c r="CW35" i="302"/>
  <c r="CV35" i="302"/>
  <c r="CU35" i="302"/>
  <c r="CW46" i="302"/>
  <c r="CV46" i="302"/>
  <c r="CU46" i="302"/>
  <c r="CW45" i="302"/>
  <c r="CV45" i="302"/>
  <c r="CU45" i="302"/>
  <c r="CW44" i="302"/>
  <c r="CV44" i="302"/>
  <c r="CU44" i="302"/>
  <c r="CW43" i="302"/>
  <c r="CV43" i="302"/>
  <c r="CU43" i="302"/>
  <c r="CW51" i="302"/>
  <c r="CV51" i="302"/>
  <c r="CU51" i="302"/>
  <c r="CW50" i="302"/>
  <c r="CV50" i="302"/>
  <c r="CU50" i="302"/>
  <c r="CW49" i="302"/>
  <c r="CV49" i="302"/>
  <c r="CU49" i="302"/>
  <c r="CW48" i="302"/>
  <c r="CV48" i="302"/>
  <c r="CU48" i="302"/>
  <c r="CW94" i="302"/>
  <c r="CV94" i="302"/>
  <c r="CU94" i="302"/>
  <c r="CW93" i="302"/>
  <c r="CV93" i="302"/>
  <c r="CU93" i="302"/>
  <c r="CW92" i="302"/>
  <c r="CV92" i="302"/>
  <c r="CU92" i="302"/>
  <c r="CW91" i="302"/>
  <c r="CV91" i="302"/>
  <c r="CU91" i="302"/>
  <c r="CW90" i="302"/>
  <c r="CV90" i="302"/>
  <c r="CU90" i="302"/>
  <c r="CW89" i="302"/>
  <c r="CV89" i="302"/>
  <c r="CU89" i="302"/>
  <c r="CW85" i="302"/>
  <c r="CV85" i="302"/>
  <c r="CU85" i="302"/>
  <c r="CW84" i="302"/>
  <c r="CV84" i="302"/>
  <c r="CU84" i="302"/>
  <c r="CW83" i="302"/>
  <c r="CV83" i="302"/>
  <c r="CU83" i="302"/>
  <c r="CW81" i="302"/>
  <c r="CV81" i="302"/>
  <c r="CU81" i="302"/>
  <c r="CW80" i="302"/>
  <c r="CV80" i="302"/>
  <c r="CU80" i="302"/>
  <c r="CW79" i="302"/>
  <c r="CV79" i="302"/>
  <c r="CU79" i="302"/>
  <c r="CW78" i="302"/>
  <c r="CV78" i="302"/>
  <c r="CU78" i="302"/>
  <c r="CW77" i="302"/>
  <c r="CV77" i="302"/>
  <c r="CU77" i="302"/>
  <c r="CW76" i="302"/>
  <c r="CV76" i="302"/>
  <c r="CU76" i="302"/>
  <c r="CW74" i="302"/>
  <c r="CV74" i="302"/>
  <c r="CU74" i="302"/>
  <c r="CW73" i="302"/>
  <c r="CV73" i="302"/>
  <c r="CU73" i="302"/>
  <c r="CW72" i="302"/>
  <c r="CV72" i="302"/>
  <c r="CU72" i="302"/>
  <c r="CW71" i="302"/>
  <c r="CV71" i="302"/>
  <c r="CU71" i="302"/>
  <c r="CW68" i="302"/>
  <c r="CV68" i="302"/>
  <c r="CU68" i="302"/>
  <c r="CW66" i="302"/>
  <c r="CV66" i="302"/>
  <c r="CU66" i="302"/>
  <c r="CW65" i="302"/>
  <c r="CV65" i="302"/>
  <c r="CU65" i="302"/>
  <c r="CW64" i="302"/>
  <c r="CV64" i="302"/>
  <c r="CU64" i="302"/>
  <c r="CW63" i="302"/>
  <c r="CV63" i="302"/>
  <c r="CU63" i="302"/>
  <c r="CW62" i="302"/>
  <c r="CV62" i="302"/>
  <c r="CU62" i="302"/>
  <c r="CW59" i="302"/>
  <c r="CV59" i="302"/>
  <c r="CU59" i="302"/>
  <c r="CW58" i="302"/>
  <c r="CV58" i="302"/>
  <c r="CU58" i="302"/>
  <c r="CW57" i="302"/>
  <c r="CV57" i="302"/>
  <c r="CU57" i="302"/>
  <c r="CW56" i="302"/>
  <c r="CV56" i="302"/>
  <c r="CU56" i="302"/>
  <c r="CW55" i="302"/>
  <c r="CV55" i="302"/>
  <c r="CU55" i="302"/>
  <c r="CW54" i="302"/>
  <c r="CV54" i="302"/>
  <c r="CU54" i="302"/>
  <c r="CW53" i="302"/>
  <c r="CV53" i="302"/>
  <c r="CU53" i="302"/>
  <c r="CW52" i="302"/>
  <c r="CV52" i="302"/>
  <c r="CU52" i="302"/>
  <c r="CQ88" i="302"/>
  <c r="CQ87" i="302" s="1"/>
  <c r="CP88" i="302"/>
  <c r="CP87" i="302" s="1"/>
  <c r="CO88" i="302"/>
  <c r="CO87" i="302" s="1"/>
  <c r="CQ82" i="302"/>
  <c r="CP82" i="302"/>
  <c r="CO82" i="302"/>
  <c r="CQ75" i="302"/>
  <c r="CP75" i="302"/>
  <c r="CO75" i="302"/>
  <c r="CQ70" i="302"/>
  <c r="CP70" i="302"/>
  <c r="CO70" i="302"/>
  <c r="CQ61" i="302"/>
  <c r="CP61" i="302"/>
  <c r="CO61" i="302"/>
  <c r="CQ47" i="302"/>
  <c r="CP47" i="302"/>
  <c r="CO47" i="302"/>
  <c r="CQ42" i="302"/>
  <c r="CQ26" i="302" s="1"/>
  <c r="CP42" i="302"/>
  <c r="CO42" i="302"/>
  <c r="CQ34" i="302"/>
  <c r="CP34" i="302"/>
  <c r="CO34" i="302"/>
  <c r="CQ27" i="302"/>
  <c r="CP27" i="302"/>
  <c r="CO27" i="302"/>
  <c r="CP26" i="302"/>
  <c r="CO26" i="302"/>
  <c r="CQ14" i="302"/>
  <c r="CP14" i="302"/>
  <c r="CP13" i="302" s="1"/>
  <c r="CO14" i="302"/>
  <c r="CO13" i="302" s="1"/>
  <c r="CQ13" i="302"/>
  <c r="CO69" i="302" l="1"/>
  <c r="CO67" i="302" s="1"/>
  <c r="CP69" i="302"/>
  <c r="CP67" i="302" s="1"/>
  <c r="CP60" i="302" s="1"/>
  <c r="CQ69" i="302"/>
  <c r="CQ67" i="302" s="1"/>
  <c r="CQ60" i="302" s="1"/>
  <c r="CO60" i="302"/>
  <c r="CQ12" i="302"/>
  <c r="CO12" i="302"/>
  <c r="CO86" i="302" s="1"/>
  <c r="CO95" i="302" s="1"/>
  <c r="CP12" i="302"/>
  <c r="CP86" i="302" s="1"/>
  <c r="CP95" i="302" s="1"/>
  <c r="CQ86" i="302" l="1"/>
  <c r="CQ95" i="302" s="1"/>
  <c r="DJ74" i="302"/>
  <c r="DK74" i="302"/>
  <c r="DL74" i="302"/>
  <c r="CX74" i="302"/>
  <c r="DS74" i="302" s="1"/>
  <c r="C75" i="351" s="1"/>
  <c r="BG70" i="302"/>
  <c r="BF70" i="302"/>
  <c r="BE70" i="302"/>
  <c r="BH74" i="302"/>
  <c r="BI74" i="302"/>
  <c r="CY74" i="302" s="1"/>
  <c r="DT74" i="302" s="1"/>
  <c r="D75" i="351" s="1"/>
  <c r="BJ74" i="302"/>
  <c r="CZ74" i="302" s="1"/>
  <c r="DU74" i="302" s="1"/>
  <c r="DV74" i="302" l="1"/>
  <c r="E75" i="351"/>
  <c r="F75" i="351" s="1"/>
  <c r="DJ56" i="301" l="1"/>
  <c r="CQ45" i="301" l="1"/>
  <c r="CQ44" i="301" s="1"/>
  <c r="CP45" i="301"/>
  <c r="CP44" i="301" s="1"/>
  <c r="CO45" i="301"/>
  <c r="CO44" i="301" s="1"/>
  <c r="CQ34" i="301"/>
  <c r="CQ31" i="301" s="1"/>
  <c r="CP34" i="301"/>
  <c r="CP31" i="301" s="1"/>
  <c r="CO34" i="301"/>
  <c r="CO31" i="301" s="1"/>
  <c r="CQ20" i="301"/>
  <c r="CQ14" i="301" s="1"/>
  <c r="CP20" i="301"/>
  <c r="CP14" i="301" s="1"/>
  <c r="CO20" i="301"/>
  <c r="CO14" i="301" s="1"/>
  <c r="CP55" i="301" l="1"/>
  <c r="CO55" i="301"/>
  <c r="CQ55" i="301"/>
  <c r="CO43" i="301"/>
  <c r="CP43" i="301"/>
  <c r="CQ43" i="301"/>
  <c r="W14" i="423"/>
  <c r="W16" i="423"/>
  <c r="E14" i="422"/>
  <c r="F50" i="314" l="1"/>
  <c r="F51" i="314"/>
  <c r="F38" i="314"/>
  <c r="E14" i="314"/>
  <c r="F28" i="315"/>
  <c r="F251" i="404"/>
  <c r="F252" i="404"/>
  <c r="F253" i="404"/>
  <c r="F148" i="404"/>
  <c r="F150" i="404"/>
  <c r="F82" i="404"/>
  <c r="F72" i="404"/>
  <c r="F36" i="404"/>
  <c r="F37" i="404"/>
  <c r="F38" i="404"/>
  <c r="F39" i="404"/>
  <c r="F40" i="404"/>
  <c r="F41" i="404"/>
  <c r="F42" i="404"/>
  <c r="F43" i="404"/>
  <c r="F22" i="404"/>
  <c r="F23" i="404"/>
  <c r="F206" i="404" l="1"/>
  <c r="C208" i="404"/>
  <c r="E208" i="404"/>
  <c r="D208" i="404"/>
  <c r="D46" i="404"/>
  <c r="C37" i="403"/>
  <c r="G37" i="403" s="1"/>
  <c r="E37" i="403"/>
  <c r="D37" i="403"/>
  <c r="H37" i="403" s="1"/>
  <c r="F35" i="403"/>
  <c r="F24" i="316"/>
  <c r="D35" i="315"/>
  <c r="F60" i="314"/>
  <c r="F57" i="314"/>
  <c r="D14" i="314"/>
  <c r="F18" i="314"/>
  <c r="F208" i="404" l="1"/>
  <c r="F37" i="403"/>
  <c r="I37" i="403"/>
  <c r="DO82" i="302"/>
  <c r="CN88" i="302" l="1"/>
  <c r="CN87" i="302" s="1"/>
  <c r="CM88" i="302"/>
  <c r="CM87" i="302" s="1"/>
  <c r="CL88" i="302"/>
  <c r="CL87" i="302" s="1"/>
  <c r="CN82" i="302"/>
  <c r="CM82" i="302"/>
  <c r="CL82" i="302"/>
  <c r="CN75" i="302"/>
  <c r="CM75" i="302"/>
  <c r="CL75" i="302"/>
  <c r="CN70" i="302"/>
  <c r="CM70" i="302"/>
  <c r="CL70" i="302"/>
  <c r="CL69" i="302" s="1"/>
  <c r="CL67" i="302" s="1"/>
  <c r="CN61" i="302"/>
  <c r="CM61" i="302"/>
  <c r="CL61" i="302"/>
  <c r="CN47" i="302"/>
  <c r="CM47" i="302"/>
  <c r="CL47" i="302"/>
  <c r="CN42" i="302"/>
  <c r="CM42" i="302"/>
  <c r="CL42" i="302"/>
  <c r="CN34" i="302"/>
  <c r="CM34" i="302"/>
  <c r="CL34" i="302"/>
  <c r="CN27" i="302"/>
  <c r="CM27" i="302"/>
  <c r="CL27" i="302"/>
  <c r="CN14" i="302"/>
  <c r="CN13" i="302" s="1"/>
  <c r="CM14" i="302"/>
  <c r="CM13" i="302" s="1"/>
  <c r="CL14" i="302"/>
  <c r="CL13" i="302" s="1"/>
  <c r="CM69" i="302" l="1"/>
  <c r="CM67" i="302" s="1"/>
  <c r="CM60" i="302"/>
  <c r="CN69" i="302"/>
  <c r="CN67" i="302" s="1"/>
  <c r="CN60" i="302" s="1"/>
  <c r="CM26" i="302"/>
  <c r="CM12" i="302" s="1"/>
  <c r="CN26" i="302"/>
  <c r="CN12" i="302" s="1"/>
  <c r="CL60" i="302"/>
  <c r="CL26" i="302"/>
  <c r="CL12" i="302" s="1"/>
  <c r="DL45" i="302"/>
  <c r="DK45" i="302"/>
  <c r="DJ45" i="302"/>
  <c r="DL44" i="302"/>
  <c r="DK44" i="302"/>
  <c r="DJ44" i="302"/>
  <c r="BJ45" i="302"/>
  <c r="CZ45" i="302" s="1"/>
  <c r="BI45" i="302"/>
  <c r="CY45" i="302" s="1"/>
  <c r="DT45" i="302" s="1"/>
  <c r="D46" i="351" s="1"/>
  <c r="BH45" i="302"/>
  <c r="CX45" i="302" s="1"/>
  <c r="BJ44" i="302"/>
  <c r="CZ44" i="302" s="1"/>
  <c r="BI44" i="302"/>
  <c r="CY44" i="302" s="1"/>
  <c r="BH44" i="302"/>
  <c r="CX44" i="302" s="1"/>
  <c r="DS44" i="302" s="1"/>
  <c r="C45" i="351" s="1"/>
  <c r="BH46" i="302"/>
  <c r="CN86" i="302" l="1"/>
  <c r="CN95" i="302" s="1"/>
  <c r="CM86" i="302"/>
  <c r="CM95" i="302" s="1"/>
  <c r="DU45" i="302"/>
  <c r="E46" i="351" s="1"/>
  <c r="DT44" i="302"/>
  <c r="D45" i="351" s="1"/>
  <c r="DS45" i="302"/>
  <c r="C46" i="351" s="1"/>
  <c r="CL86" i="302"/>
  <c r="CL95" i="302" s="1"/>
  <c r="F46" i="351"/>
  <c r="DU44" i="302"/>
  <c r="E45" i="351" s="1"/>
  <c r="DL94" i="302"/>
  <c r="DK94" i="302"/>
  <c r="DJ94" i="302"/>
  <c r="DL93" i="302"/>
  <c r="DK93" i="302"/>
  <c r="DJ93" i="302"/>
  <c r="DL92" i="302"/>
  <c r="DK92" i="302"/>
  <c r="DJ92" i="302"/>
  <c r="DL91" i="302"/>
  <c r="DK91" i="302"/>
  <c r="DJ91" i="302"/>
  <c r="DL90" i="302"/>
  <c r="DK90" i="302"/>
  <c r="DJ90" i="302"/>
  <c r="DL89" i="302"/>
  <c r="DK89" i="302"/>
  <c r="DJ89" i="302"/>
  <c r="DL85" i="302"/>
  <c r="DK85" i="302"/>
  <c r="DJ85" i="302"/>
  <c r="DL84" i="302"/>
  <c r="DK84" i="302"/>
  <c r="DJ84" i="302"/>
  <c r="DL83" i="302"/>
  <c r="DK83" i="302"/>
  <c r="DJ83" i="302"/>
  <c r="DL81" i="302"/>
  <c r="DK81" i="302"/>
  <c r="DJ81" i="302"/>
  <c r="DL80" i="302"/>
  <c r="DK80" i="302"/>
  <c r="DJ80" i="302"/>
  <c r="DL79" i="302"/>
  <c r="DK79" i="302"/>
  <c r="DJ79" i="302"/>
  <c r="DL78" i="302"/>
  <c r="DK78" i="302"/>
  <c r="DJ78" i="302"/>
  <c r="DL77" i="302"/>
  <c r="DK77" i="302"/>
  <c r="DJ77" i="302"/>
  <c r="DL76" i="302"/>
  <c r="DK76" i="302"/>
  <c r="DJ76" i="302"/>
  <c r="DL73" i="302"/>
  <c r="DK73" i="302"/>
  <c r="DJ73" i="302"/>
  <c r="DL72" i="302"/>
  <c r="DK72" i="302"/>
  <c r="DJ72" i="302"/>
  <c r="DL71" i="302"/>
  <c r="DK71" i="302"/>
  <c r="DJ71" i="302"/>
  <c r="DL68" i="302"/>
  <c r="DK68" i="302"/>
  <c r="DJ68" i="302"/>
  <c r="DL66" i="302"/>
  <c r="DK66" i="302"/>
  <c r="DJ66" i="302"/>
  <c r="DL65" i="302"/>
  <c r="DK65" i="302"/>
  <c r="DJ65" i="302"/>
  <c r="DL64" i="302"/>
  <c r="DK64" i="302"/>
  <c r="DJ64" i="302"/>
  <c r="DL63" i="302"/>
  <c r="DK63" i="302"/>
  <c r="DJ63" i="302"/>
  <c r="DL62" i="302"/>
  <c r="DK62" i="302"/>
  <c r="DJ62" i="302"/>
  <c r="DL59" i="302"/>
  <c r="DK59" i="302"/>
  <c r="DJ59" i="302"/>
  <c r="DL58" i="302"/>
  <c r="DK58" i="302"/>
  <c r="DJ58" i="302"/>
  <c r="DL57" i="302"/>
  <c r="DK57" i="302"/>
  <c r="DJ57" i="302"/>
  <c r="DL56" i="302"/>
  <c r="DK56" i="302"/>
  <c r="DJ56" i="302"/>
  <c r="DL55" i="302"/>
  <c r="DK55" i="302"/>
  <c r="DJ55" i="302"/>
  <c r="DL54" i="302"/>
  <c r="DK54" i="302"/>
  <c r="DJ54" i="302"/>
  <c r="DL53" i="302"/>
  <c r="DK53" i="302"/>
  <c r="DJ53" i="302"/>
  <c r="DL52" i="302"/>
  <c r="DK52" i="302"/>
  <c r="DJ52" i="302"/>
  <c r="DL51" i="302"/>
  <c r="DK51" i="302"/>
  <c r="DJ51" i="302"/>
  <c r="DL50" i="302"/>
  <c r="DK50" i="302"/>
  <c r="DJ50" i="302"/>
  <c r="DL49" i="302"/>
  <c r="DK49" i="302"/>
  <c r="DJ49" i="302"/>
  <c r="DL48" i="302"/>
  <c r="DK48" i="302"/>
  <c r="DJ48" i="302"/>
  <c r="DL46" i="302"/>
  <c r="DK46" i="302"/>
  <c r="DJ46" i="302"/>
  <c r="DL43" i="302"/>
  <c r="DK43" i="302"/>
  <c r="DJ43" i="302"/>
  <c r="DL41" i="302"/>
  <c r="DK41" i="302"/>
  <c r="DJ41" i="302"/>
  <c r="DL40" i="302"/>
  <c r="DK40" i="302"/>
  <c r="DJ40" i="302"/>
  <c r="DL39" i="302"/>
  <c r="DK39" i="302"/>
  <c r="DJ39" i="302"/>
  <c r="DL38" i="302"/>
  <c r="DK38" i="302"/>
  <c r="DJ38" i="302"/>
  <c r="DL37" i="302"/>
  <c r="DK37" i="302"/>
  <c r="DJ37" i="302"/>
  <c r="DL36" i="302"/>
  <c r="DK36" i="302"/>
  <c r="DJ36" i="302"/>
  <c r="DL35" i="302"/>
  <c r="DK35" i="302"/>
  <c r="DJ35" i="302"/>
  <c r="DL33" i="302"/>
  <c r="DK33" i="302"/>
  <c r="DJ33" i="302"/>
  <c r="DL32" i="302"/>
  <c r="DK32" i="302"/>
  <c r="DJ32" i="302"/>
  <c r="DL31" i="302"/>
  <c r="DK31" i="302"/>
  <c r="DJ31" i="302"/>
  <c r="DL30" i="302"/>
  <c r="DK30" i="302"/>
  <c r="DJ30" i="302"/>
  <c r="DL29" i="302"/>
  <c r="DK29" i="302"/>
  <c r="DJ29" i="302"/>
  <c r="DL28" i="302"/>
  <c r="DK28" i="302"/>
  <c r="DJ28" i="302"/>
  <c r="DL25" i="302"/>
  <c r="DK25" i="302"/>
  <c r="DJ25" i="302"/>
  <c r="DL24" i="302"/>
  <c r="DK24" i="302"/>
  <c r="DJ24" i="302"/>
  <c r="DL23" i="302"/>
  <c r="DK23" i="302"/>
  <c r="DJ23" i="302"/>
  <c r="DL22" i="302"/>
  <c r="DK22" i="302"/>
  <c r="DJ22" i="302"/>
  <c r="DL21" i="302"/>
  <c r="DK21" i="302"/>
  <c r="DJ21" i="302"/>
  <c r="DL20" i="302"/>
  <c r="DK20" i="302"/>
  <c r="DJ20" i="302"/>
  <c r="DL19" i="302"/>
  <c r="DK19" i="302"/>
  <c r="DJ19" i="302"/>
  <c r="DL18" i="302"/>
  <c r="DK18" i="302"/>
  <c r="DJ18" i="302"/>
  <c r="DL17" i="302"/>
  <c r="DK17" i="302"/>
  <c r="DJ17" i="302"/>
  <c r="DL16" i="302"/>
  <c r="DK16" i="302"/>
  <c r="DJ16" i="302"/>
  <c r="DL15" i="302"/>
  <c r="DK15" i="302"/>
  <c r="DJ15" i="302"/>
  <c r="DV45" i="302" l="1"/>
  <c r="F45" i="351"/>
  <c r="DV44" i="302"/>
  <c r="CN45" i="301" l="1"/>
  <c r="CN44" i="301" s="1"/>
  <c r="CM45" i="301"/>
  <c r="CM44" i="301" s="1"/>
  <c r="CL45" i="301"/>
  <c r="CL44" i="301" s="1"/>
  <c r="CN34" i="301"/>
  <c r="CN31" i="301" s="1"/>
  <c r="CM34" i="301"/>
  <c r="CM31" i="301" s="1"/>
  <c r="CL34" i="301"/>
  <c r="CL31" i="301" s="1"/>
  <c r="CN20" i="301"/>
  <c r="CN14" i="301" s="1"/>
  <c r="CM20" i="301"/>
  <c r="CM14" i="301" s="1"/>
  <c r="CL20" i="301"/>
  <c r="CL14" i="301" s="1"/>
  <c r="DL57" i="301"/>
  <c r="DK57" i="301"/>
  <c r="DJ57" i="301"/>
  <c r="DL56" i="301"/>
  <c r="DK56" i="301"/>
  <c r="DL54" i="301"/>
  <c r="DK54" i="301"/>
  <c r="DJ54" i="301"/>
  <c r="DL53" i="301"/>
  <c r="DK53" i="301"/>
  <c r="DJ53" i="301"/>
  <c r="DL52" i="301"/>
  <c r="DK52" i="301"/>
  <c r="DJ52" i="301"/>
  <c r="DL51" i="301"/>
  <c r="DK51" i="301"/>
  <c r="DJ51" i="301"/>
  <c r="DL50" i="301"/>
  <c r="DK50" i="301"/>
  <c r="DJ50" i="301"/>
  <c r="DL49" i="301"/>
  <c r="DK49" i="301"/>
  <c r="DJ49" i="301"/>
  <c r="DL48" i="301"/>
  <c r="DK48" i="301"/>
  <c r="DJ48" i="301"/>
  <c r="DL47" i="301"/>
  <c r="DK47" i="301"/>
  <c r="DJ47" i="301"/>
  <c r="DL46" i="301"/>
  <c r="DK46" i="301"/>
  <c r="DJ46" i="301"/>
  <c r="DL42" i="301"/>
  <c r="DK42" i="301"/>
  <c r="DJ42" i="301"/>
  <c r="DL41" i="301"/>
  <c r="DK41" i="301"/>
  <c r="DJ41" i="301"/>
  <c r="DL40" i="301"/>
  <c r="DK40" i="301"/>
  <c r="DJ40" i="301"/>
  <c r="DL39" i="301"/>
  <c r="DK39" i="301"/>
  <c r="DJ39" i="301"/>
  <c r="DL38" i="301"/>
  <c r="DK38" i="301"/>
  <c r="DJ38" i="301"/>
  <c r="DL37" i="301"/>
  <c r="DK37" i="301"/>
  <c r="DJ37" i="301"/>
  <c r="DL36" i="301"/>
  <c r="DK36" i="301"/>
  <c r="DJ36" i="301"/>
  <c r="DL35" i="301"/>
  <c r="DK35" i="301"/>
  <c r="DJ35" i="301"/>
  <c r="DL33" i="301"/>
  <c r="DK33" i="301"/>
  <c r="DJ33" i="301"/>
  <c r="DL32" i="301"/>
  <c r="DK32" i="301"/>
  <c r="DJ32" i="301"/>
  <c r="DL30" i="301"/>
  <c r="DK30" i="301"/>
  <c r="DJ30" i="301"/>
  <c r="DL29" i="301"/>
  <c r="DK29" i="301"/>
  <c r="DJ29" i="301"/>
  <c r="DL28" i="301"/>
  <c r="DK28" i="301"/>
  <c r="DJ28" i="301"/>
  <c r="DL27" i="301"/>
  <c r="DK27" i="301"/>
  <c r="DJ27" i="301"/>
  <c r="DL26" i="301"/>
  <c r="DK26" i="301"/>
  <c r="DJ26" i="301"/>
  <c r="DL25" i="301"/>
  <c r="DK25" i="301"/>
  <c r="DJ25" i="301"/>
  <c r="DL24" i="301"/>
  <c r="DK24" i="301"/>
  <c r="DJ24" i="301"/>
  <c r="DL23" i="301"/>
  <c r="DK23" i="301"/>
  <c r="DJ23" i="301"/>
  <c r="DL22" i="301"/>
  <c r="DK22" i="301"/>
  <c r="DJ22" i="301"/>
  <c r="DL21" i="301"/>
  <c r="DK21" i="301"/>
  <c r="DJ21" i="301"/>
  <c r="DL19" i="301"/>
  <c r="DK19" i="301"/>
  <c r="DJ19" i="301"/>
  <c r="DL18" i="301"/>
  <c r="DK18" i="301"/>
  <c r="DJ18" i="301"/>
  <c r="DL17" i="301"/>
  <c r="DK17" i="301"/>
  <c r="DJ17" i="301"/>
  <c r="DL16" i="301"/>
  <c r="DK16" i="301"/>
  <c r="DJ16" i="301"/>
  <c r="DL15" i="301"/>
  <c r="DK15" i="301"/>
  <c r="DJ15" i="301"/>
  <c r="CN55" i="301" l="1"/>
  <c r="CN43" i="301"/>
  <c r="CL55" i="301"/>
  <c r="CM55" i="301"/>
  <c r="CM43" i="301"/>
  <c r="CL43" i="301"/>
  <c r="F143" i="404"/>
  <c r="F67" i="316"/>
  <c r="F53" i="316"/>
  <c r="F54" i="316"/>
  <c r="F55" i="316"/>
  <c r="F56" i="316"/>
  <c r="F57" i="316"/>
  <c r="F60" i="316"/>
  <c r="F24" i="315"/>
  <c r="H47" i="302"/>
  <c r="BJ17" i="301"/>
  <c r="F171" i="404"/>
  <c r="F147" i="404"/>
  <c r="DI88" i="302"/>
  <c r="DI87" i="302" s="1"/>
  <c r="DG88" i="302"/>
  <c r="DH88" i="302"/>
  <c r="BJ57" i="302"/>
  <c r="CZ57" i="302" s="1"/>
  <c r="DU57" i="302" s="1"/>
  <c r="E58" i="351" s="1"/>
  <c r="BH57" i="302"/>
  <c r="CX57" i="302" s="1"/>
  <c r="BI57" i="302"/>
  <c r="CY57" i="302" s="1"/>
  <c r="E173" i="404"/>
  <c r="I173" i="404" s="1"/>
  <c r="C173" i="404"/>
  <c r="G173" i="404" s="1"/>
  <c r="D173" i="404"/>
  <c r="H173" i="404" s="1"/>
  <c r="F21" i="404"/>
  <c r="F24" i="404"/>
  <c r="F25" i="404"/>
  <c r="F26" i="404"/>
  <c r="F27" i="404"/>
  <c r="F28" i="404"/>
  <c r="F29" i="404"/>
  <c r="F30" i="404"/>
  <c r="F31" i="404"/>
  <c r="F32" i="404"/>
  <c r="F33" i="404"/>
  <c r="F34" i="404"/>
  <c r="F35" i="404"/>
  <c r="F20" i="404"/>
  <c r="F112" i="403"/>
  <c r="F113" i="403"/>
  <c r="E26" i="316"/>
  <c r="C26" i="316"/>
  <c r="D26" i="316"/>
  <c r="F18" i="316"/>
  <c r="F23" i="314"/>
  <c r="DR87" i="302"/>
  <c r="DN88" i="302"/>
  <c r="DN87" i="302" s="1"/>
  <c r="F259" i="404"/>
  <c r="F145" i="404"/>
  <c r="F146" i="404"/>
  <c r="F115" i="404"/>
  <c r="F116" i="404"/>
  <c r="F23" i="403"/>
  <c r="C25" i="403"/>
  <c r="F37" i="387"/>
  <c r="W18" i="423"/>
  <c r="W13" i="423"/>
  <c r="S18" i="423"/>
  <c r="T18" i="423"/>
  <c r="U18" i="423"/>
  <c r="V18" i="423"/>
  <c r="M18" i="423"/>
  <c r="N18" i="423"/>
  <c r="O18" i="423"/>
  <c r="P18" i="423"/>
  <c r="Q18" i="423"/>
  <c r="R18" i="423"/>
  <c r="F18" i="423"/>
  <c r="G18" i="423"/>
  <c r="H18" i="423"/>
  <c r="I18" i="423"/>
  <c r="J18" i="423"/>
  <c r="K18" i="423"/>
  <c r="L18" i="423"/>
  <c r="C18" i="423"/>
  <c r="U15" i="423"/>
  <c r="U19" i="423" s="1"/>
  <c r="U21" i="423" s="1"/>
  <c r="V15" i="423"/>
  <c r="M15" i="423"/>
  <c r="M19" i="423" s="1"/>
  <c r="M21" i="423" s="1"/>
  <c r="N15" i="423"/>
  <c r="O15" i="423"/>
  <c r="O19" i="423" s="1"/>
  <c r="O21" i="423" s="1"/>
  <c r="P15" i="423"/>
  <c r="P19" i="423" s="1"/>
  <c r="P21" i="423" s="1"/>
  <c r="Q15" i="423"/>
  <c r="Q19" i="423" s="1"/>
  <c r="Q21" i="423" s="1"/>
  <c r="R15" i="423"/>
  <c r="S15" i="423"/>
  <c r="T15" i="423"/>
  <c r="F15" i="423"/>
  <c r="G15" i="423"/>
  <c r="H15" i="423"/>
  <c r="I15" i="423"/>
  <c r="J15" i="423"/>
  <c r="K15" i="423"/>
  <c r="L15" i="423"/>
  <c r="D15" i="423"/>
  <c r="C15" i="423"/>
  <c r="E18" i="423"/>
  <c r="D18" i="423"/>
  <c r="E15" i="423"/>
  <c r="F19" i="422"/>
  <c r="F16" i="422"/>
  <c r="F15" i="422"/>
  <c r="E17" i="422"/>
  <c r="D17" i="422"/>
  <c r="D14" i="422"/>
  <c r="C14" i="422"/>
  <c r="F13" i="422"/>
  <c r="F12" i="422"/>
  <c r="BJ32" i="302"/>
  <c r="BJ25" i="302"/>
  <c r="CZ25" i="302" s="1"/>
  <c r="DU25" i="302" s="1"/>
  <c r="DR47" i="302"/>
  <c r="F243" i="404"/>
  <c r="F244" i="404"/>
  <c r="F239" i="404"/>
  <c r="F195" i="404"/>
  <c r="F185" i="404"/>
  <c r="F114" i="404"/>
  <c r="F55" i="314"/>
  <c r="F56" i="314"/>
  <c r="F54" i="314"/>
  <c r="F49" i="314"/>
  <c r="F45" i="314"/>
  <c r="F41" i="314"/>
  <c r="E27" i="314"/>
  <c r="E69" i="314" s="1"/>
  <c r="DI34" i="302"/>
  <c r="BJ17" i="302"/>
  <c r="D39" i="385"/>
  <c r="F35" i="385"/>
  <c r="F247" i="404"/>
  <c r="F249" i="404"/>
  <c r="F250" i="404"/>
  <c r="F162" i="404"/>
  <c r="E164" i="404"/>
  <c r="I164" i="404" s="1"/>
  <c r="D164" i="404"/>
  <c r="C164" i="404"/>
  <c r="G164" i="404"/>
  <c r="F144" i="404"/>
  <c r="H158" i="404"/>
  <c r="I158" i="404"/>
  <c r="G158" i="404"/>
  <c r="F103" i="404"/>
  <c r="D85" i="404"/>
  <c r="H85" i="404" s="1"/>
  <c r="G25" i="403"/>
  <c r="E25" i="403"/>
  <c r="D25" i="403"/>
  <c r="F22" i="403"/>
  <c r="F26" i="387"/>
  <c r="F38" i="315"/>
  <c r="F39" i="315"/>
  <c r="F40" i="315"/>
  <c r="F25" i="315"/>
  <c r="F25" i="314"/>
  <c r="DB42" i="302"/>
  <c r="DP88" i="302"/>
  <c r="DP87" i="302" s="1"/>
  <c r="DM88" i="302"/>
  <c r="DH87" i="302"/>
  <c r="DG87" i="302"/>
  <c r="DF88" i="302"/>
  <c r="DF87" i="302" s="1"/>
  <c r="DE88" i="302"/>
  <c r="DE87" i="302" s="1"/>
  <c r="DD88" i="302"/>
  <c r="DD87" i="302" s="1"/>
  <c r="DC88" i="302"/>
  <c r="DB88" i="302"/>
  <c r="DA88" i="302"/>
  <c r="DJ88" i="302" s="1"/>
  <c r="E17" i="315"/>
  <c r="F22" i="314"/>
  <c r="F246" i="404"/>
  <c r="F113" i="404"/>
  <c r="F112" i="404"/>
  <c r="F111" i="404"/>
  <c r="E118" i="404"/>
  <c r="D118" i="404"/>
  <c r="H118" i="404" s="1"/>
  <c r="C118" i="404"/>
  <c r="G118" i="404" s="1"/>
  <c r="F102" i="404"/>
  <c r="E105" i="404"/>
  <c r="I105" i="404" s="1"/>
  <c r="D105" i="404"/>
  <c r="H105" i="404" s="1"/>
  <c r="C105" i="404"/>
  <c r="G105" i="404" s="1"/>
  <c r="F64" i="314"/>
  <c r="F65" i="314"/>
  <c r="C14" i="314"/>
  <c r="BG46" i="301"/>
  <c r="BF46" i="301"/>
  <c r="BF45" i="301" s="1"/>
  <c r="BF44" i="301" s="1"/>
  <c r="BI46" i="301"/>
  <c r="CY46" i="301" s="1"/>
  <c r="DT46" i="301" s="1"/>
  <c r="E79" i="403"/>
  <c r="D79" i="403"/>
  <c r="C79" i="403"/>
  <c r="F32" i="315"/>
  <c r="CU75" i="302"/>
  <c r="CU61" i="302"/>
  <c r="CV47" i="302"/>
  <c r="CW42" i="302"/>
  <c r="CU27" i="302"/>
  <c r="BJ94" i="302"/>
  <c r="BI94" i="302"/>
  <c r="CY94" i="302" s="1"/>
  <c r="DT94" i="302" s="1"/>
  <c r="D94" i="351" s="1"/>
  <c r="L48" i="402" s="1"/>
  <c r="BH94" i="302"/>
  <c r="CX94" i="302" s="1"/>
  <c r="DS94" i="302" s="1"/>
  <c r="C94" i="351" s="1"/>
  <c r="K48" i="402" s="1"/>
  <c r="BJ93" i="302"/>
  <c r="CZ93" i="302" s="1"/>
  <c r="BI93" i="302"/>
  <c r="CY93" i="302" s="1"/>
  <c r="BH93" i="302"/>
  <c r="BJ92" i="302"/>
  <c r="BI92" i="302"/>
  <c r="BH92" i="302"/>
  <c r="BJ91" i="302"/>
  <c r="CZ91" i="302" s="1"/>
  <c r="DU91" i="302" s="1"/>
  <c r="M38" i="402" s="1"/>
  <c r="BI91" i="302"/>
  <c r="BH91" i="302"/>
  <c r="BJ90" i="302"/>
  <c r="BJ88" i="302" s="1"/>
  <c r="BI90" i="302"/>
  <c r="CY90" i="302" s="1"/>
  <c r="BH90" i="302"/>
  <c r="CX90" i="302" s="1"/>
  <c r="BJ89" i="302"/>
  <c r="BI89" i="302"/>
  <c r="BH89" i="302"/>
  <c r="BJ59" i="302"/>
  <c r="CZ59" i="302" s="1"/>
  <c r="DU59" i="302" s="1"/>
  <c r="BI59" i="302"/>
  <c r="BH59" i="302"/>
  <c r="CX59" i="302" s="1"/>
  <c r="DS59" i="302" s="1"/>
  <c r="BJ68" i="302"/>
  <c r="BI68" i="302"/>
  <c r="CY68" i="302" s="1"/>
  <c r="BH68" i="302"/>
  <c r="BJ77" i="302"/>
  <c r="CZ77" i="302" s="1"/>
  <c r="DU77" i="302" s="1"/>
  <c r="E78" i="351" s="1"/>
  <c r="BI77" i="302"/>
  <c r="BH77" i="302"/>
  <c r="CX77" i="302" s="1"/>
  <c r="BJ76" i="302"/>
  <c r="CZ76" i="302" s="1"/>
  <c r="BI76" i="302"/>
  <c r="BH76" i="302"/>
  <c r="BH75" i="302" s="1"/>
  <c r="BJ58" i="302"/>
  <c r="BI58" i="302"/>
  <c r="BH58" i="302"/>
  <c r="BJ43" i="302"/>
  <c r="BI43" i="302"/>
  <c r="BH43" i="302"/>
  <c r="BJ46" i="302"/>
  <c r="BI46" i="302"/>
  <c r="BJ33" i="302"/>
  <c r="CZ33" i="302" s="1"/>
  <c r="DU33" i="302" s="1"/>
  <c r="BI33" i="302"/>
  <c r="BH33" i="302"/>
  <c r="CX33" i="302" s="1"/>
  <c r="DS33" i="302" s="1"/>
  <c r="C34" i="351" s="1"/>
  <c r="BI32" i="302"/>
  <c r="BH32" i="302"/>
  <c r="BJ31" i="302"/>
  <c r="BI31" i="302"/>
  <c r="BH31" i="302"/>
  <c r="BJ30" i="302"/>
  <c r="BI30" i="302"/>
  <c r="CY30" i="302" s="1"/>
  <c r="DT30" i="302" s="1"/>
  <c r="BH30" i="302"/>
  <c r="BJ29" i="302"/>
  <c r="BI29" i="302"/>
  <c r="BH29" i="302"/>
  <c r="CX29" i="302" s="1"/>
  <c r="DS29" i="302" s="1"/>
  <c r="C30" i="351" s="1"/>
  <c r="BJ28" i="302"/>
  <c r="CZ28" i="302" s="1"/>
  <c r="DU28" i="302" s="1"/>
  <c r="E29" i="351" s="1"/>
  <c r="BI28" i="302"/>
  <c r="BH28" i="302"/>
  <c r="BI25" i="302"/>
  <c r="BH25" i="302"/>
  <c r="CX25" i="302" s="1"/>
  <c r="DS25" i="302" s="1"/>
  <c r="BJ24" i="302"/>
  <c r="BI24" i="302"/>
  <c r="BH24" i="302"/>
  <c r="CX24" i="302" s="1"/>
  <c r="DS24" i="302" s="1"/>
  <c r="C25" i="351" s="1"/>
  <c r="BJ23" i="302"/>
  <c r="BI23" i="302"/>
  <c r="BH23" i="302"/>
  <c r="CX23" i="302" s="1"/>
  <c r="DS23" i="302" s="1"/>
  <c r="C24" i="351" s="1"/>
  <c r="BJ22" i="302"/>
  <c r="CZ22" i="302" s="1"/>
  <c r="DU22" i="302" s="1"/>
  <c r="E23" i="351" s="1"/>
  <c r="BI22" i="302"/>
  <c r="CY22" i="302" s="1"/>
  <c r="DT22" i="302" s="1"/>
  <c r="D23" i="351" s="1"/>
  <c r="BH22" i="302"/>
  <c r="BJ21" i="302"/>
  <c r="BI21" i="302"/>
  <c r="BH21" i="302"/>
  <c r="BH49" i="302"/>
  <c r="CX49" i="302" s="1"/>
  <c r="CK88" i="302"/>
  <c r="CK87" i="302" s="1"/>
  <c r="CJ88" i="302"/>
  <c r="CJ87" i="302" s="1"/>
  <c r="CI88" i="302"/>
  <c r="CI87" i="302" s="1"/>
  <c r="CH88" i="302"/>
  <c r="CH87" i="302" s="1"/>
  <c r="CG88" i="302"/>
  <c r="CF88" i="302"/>
  <c r="CF87" i="302" s="1"/>
  <c r="CE88" i="302"/>
  <c r="CE87" i="302" s="1"/>
  <c r="CD88" i="302"/>
  <c r="CD87" i="302" s="1"/>
  <c r="CC88" i="302"/>
  <c r="CC87" i="302" s="1"/>
  <c r="CB88" i="302"/>
  <c r="CB87" i="302" s="1"/>
  <c r="CA88" i="302"/>
  <c r="CA87" i="302" s="1"/>
  <c r="BZ88" i="302"/>
  <c r="BZ87" i="302" s="1"/>
  <c r="BY88" i="302"/>
  <c r="BY87" i="302" s="1"/>
  <c r="BX88" i="302"/>
  <c r="BX87" i="302" s="1"/>
  <c r="BW88" i="302"/>
  <c r="BW87" i="302" s="1"/>
  <c r="BV88" i="302"/>
  <c r="BV87" i="302" s="1"/>
  <c r="BU88" i="302"/>
  <c r="BU87" i="302" s="1"/>
  <c r="BT88" i="302"/>
  <c r="BT87" i="302" s="1"/>
  <c r="BS88" i="302"/>
  <c r="BS87" i="302" s="1"/>
  <c r="BR88" i="302"/>
  <c r="BR87" i="302" s="1"/>
  <c r="BQ88" i="302"/>
  <c r="BP88" i="302"/>
  <c r="BP87" i="302" s="1"/>
  <c r="BO88" i="302"/>
  <c r="BO87" i="302" s="1"/>
  <c r="BN88" i="302"/>
  <c r="BM88" i="302"/>
  <c r="BL88" i="302"/>
  <c r="BL87" i="302" s="1"/>
  <c r="BK88" i="302"/>
  <c r="BG88" i="302"/>
  <c r="BG87" i="302" s="1"/>
  <c r="BF88" i="302"/>
  <c r="BF87" i="302" s="1"/>
  <c r="BE88" i="302"/>
  <c r="BE87" i="302" s="1"/>
  <c r="BD88" i="302"/>
  <c r="BD87" i="302" s="1"/>
  <c r="BC88" i="302"/>
  <c r="BC87" i="302" s="1"/>
  <c r="BB88" i="302"/>
  <c r="BB87" i="302" s="1"/>
  <c r="BA88" i="302"/>
  <c r="BA87" i="302" s="1"/>
  <c r="AZ88" i="302"/>
  <c r="AZ87" i="302" s="1"/>
  <c r="AY88" i="302"/>
  <c r="AY87" i="302" s="1"/>
  <c r="AX88" i="302"/>
  <c r="AX87" i="302" s="1"/>
  <c r="AW88" i="302"/>
  <c r="AW87" i="302" s="1"/>
  <c r="AV88" i="302"/>
  <c r="AV87" i="302" s="1"/>
  <c r="AU88" i="302"/>
  <c r="AU87" i="302" s="1"/>
  <c r="AT88" i="302"/>
  <c r="AT87" i="302" s="1"/>
  <c r="AS88" i="302"/>
  <c r="AS87" i="302" s="1"/>
  <c r="AR88" i="302"/>
  <c r="AR87" i="302" s="1"/>
  <c r="AQ88" i="302"/>
  <c r="AQ87" i="302" s="1"/>
  <c r="AP88" i="302"/>
  <c r="AP87" i="302" s="1"/>
  <c r="AO88" i="302"/>
  <c r="AO87" i="302" s="1"/>
  <c r="AN88" i="302"/>
  <c r="AN87" i="302" s="1"/>
  <c r="AM88" i="302"/>
  <c r="AL88" i="302"/>
  <c r="AL87" i="302" s="1"/>
  <c r="AK88" i="302"/>
  <c r="AK87" i="302" s="1"/>
  <c r="AJ88" i="302"/>
  <c r="AJ87" i="302" s="1"/>
  <c r="AI88" i="302"/>
  <c r="AI87" i="302" s="1"/>
  <c r="AH88" i="302"/>
  <c r="AH87" i="302" s="1"/>
  <c r="AG88" i="302"/>
  <c r="AG87" i="302" s="1"/>
  <c r="AF88" i="302"/>
  <c r="AF87" i="302" s="1"/>
  <c r="AE88" i="302"/>
  <c r="AD88" i="302"/>
  <c r="AD87" i="302" s="1"/>
  <c r="AC88" i="302"/>
  <c r="AC87" i="302" s="1"/>
  <c r="AB88" i="302"/>
  <c r="AB87" i="302" s="1"/>
  <c r="AA88" i="302"/>
  <c r="Z88" i="302"/>
  <c r="Z87" i="302" s="1"/>
  <c r="Y88" i="302"/>
  <c r="Y87" i="302" s="1"/>
  <c r="X88" i="302"/>
  <c r="X87" i="302" s="1"/>
  <c r="W88" i="302"/>
  <c r="V88" i="302"/>
  <c r="U88" i="302"/>
  <c r="U87" i="302" s="1"/>
  <c r="T88" i="302"/>
  <c r="T87" i="302" s="1"/>
  <c r="S88" i="302"/>
  <c r="S87" i="302" s="1"/>
  <c r="R88" i="302"/>
  <c r="R87" i="302" s="1"/>
  <c r="Q88" i="302"/>
  <c r="Q87" i="302" s="1"/>
  <c r="P88" i="302"/>
  <c r="P87" i="302" s="1"/>
  <c r="O88" i="302"/>
  <c r="O87" i="302" s="1"/>
  <c r="N88" i="302"/>
  <c r="N87" i="302" s="1"/>
  <c r="M88" i="302"/>
  <c r="M87" i="302" s="1"/>
  <c r="L88" i="302"/>
  <c r="L87" i="302" s="1"/>
  <c r="K88" i="302"/>
  <c r="K87" i="302" s="1"/>
  <c r="J88" i="302"/>
  <c r="J87" i="302" s="1"/>
  <c r="I88" i="302"/>
  <c r="I87" i="302" s="1"/>
  <c r="H88" i="302"/>
  <c r="H87" i="302" s="1"/>
  <c r="G88" i="302"/>
  <c r="G87" i="302" s="1"/>
  <c r="F88" i="302"/>
  <c r="F87" i="302" s="1"/>
  <c r="E88" i="302"/>
  <c r="E87" i="302" s="1"/>
  <c r="D88" i="302"/>
  <c r="BN87" i="302"/>
  <c r="V87" i="302"/>
  <c r="C88" i="302"/>
  <c r="C87" i="302" s="1"/>
  <c r="DR82" i="302"/>
  <c r="DQ82" i="302"/>
  <c r="DP82" i="302"/>
  <c r="DR75" i="302"/>
  <c r="DQ75" i="302"/>
  <c r="DP75" i="302"/>
  <c r="DR70" i="302"/>
  <c r="DQ70" i="302"/>
  <c r="DP70" i="302"/>
  <c r="DR61" i="302"/>
  <c r="DQ61" i="302"/>
  <c r="DP61" i="302"/>
  <c r="DQ47" i="302"/>
  <c r="DP47" i="302"/>
  <c r="DR42" i="302"/>
  <c r="DQ42" i="302"/>
  <c r="DP42" i="302"/>
  <c r="DR34" i="302"/>
  <c r="DQ34" i="302"/>
  <c r="DP34" i="302"/>
  <c r="DR27" i="302"/>
  <c r="DQ27" i="302"/>
  <c r="DP27" i="302"/>
  <c r="DR14" i="302"/>
  <c r="DR13" i="302" s="1"/>
  <c r="DQ14" i="302"/>
  <c r="DQ13" i="302" s="1"/>
  <c r="DP14" i="302"/>
  <c r="DP13" i="302" s="1"/>
  <c r="DN82" i="302"/>
  <c r="DM82" i="302"/>
  <c r="DO75" i="302"/>
  <c r="DN75" i="302"/>
  <c r="DM75" i="302"/>
  <c r="DO70" i="302"/>
  <c r="DN70" i="302"/>
  <c r="DM70" i="302"/>
  <c r="DO61" i="302"/>
  <c r="DN61" i="302"/>
  <c r="DM61" i="302"/>
  <c r="DM47" i="302"/>
  <c r="DO42" i="302"/>
  <c r="DN42" i="302"/>
  <c r="DM42" i="302"/>
  <c r="DO34" i="302"/>
  <c r="DN34" i="302"/>
  <c r="DM34" i="302"/>
  <c r="DO27" i="302"/>
  <c r="DN27" i="302"/>
  <c r="DM27" i="302"/>
  <c r="DO14" i="302"/>
  <c r="DO13" i="302" s="1"/>
  <c r="DN14" i="302"/>
  <c r="DN13" i="302" s="1"/>
  <c r="DM14" i="302"/>
  <c r="DM13" i="302" s="1"/>
  <c r="DI82" i="302"/>
  <c r="DH82" i="302"/>
  <c r="DG82" i="302"/>
  <c r="DI75" i="302"/>
  <c r="DH75" i="302"/>
  <c r="DG75" i="302"/>
  <c r="DI70" i="302"/>
  <c r="DH70" i="302"/>
  <c r="DH69" i="302" s="1"/>
  <c r="DH67" i="302" s="1"/>
  <c r="DG70" i="302"/>
  <c r="DI61" i="302"/>
  <c r="DH61" i="302"/>
  <c r="DG61" i="302"/>
  <c r="DI47" i="302"/>
  <c r="DH47" i="302"/>
  <c r="DG47" i="302"/>
  <c r="DI42" i="302"/>
  <c r="DH42" i="302"/>
  <c r="DG42" i="302"/>
  <c r="DH34" i="302"/>
  <c r="DH26" i="302" s="1"/>
  <c r="DG34" i="302"/>
  <c r="DI27" i="302"/>
  <c r="DH27" i="302"/>
  <c r="DG27" i="302"/>
  <c r="DI14" i="302"/>
  <c r="DH14" i="302"/>
  <c r="DH13" i="302" s="1"/>
  <c r="DG14" i="302"/>
  <c r="DG13" i="302" s="1"/>
  <c r="DI13" i="302"/>
  <c r="DF82" i="302"/>
  <c r="DE82" i="302"/>
  <c r="DD82" i="302"/>
  <c r="DF75" i="302"/>
  <c r="DE75" i="302"/>
  <c r="DD75" i="302"/>
  <c r="DF70" i="302"/>
  <c r="DE70" i="302"/>
  <c r="DE69" i="302" s="1"/>
  <c r="DE67" i="302" s="1"/>
  <c r="DD70" i="302"/>
  <c r="DF61" i="302"/>
  <c r="DE61" i="302"/>
  <c r="DD61" i="302"/>
  <c r="DF47" i="302"/>
  <c r="DE47" i="302"/>
  <c r="DD47" i="302"/>
  <c r="DF42" i="302"/>
  <c r="DE42" i="302"/>
  <c r="DD42" i="302"/>
  <c r="DF34" i="302"/>
  <c r="DE34" i="302"/>
  <c r="DD34" i="302"/>
  <c r="DF27" i="302"/>
  <c r="DE27" i="302"/>
  <c r="DD27" i="302"/>
  <c r="DF14" i="302"/>
  <c r="DF13" i="302" s="1"/>
  <c r="DE14" i="302"/>
  <c r="DE13" i="302" s="1"/>
  <c r="DD14" i="302"/>
  <c r="DD13" i="302" s="1"/>
  <c r="DC82" i="302"/>
  <c r="DL82" i="302" s="1"/>
  <c r="DB82" i="302"/>
  <c r="DA82" i="302"/>
  <c r="DC75" i="302"/>
  <c r="DB75" i="302"/>
  <c r="DK75" i="302" s="1"/>
  <c r="DA75" i="302"/>
  <c r="DJ75" i="302" s="1"/>
  <c r="DC70" i="302"/>
  <c r="DB70" i="302"/>
  <c r="DA70" i="302"/>
  <c r="DJ70" i="302" s="1"/>
  <c r="DC61" i="302"/>
  <c r="DB61" i="302"/>
  <c r="DA61" i="302"/>
  <c r="DJ61" i="302" s="1"/>
  <c r="DC47" i="302"/>
  <c r="DB47" i="302"/>
  <c r="DA47" i="302"/>
  <c r="DC42" i="302"/>
  <c r="DL42" i="302" s="1"/>
  <c r="DA42" i="302"/>
  <c r="DC34" i="302"/>
  <c r="DB34" i="302"/>
  <c r="DA34" i="302"/>
  <c r="DC27" i="302"/>
  <c r="DL27" i="302" s="1"/>
  <c r="DB27" i="302"/>
  <c r="DA27" i="302"/>
  <c r="DC14" i="302"/>
  <c r="DC13" i="302" s="1"/>
  <c r="DB14" i="302"/>
  <c r="DB13" i="302" s="1"/>
  <c r="DA14" i="302"/>
  <c r="DA13" i="302" s="1"/>
  <c r="CK82" i="302"/>
  <c r="CJ82" i="302"/>
  <c r="CI82" i="302"/>
  <c r="CK75" i="302"/>
  <c r="CJ75" i="302"/>
  <c r="CI75" i="302"/>
  <c r="CK70" i="302"/>
  <c r="CJ70" i="302"/>
  <c r="CJ69" i="302" s="1"/>
  <c r="CJ67" i="302" s="1"/>
  <c r="CI70" i="302"/>
  <c r="CK61" i="302"/>
  <c r="CJ61" i="302"/>
  <c r="CI61" i="302"/>
  <c r="CK47" i="302"/>
  <c r="CJ47" i="302"/>
  <c r="CI47" i="302"/>
  <c r="CK42" i="302"/>
  <c r="CJ42" i="302"/>
  <c r="CI42" i="302"/>
  <c r="CK34" i="302"/>
  <c r="CJ34" i="302"/>
  <c r="CI34" i="302"/>
  <c r="CK27" i="302"/>
  <c r="CJ27" i="302"/>
  <c r="CI27" i="302"/>
  <c r="CK14" i="302"/>
  <c r="CK13" i="302" s="1"/>
  <c r="CJ14" i="302"/>
  <c r="CJ13" i="302" s="1"/>
  <c r="CI14" i="302"/>
  <c r="CI13" i="302" s="1"/>
  <c r="CG87" i="302"/>
  <c r="CH82" i="302"/>
  <c r="CG82" i="302"/>
  <c r="CF82" i="302"/>
  <c r="CH75" i="302"/>
  <c r="CG75" i="302"/>
  <c r="CF75" i="302"/>
  <c r="CH70" i="302"/>
  <c r="CG70" i="302"/>
  <c r="CF70" i="302"/>
  <c r="CH61" i="302"/>
  <c r="CG61" i="302"/>
  <c r="CF61" i="302"/>
  <c r="CH47" i="302"/>
  <c r="CG47" i="302"/>
  <c r="CF47" i="302"/>
  <c r="CH42" i="302"/>
  <c r="CG42" i="302"/>
  <c r="CF42" i="302"/>
  <c r="CH34" i="302"/>
  <c r="CG34" i="302"/>
  <c r="CF34" i="302"/>
  <c r="CH27" i="302"/>
  <c r="CG27" i="302"/>
  <c r="CF27" i="302"/>
  <c r="CH14" i="302"/>
  <c r="CH13" i="302" s="1"/>
  <c r="CG14" i="302"/>
  <c r="CG13" i="302" s="1"/>
  <c r="CF14" i="302"/>
  <c r="CF13" i="302" s="1"/>
  <c r="CE82" i="302"/>
  <c r="CD82" i="302"/>
  <c r="CC82" i="302"/>
  <c r="CE75" i="302"/>
  <c r="CD75" i="302"/>
  <c r="CC75" i="302"/>
  <c r="CE70" i="302"/>
  <c r="CD70" i="302"/>
  <c r="CC70" i="302"/>
  <c r="CE61" i="302"/>
  <c r="CD61" i="302"/>
  <c r="CC61" i="302"/>
  <c r="CE47" i="302"/>
  <c r="CD47" i="302"/>
  <c r="CC47" i="302"/>
  <c r="CE42" i="302"/>
  <c r="CD42" i="302"/>
  <c r="CC42" i="302"/>
  <c r="CE34" i="302"/>
  <c r="CD34" i="302"/>
  <c r="CC34" i="302"/>
  <c r="CE27" i="302"/>
  <c r="CD27" i="302"/>
  <c r="CC27" i="302"/>
  <c r="CE14" i="302"/>
  <c r="CE13" i="302" s="1"/>
  <c r="CD14" i="302"/>
  <c r="CD13" i="302" s="1"/>
  <c r="CC14" i="302"/>
  <c r="CC13" i="302" s="1"/>
  <c r="CB82" i="302"/>
  <c r="CA82" i="302"/>
  <c r="BZ82" i="302"/>
  <c r="CB75" i="302"/>
  <c r="CA75" i="302"/>
  <c r="BZ75" i="302"/>
  <c r="CB70" i="302"/>
  <c r="CA70" i="302"/>
  <c r="BZ70" i="302"/>
  <c r="CB61" i="302"/>
  <c r="CA61" i="302"/>
  <c r="BZ61" i="302"/>
  <c r="CB47" i="302"/>
  <c r="CA47" i="302"/>
  <c r="BZ47" i="302"/>
  <c r="CB42" i="302"/>
  <c r="CA42" i="302"/>
  <c r="BZ42" i="302"/>
  <c r="CB34" i="302"/>
  <c r="CA34" i="302"/>
  <c r="BZ34" i="302"/>
  <c r="CB27" i="302"/>
  <c r="CA27" i="302"/>
  <c r="BZ27" i="302"/>
  <c r="CB14" i="302"/>
  <c r="CB13" i="302" s="1"/>
  <c r="CA14" i="302"/>
  <c r="CA13" i="302" s="1"/>
  <c r="BZ14" i="302"/>
  <c r="BZ13" i="302" s="1"/>
  <c r="BY82" i="302"/>
  <c r="BX82" i="302"/>
  <c r="BW82" i="302"/>
  <c r="BY75" i="302"/>
  <c r="BX75" i="302"/>
  <c r="BW75" i="302"/>
  <c r="BY70" i="302"/>
  <c r="BX70" i="302"/>
  <c r="BW70" i="302"/>
  <c r="BY61" i="302"/>
  <c r="BX61" i="302"/>
  <c r="BW61" i="302"/>
  <c r="BY47" i="302"/>
  <c r="BX47" i="302"/>
  <c r="BW47" i="302"/>
  <c r="BY42" i="302"/>
  <c r="BX42" i="302"/>
  <c r="BW42" i="302"/>
  <c r="BY34" i="302"/>
  <c r="BX34" i="302"/>
  <c r="BW34" i="302"/>
  <c r="BY27" i="302"/>
  <c r="BX27" i="302"/>
  <c r="BW27" i="302"/>
  <c r="BY14" i="302"/>
  <c r="BY13" i="302" s="1"/>
  <c r="BX14" i="302"/>
  <c r="BX13" i="302" s="1"/>
  <c r="BW14" i="302"/>
  <c r="BW13" i="302" s="1"/>
  <c r="BV82" i="302"/>
  <c r="BU82" i="302"/>
  <c r="BT82" i="302"/>
  <c r="BV75" i="302"/>
  <c r="BU75" i="302"/>
  <c r="BT75" i="302"/>
  <c r="BV70" i="302"/>
  <c r="BU70" i="302"/>
  <c r="BT70" i="302"/>
  <c r="BV61" i="302"/>
  <c r="BU61" i="302"/>
  <c r="BT61" i="302"/>
  <c r="BV47" i="302"/>
  <c r="BU47" i="302"/>
  <c r="BT47" i="302"/>
  <c r="BV42" i="302"/>
  <c r="BU42" i="302"/>
  <c r="BT42" i="302"/>
  <c r="BV34" i="302"/>
  <c r="BU34" i="302"/>
  <c r="BT34" i="302"/>
  <c r="BV27" i="302"/>
  <c r="BU27" i="302"/>
  <c r="BT27" i="302"/>
  <c r="BV14" i="302"/>
  <c r="BV13" i="302" s="1"/>
  <c r="BU14" i="302"/>
  <c r="BU13" i="302" s="1"/>
  <c r="BT14" i="302"/>
  <c r="BQ87" i="302"/>
  <c r="BS82" i="302"/>
  <c r="BR82" i="302"/>
  <c r="BQ82" i="302"/>
  <c r="BS75" i="302"/>
  <c r="BR75" i="302"/>
  <c r="BQ75" i="302"/>
  <c r="BS70" i="302"/>
  <c r="BR70" i="302"/>
  <c r="BQ70" i="302"/>
  <c r="BS61" i="302"/>
  <c r="BR61" i="302"/>
  <c r="BQ61" i="302"/>
  <c r="BS47" i="302"/>
  <c r="BR47" i="302"/>
  <c r="BQ47" i="302"/>
  <c r="BS42" i="302"/>
  <c r="BR42" i="302"/>
  <c r="BQ42" i="302"/>
  <c r="BS34" i="302"/>
  <c r="BR34" i="302"/>
  <c r="BQ34" i="302"/>
  <c r="BS27" i="302"/>
  <c r="BR27" i="302"/>
  <c r="BQ27" i="302"/>
  <c r="BS14" i="302"/>
  <c r="BS13" i="302" s="1"/>
  <c r="BR14" i="302"/>
  <c r="BR13" i="302" s="1"/>
  <c r="BQ14" i="302"/>
  <c r="BQ13" i="302" s="1"/>
  <c r="BP82" i="302"/>
  <c r="BO82" i="302"/>
  <c r="BN82" i="302"/>
  <c r="BP75" i="302"/>
  <c r="BO75" i="302"/>
  <c r="BN75" i="302"/>
  <c r="BP70" i="302"/>
  <c r="BO70" i="302"/>
  <c r="BO69" i="302" s="1"/>
  <c r="BO67" i="302" s="1"/>
  <c r="BN70" i="302"/>
  <c r="BP61" i="302"/>
  <c r="BO61" i="302"/>
  <c r="BN61" i="302"/>
  <c r="BP47" i="302"/>
  <c r="BO47" i="302"/>
  <c r="BN47" i="302"/>
  <c r="BP42" i="302"/>
  <c r="BO42" i="302"/>
  <c r="BN42" i="302"/>
  <c r="BP34" i="302"/>
  <c r="BO34" i="302"/>
  <c r="BN34" i="302"/>
  <c r="BP27" i="302"/>
  <c r="BO27" i="302"/>
  <c r="BN27" i="302"/>
  <c r="BP14" i="302"/>
  <c r="BP13" i="302" s="1"/>
  <c r="BO14" i="302"/>
  <c r="BO13" i="302" s="1"/>
  <c r="BN14" i="302"/>
  <c r="BN13" i="302" s="1"/>
  <c r="BK87" i="302"/>
  <c r="BM82" i="302"/>
  <c r="BL82" i="302"/>
  <c r="BK82" i="302"/>
  <c r="BM75" i="302"/>
  <c r="BL75" i="302"/>
  <c r="BK75" i="302"/>
  <c r="BM70" i="302"/>
  <c r="BL70" i="302"/>
  <c r="BK70" i="302"/>
  <c r="BM61" i="302"/>
  <c r="BL61" i="302"/>
  <c r="BK61" i="302"/>
  <c r="BM47" i="302"/>
  <c r="BL47" i="302"/>
  <c r="BK47" i="302"/>
  <c r="BM42" i="302"/>
  <c r="BL42" i="302"/>
  <c r="BK42" i="302"/>
  <c r="BM34" i="302"/>
  <c r="BL34" i="302"/>
  <c r="BK34" i="302"/>
  <c r="BM27" i="302"/>
  <c r="BL27" i="302"/>
  <c r="BK27" i="302"/>
  <c r="BM14" i="302"/>
  <c r="BM13" i="302" s="1"/>
  <c r="BL14" i="302"/>
  <c r="BL13" i="302" s="1"/>
  <c r="BK14" i="302"/>
  <c r="BK13" i="302" s="1"/>
  <c r="BG82" i="302"/>
  <c r="BF82" i="302"/>
  <c r="BE82" i="302"/>
  <c r="BG75" i="302"/>
  <c r="BF75" i="302"/>
  <c r="BE75" i="302"/>
  <c r="BG61" i="302"/>
  <c r="BF61" i="302"/>
  <c r="BE61" i="302"/>
  <c r="BG47" i="302"/>
  <c r="BF47" i="302"/>
  <c r="BE47" i="302"/>
  <c r="BG42" i="302"/>
  <c r="BF42" i="302"/>
  <c r="BE42" i="302"/>
  <c r="BG34" i="302"/>
  <c r="BF34" i="302"/>
  <c r="BE34" i="302"/>
  <c r="BG27" i="302"/>
  <c r="BF27" i="302"/>
  <c r="BE27" i="302"/>
  <c r="BG14" i="302"/>
  <c r="BG13" i="302" s="1"/>
  <c r="BF14" i="302"/>
  <c r="BF13" i="302" s="1"/>
  <c r="BE14" i="302"/>
  <c r="BE13" i="302" s="1"/>
  <c r="BD82" i="302"/>
  <c r="BC82" i="302"/>
  <c r="BB82" i="302"/>
  <c r="BD75" i="302"/>
  <c r="BC75" i="302"/>
  <c r="BB75" i="302"/>
  <c r="BD70" i="302"/>
  <c r="BC70" i="302"/>
  <c r="BB70" i="302"/>
  <c r="BD61" i="302"/>
  <c r="BC61" i="302"/>
  <c r="BB61" i="302"/>
  <c r="BD47" i="302"/>
  <c r="BC47" i="302"/>
  <c r="BB47" i="302"/>
  <c r="BD42" i="302"/>
  <c r="BC42" i="302"/>
  <c r="BB42" i="302"/>
  <c r="BD34" i="302"/>
  <c r="BC34" i="302"/>
  <c r="BB34" i="302"/>
  <c r="BD27" i="302"/>
  <c r="BC27" i="302"/>
  <c r="BB27" i="302"/>
  <c r="BC14" i="302"/>
  <c r="BC13" i="302" s="1"/>
  <c r="BB14" i="302"/>
  <c r="BB13" i="302" s="1"/>
  <c r="BA82" i="302"/>
  <c r="AZ82" i="302"/>
  <c r="AY82" i="302"/>
  <c r="BA75" i="302"/>
  <c r="AZ75" i="302"/>
  <c r="AY75" i="302"/>
  <c r="BA70" i="302"/>
  <c r="AZ70" i="302"/>
  <c r="AY70" i="302"/>
  <c r="BA61" i="302"/>
  <c r="AZ61" i="302"/>
  <c r="AY61" i="302"/>
  <c r="BA47" i="302"/>
  <c r="AZ47" i="302"/>
  <c r="AY47" i="302"/>
  <c r="BA42" i="302"/>
  <c r="AZ42" i="302"/>
  <c r="AY42" i="302"/>
  <c r="BA34" i="302"/>
  <c r="AZ34" i="302"/>
  <c r="AY34" i="302"/>
  <c r="BA27" i="302"/>
  <c r="AZ27" i="302"/>
  <c r="AY27" i="302"/>
  <c r="BA14" i="302"/>
  <c r="BA13" i="302" s="1"/>
  <c r="AZ14" i="302"/>
  <c r="AZ13" i="302" s="1"/>
  <c r="AY14" i="302"/>
  <c r="AY13" i="302" s="1"/>
  <c r="AX82" i="302"/>
  <c r="AW82" i="302"/>
  <c r="AV82" i="302"/>
  <c r="AX75" i="302"/>
  <c r="AW75" i="302"/>
  <c r="AV75" i="302"/>
  <c r="AX70" i="302"/>
  <c r="AW70" i="302"/>
  <c r="AV70" i="302"/>
  <c r="AX61" i="302"/>
  <c r="AW61" i="302"/>
  <c r="AV61" i="302"/>
  <c r="AX47" i="302"/>
  <c r="AW47" i="302"/>
  <c r="AV47" i="302"/>
  <c r="AX42" i="302"/>
  <c r="AW42" i="302"/>
  <c r="AV42" i="302"/>
  <c r="AX34" i="302"/>
  <c r="AW34" i="302"/>
  <c r="AV34" i="302"/>
  <c r="AX27" i="302"/>
  <c r="AW27" i="302"/>
  <c r="AV27" i="302"/>
  <c r="AX14" i="302"/>
  <c r="AX13" i="302" s="1"/>
  <c r="AW14" i="302"/>
  <c r="AW13" i="302" s="1"/>
  <c r="AV14" i="302"/>
  <c r="AV13" i="302" s="1"/>
  <c r="AU82" i="302"/>
  <c r="AT82" i="302"/>
  <c r="AS82" i="302"/>
  <c r="AU75" i="302"/>
  <c r="AT75" i="302"/>
  <c r="AS75" i="302"/>
  <c r="AU70" i="302"/>
  <c r="AT70" i="302"/>
  <c r="AS70" i="302"/>
  <c r="AU61" i="302"/>
  <c r="AT61" i="302"/>
  <c r="AS61" i="302"/>
  <c r="AU47" i="302"/>
  <c r="AT47" i="302"/>
  <c r="AS47" i="302"/>
  <c r="AU42" i="302"/>
  <c r="AT42" i="302"/>
  <c r="AS42" i="302"/>
  <c r="AU34" i="302"/>
  <c r="AT34" i="302"/>
  <c r="AS34" i="302"/>
  <c r="AU27" i="302"/>
  <c r="AT27" i="302"/>
  <c r="AS27" i="302"/>
  <c r="AU14" i="302"/>
  <c r="AU13" i="302" s="1"/>
  <c r="AT14" i="302"/>
  <c r="AT13" i="302" s="1"/>
  <c r="AS14" i="302"/>
  <c r="AS13" i="302" s="1"/>
  <c r="AR82" i="302"/>
  <c r="AQ82" i="302"/>
  <c r="AP82" i="302"/>
  <c r="AR75" i="302"/>
  <c r="AQ75" i="302"/>
  <c r="AP75" i="302"/>
  <c r="AR70" i="302"/>
  <c r="AQ70" i="302"/>
  <c r="AP70" i="302"/>
  <c r="AR61" i="302"/>
  <c r="AQ61" i="302"/>
  <c r="AP61" i="302"/>
  <c r="AR47" i="302"/>
  <c r="AQ47" i="302"/>
  <c r="AP47" i="302"/>
  <c r="AR42" i="302"/>
  <c r="AQ42" i="302"/>
  <c r="AP42" i="302"/>
  <c r="AR34" i="302"/>
  <c r="AQ34" i="302"/>
  <c r="AP34" i="302"/>
  <c r="AR27" i="302"/>
  <c r="AQ27" i="302"/>
  <c r="AP27" i="302"/>
  <c r="AR14" i="302"/>
  <c r="AR13" i="302" s="1"/>
  <c r="AQ14" i="302"/>
  <c r="AQ13" i="302" s="1"/>
  <c r="AP14" i="302"/>
  <c r="AP13" i="302" s="1"/>
  <c r="AM87" i="302"/>
  <c r="AO82" i="302"/>
  <c r="AN82" i="302"/>
  <c r="AM82" i="302"/>
  <c r="AO75" i="302"/>
  <c r="AN75" i="302"/>
  <c r="AM75" i="302"/>
  <c r="AO70" i="302"/>
  <c r="AN70" i="302"/>
  <c r="AM70" i="302"/>
  <c r="AO61" i="302"/>
  <c r="AO60" i="302" s="1"/>
  <c r="AN61" i="302"/>
  <c r="AM61" i="302"/>
  <c r="AO47" i="302"/>
  <c r="AN47" i="302"/>
  <c r="AM47" i="302"/>
  <c r="AO42" i="302"/>
  <c r="AN42" i="302"/>
  <c r="AM42" i="302"/>
  <c r="AO34" i="302"/>
  <c r="AN34" i="302"/>
  <c r="AM34" i="302"/>
  <c r="AO27" i="302"/>
  <c r="AN27" i="302"/>
  <c r="AM27" i="302"/>
  <c r="AO14" i="302"/>
  <c r="AO13" i="302" s="1"/>
  <c r="AN14" i="302"/>
  <c r="AN13" i="302" s="1"/>
  <c r="AM14" i="302"/>
  <c r="AM13" i="302" s="1"/>
  <c r="AL82" i="302"/>
  <c r="AK82" i="302"/>
  <c r="AJ82" i="302"/>
  <c r="AL75" i="302"/>
  <c r="AK75" i="302"/>
  <c r="AJ75" i="302"/>
  <c r="AL70" i="302"/>
  <c r="AK70" i="302"/>
  <c r="AJ70" i="302"/>
  <c r="AL61" i="302"/>
  <c r="AK61" i="302"/>
  <c r="AJ61" i="302"/>
  <c r="AL47" i="302"/>
  <c r="AK47" i="302"/>
  <c r="AJ47" i="302"/>
  <c r="AL42" i="302"/>
  <c r="AK42" i="302"/>
  <c r="AJ42" i="302"/>
  <c r="AL34" i="302"/>
  <c r="AK34" i="302"/>
  <c r="AJ34" i="302"/>
  <c r="AL27" i="302"/>
  <c r="AK27" i="302"/>
  <c r="AJ27" i="302"/>
  <c r="AL14" i="302"/>
  <c r="AL13" i="302" s="1"/>
  <c r="AK14" i="302"/>
  <c r="AK13" i="302" s="1"/>
  <c r="AJ14" i="302"/>
  <c r="AJ13" i="302" s="1"/>
  <c r="AI82" i="302"/>
  <c r="AH82" i="302"/>
  <c r="AG82" i="302"/>
  <c r="AI75" i="302"/>
  <c r="AI69" i="302" s="1"/>
  <c r="AI67" i="302" s="1"/>
  <c r="AI60" i="302" s="1"/>
  <c r="AH75" i="302"/>
  <c r="AG75" i="302"/>
  <c r="AI70" i="302"/>
  <c r="AH70" i="302"/>
  <c r="AG70" i="302"/>
  <c r="AI61" i="302"/>
  <c r="AH61" i="302"/>
  <c r="AG61" i="302"/>
  <c r="AI47" i="302"/>
  <c r="AH47" i="302"/>
  <c r="AG47" i="302"/>
  <c r="AI42" i="302"/>
  <c r="AH42" i="302"/>
  <c r="AG42" i="302"/>
  <c r="AI34" i="302"/>
  <c r="AH34" i="302"/>
  <c r="AG34" i="302"/>
  <c r="AI27" i="302"/>
  <c r="AH27" i="302"/>
  <c r="AG27" i="302"/>
  <c r="AI14" i="302"/>
  <c r="AI13" i="302" s="1"/>
  <c r="AH14" i="302"/>
  <c r="AH13" i="302" s="1"/>
  <c r="AG14" i="302"/>
  <c r="AG13" i="302" s="1"/>
  <c r="AE87" i="302"/>
  <c r="AF82" i="302"/>
  <c r="AE82" i="302"/>
  <c r="AD82" i="302"/>
  <c r="AF75" i="302"/>
  <c r="AE75" i="302"/>
  <c r="AD75" i="302"/>
  <c r="AF70" i="302"/>
  <c r="AE70" i="302"/>
  <c r="AD70" i="302"/>
  <c r="AF61" i="302"/>
  <c r="AE61" i="302"/>
  <c r="AD61" i="302"/>
  <c r="AF47" i="302"/>
  <c r="AE47" i="302"/>
  <c r="AD47" i="302"/>
  <c r="AF42" i="302"/>
  <c r="AE42" i="302"/>
  <c r="AD42" i="302"/>
  <c r="AF34" i="302"/>
  <c r="AE34" i="302"/>
  <c r="AD34" i="302"/>
  <c r="AF27" i="302"/>
  <c r="AE27" i="302"/>
  <c r="AD27" i="302"/>
  <c r="AF14" i="302"/>
  <c r="AF13" i="302" s="1"/>
  <c r="AE14" i="302"/>
  <c r="AE13" i="302" s="1"/>
  <c r="AD14" i="302"/>
  <c r="AD13" i="302" s="1"/>
  <c r="AA87" i="302"/>
  <c r="AC82" i="302"/>
  <c r="AB82" i="302"/>
  <c r="AA82" i="302"/>
  <c r="AC75" i="302"/>
  <c r="AB75" i="302"/>
  <c r="AA75" i="302"/>
  <c r="AC70" i="302"/>
  <c r="AB70" i="302"/>
  <c r="AA70" i="302"/>
  <c r="AC61" i="302"/>
  <c r="AB61" i="302"/>
  <c r="AA61" i="302"/>
  <c r="AC47" i="302"/>
  <c r="AB47" i="302"/>
  <c r="AA47" i="302"/>
  <c r="AC42" i="302"/>
  <c r="AB42" i="302"/>
  <c r="AA42" i="302"/>
  <c r="AC34" i="302"/>
  <c r="AB34" i="302"/>
  <c r="AA34" i="302"/>
  <c r="AC27" i="302"/>
  <c r="AB27" i="302"/>
  <c r="AA27" i="302"/>
  <c r="AC14" i="302"/>
  <c r="AC13" i="302" s="1"/>
  <c r="AB14" i="302"/>
  <c r="AB13" i="302" s="1"/>
  <c r="AA14" i="302"/>
  <c r="AA13" i="302" s="1"/>
  <c r="Z82" i="302"/>
  <c r="Y82" i="302"/>
  <c r="X82" i="302"/>
  <c r="Z75" i="302"/>
  <c r="Y75" i="302"/>
  <c r="X75" i="302"/>
  <c r="Z70" i="302"/>
  <c r="Y70" i="302"/>
  <c r="X70" i="302"/>
  <c r="Z61" i="302"/>
  <c r="Y61" i="302"/>
  <c r="X61" i="302"/>
  <c r="Z47" i="302"/>
  <c r="Y47" i="302"/>
  <c r="X47" i="302"/>
  <c r="Z42" i="302"/>
  <c r="Y42" i="302"/>
  <c r="X42" i="302"/>
  <c r="Z34" i="302"/>
  <c r="Y34" i="302"/>
  <c r="X34" i="302"/>
  <c r="Z27" i="302"/>
  <c r="Y27" i="302"/>
  <c r="X27" i="302"/>
  <c r="Z14" i="302"/>
  <c r="Z13" i="302" s="1"/>
  <c r="Y14" i="302"/>
  <c r="Y13" i="302" s="1"/>
  <c r="X14" i="302"/>
  <c r="X13" i="302" s="1"/>
  <c r="W87" i="302"/>
  <c r="W82" i="302"/>
  <c r="V82" i="302"/>
  <c r="U82" i="302"/>
  <c r="W75" i="302"/>
  <c r="V75" i="302"/>
  <c r="U75" i="302"/>
  <c r="W70" i="302"/>
  <c r="V70" i="302"/>
  <c r="U70" i="302"/>
  <c r="W61" i="302"/>
  <c r="V61" i="302"/>
  <c r="U61" i="302"/>
  <c r="W47" i="302"/>
  <c r="V47" i="302"/>
  <c r="U47" i="302"/>
  <c r="W42" i="302"/>
  <c r="V42" i="302"/>
  <c r="U42" i="302"/>
  <c r="W34" i="302"/>
  <c r="V34" i="302"/>
  <c r="U34" i="302"/>
  <c r="W27" i="302"/>
  <c r="V27" i="302"/>
  <c r="U27" i="302"/>
  <c r="W14" i="302"/>
  <c r="W13" i="302" s="1"/>
  <c r="V14" i="302"/>
  <c r="V13" i="302" s="1"/>
  <c r="U14" i="302"/>
  <c r="U13" i="302" s="1"/>
  <c r="T82" i="302"/>
  <c r="S82" i="302"/>
  <c r="R82" i="302"/>
  <c r="T75" i="302"/>
  <c r="S75" i="302"/>
  <c r="R75" i="302"/>
  <c r="T70" i="302"/>
  <c r="S70" i="302"/>
  <c r="R70" i="302"/>
  <c r="T61" i="302"/>
  <c r="S61" i="302"/>
  <c r="R61" i="302"/>
  <c r="T47" i="302"/>
  <c r="S47" i="302"/>
  <c r="R47" i="302"/>
  <c r="T42" i="302"/>
  <c r="S42" i="302"/>
  <c r="R42" i="302"/>
  <c r="T34" i="302"/>
  <c r="S34" i="302"/>
  <c r="R34" i="302"/>
  <c r="T27" i="302"/>
  <c r="S27" i="302"/>
  <c r="R27" i="302"/>
  <c r="T14" i="302"/>
  <c r="T13" i="302" s="1"/>
  <c r="S14" i="302"/>
  <c r="S13" i="302" s="1"/>
  <c r="R14" i="302"/>
  <c r="R13" i="302" s="1"/>
  <c r="Q82" i="302"/>
  <c r="P82" i="302"/>
  <c r="O82" i="302"/>
  <c r="Q75" i="302"/>
  <c r="P75" i="302"/>
  <c r="O75" i="302"/>
  <c r="Q70" i="302"/>
  <c r="P70" i="302"/>
  <c r="O70" i="302"/>
  <c r="Q61" i="302"/>
  <c r="P61" i="302"/>
  <c r="O61" i="302"/>
  <c r="Q47" i="302"/>
  <c r="P47" i="302"/>
  <c r="O47" i="302"/>
  <c r="Q42" i="302"/>
  <c r="P42" i="302"/>
  <c r="O42" i="302"/>
  <c r="Q34" i="302"/>
  <c r="P34" i="302"/>
  <c r="O34" i="302"/>
  <c r="Q27" i="302"/>
  <c r="P27" i="302"/>
  <c r="O27" i="302"/>
  <c r="Q14" i="302"/>
  <c r="Q13" i="302" s="1"/>
  <c r="P14" i="302"/>
  <c r="P13" i="302" s="1"/>
  <c r="O14" i="302"/>
  <c r="O13" i="302" s="1"/>
  <c r="N82" i="302"/>
  <c r="M82" i="302"/>
  <c r="L82" i="302"/>
  <c r="N75" i="302"/>
  <c r="M75" i="302"/>
  <c r="L75" i="302"/>
  <c r="N70" i="302"/>
  <c r="M70" i="302"/>
  <c r="L70" i="302"/>
  <c r="N61" i="302"/>
  <c r="M61" i="302"/>
  <c r="L61" i="302"/>
  <c r="N47" i="302"/>
  <c r="M47" i="302"/>
  <c r="L47" i="302"/>
  <c r="N42" i="302"/>
  <c r="M42" i="302"/>
  <c r="L42" i="302"/>
  <c r="N34" i="302"/>
  <c r="M34" i="302"/>
  <c r="L34" i="302"/>
  <c r="N27" i="302"/>
  <c r="M27" i="302"/>
  <c r="L27" i="302"/>
  <c r="N14" i="302"/>
  <c r="N13" i="302" s="1"/>
  <c r="M14" i="302"/>
  <c r="M13" i="302" s="1"/>
  <c r="L14" i="302"/>
  <c r="L13" i="302" s="1"/>
  <c r="K82" i="302"/>
  <c r="J82" i="302"/>
  <c r="I82" i="302"/>
  <c r="K75" i="302"/>
  <c r="J75" i="302"/>
  <c r="I75" i="302"/>
  <c r="K70" i="302"/>
  <c r="J70" i="302"/>
  <c r="I70" i="302"/>
  <c r="K61" i="302"/>
  <c r="J61" i="302"/>
  <c r="I61" i="302"/>
  <c r="K47" i="302"/>
  <c r="J47" i="302"/>
  <c r="I47" i="302"/>
  <c r="K42" i="302"/>
  <c r="J42" i="302"/>
  <c r="I42" i="302"/>
  <c r="K34" i="302"/>
  <c r="J34" i="302"/>
  <c r="I34" i="302"/>
  <c r="K27" i="302"/>
  <c r="J27" i="302"/>
  <c r="I27" i="302"/>
  <c r="K14" i="302"/>
  <c r="K13" i="302" s="1"/>
  <c r="J14" i="302"/>
  <c r="J13" i="302" s="1"/>
  <c r="I14" i="302"/>
  <c r="I13" i="302" s="1"/>
  <c r="H82" i="302"/>
  <c r="G82" i="302"/>
  <c r="F82" i="302"/>
  <c r="H75" i="302"/>
  <c r="G75" i="302"/>
  <c r="F75" i="302"/>
  <c r="H70" i="302"/>
  <c r="G70" i="302"/>
  <c r="F70" i="302"/>
  <c r="H61" i="302"/>
  <c r="G61" i="302"/>
  <c r="F61" i="302"/>
  <c r="G47" i="302"/>
  <c r="F47" i="302"/>
  <c r="H42" i="302"/>
  <c r="G42" i="302"/>
  <c r="F42" i="302"/>
  <c r="H34" i="302"/>
  <c r="G34" i="302"/>
  <c r="F34" i="302"/>
  <c r="H27" i="302"/>
  <c r="G27" i="302"/>
  <c r="F27" i="302"/>
  <c r="H14" i="302"/>
  <c r="H13" i="302" s="1"/>
  <c r="G14" i="302"/>
  <c r="G13" i="302" s="1"/>
  <c r="F14" i="302"/>
  <c r="F13" i="302" s="1"/>
  <c r="C82" i="302"/>
  <c r="E75" i="302"/>
  <c r="D75" i="302"/>
  <c r="C75" i="302"/>
  <c r="E70" i="302"/>
  <c r="D70" i="302"/>
  <c r="C70" i="302"/>
  <c r="C61" i="302"/>
  <c r="E61" i="302"/>
  <c r="D61" i="302"/>
  <c r="C47" i="302"/>
  <c r="E47" i="302"/>
  <c r="D47" i="302"/>
  <c r="E42" i="302"/>
  <c r="D42" i="302"/>
  <c r="C42" i="302"/>
  <c r="E34" i="302"/>
  <c r="D34" i="302"/>
  <c r="C34" i="302"/>
  <c r="E27" i="302"/>
  <c r="D27" i="302"/>
  <c r="C27" i="302"/>
  <c r="E14" i="302"/>
  <c r="E13" i="302" s="1"/>
  <c r="D14" i="302"/>
  <c r="C14" i="302"/>
  <c r="C13" i="302" s="1"/>
  <c r="DG45" i="301"/>
  <c r="DG44" i="301" s="1"/>
  <c r="DL45" i="301"/>
  <c r="DL44" i="301" s="1"/>
  <c r="DL20" i="301"/>
  <c r="DR45" i="301"/>
  <c r="DR44" i="301" s="1"/>
  <c r="DQ45" i="301"/>
  <c r="DP45" i="301"/>
  <c r="DP44" i="301" s="1"/>
  <c r="DR34" i="301"/>
  <c r="DR31" i="301" s="1"/>
  <c r="DQ34" i="301"/>
  <c r="DP34" i="301"/>
  <c r="DP31" i="301" s="1"/>
  <c r="DO45" i="301"/>
  <c r="DO44" i="301" s="1"/>
  <c r="DN45" i="301"/>
  <c r="DN44" i="301" s="1"/>
  <c r="DM45" i="301"/>
  <c r="DM44" i="301" s="1"/>
  <c r="DO34" i="301"/>
  <c r="DO31" i="301" s="1"/>
  <c r="DN34" i="301"/>
  <c r="DN31" i="301"/>
  <c r="DM34" i="301"/>
  <c r="DM31" i="301" s="1"/>
  <c r="DI45" i="301"/>
  <c r="DI44" i="301" s="1"/>
  <c r="DH45" i="301"/>
  <c r="DH44" i="301" s="1"/>
  <c r="DI34" i="301"/>
  <c r="DH34" i="301"/>
  <c r="DG34" i="301"/>
  <c r="DG31" i="301" s="1"/>
  <c r="DF45" i="301"/>
  <c r="DF44" i="301" s="1"/>
  <c r="DE45" i="301"/>
  <c r="DE44" i="301" s="1"/>
  <c r="DD45" i="301"/>
  <c r="DD44" i="301" s="1"/>
  <c r="DF34" i="301"/>
  <c r="DF31" i="301" s="1"/>
  <c r="DE34" i="301"/>
  <c r="DE31" i="301" s="1"/>
  <c r="DD34" i="301"/>
  <c r="DC45" i="301"/>
  <c r="DC44" i="301" s="1"/>
  <c r="DB45" i="301"/>
  <c r="DB44" i="301" s="1"/>
  <c r="DA45" i="301"/>
  <c r="DA44" i="301" s="1"/>
  <c r="DC34" i="301"/>
  <c r="DC31" i="301" s="1"/>
  <c r="DB34" i="301"/>
  <c r="DB31" i="301" s="1"/>
  <c r="DA34" i="301"/>
  <c r="DJ34" i="301" s="1"/>
  <c r="DQ31" i="301"/>
  <c r="DM20" i="301"/>
  <c r="DM14" i="301"/>
  <c r="DG20" i="301"/>
  <c r="DG14" i="301" s="1"/>
  <c r="DG43" i="301" s="1"/>
  <c r="CW45" i="301"/>
  <c r="CW44" i="301" s="1"/>
  <c r="CU34" i="301"/>
  <c r="CK34" i="301"/>
  <c r="CK31" i="301" s="1"/>
  <c r="CJ34" i="301"/>
  <c r="CJ31" i="301" s="1"/>
  <c r="CI34" i="301"/>
  <c r="CI31" i="301" s="1"/>
  <c r="CH34" i="301"/>
  <c r="CH31" i="301" s="1"/>
  <c r="CG34" i="301"/>
  <c r="CG31" i="301" s="1"/>
  <c r="CF34" i="301"/>
  <c r="CF31" i="301" s="1"/>
  <c r="CE34" i="301"/>
  <c r="CE31" i="301" s="1"/>
  <c r="CD34" i="301"/>
  <c r="CD31" i="301" s="1"/>
  <c r="CC34" i="301"/>
  <c r="CC31" i="301" s="1"/>
  <c r="CB34" i="301"/>
  <c r="CA34" i="301"/>
  <c r="CA31" i="301" s="1"/>
  <c r="BZ34" i="301"/>
  <c r="BZ31" i="301" s="1"/>
  <c r="BY34" i="301"/>
  <c r="BY31" i="301" s="1"/>
  <c r="BX34" i="301"/>
  <c r="BX31" i="301" s="1"/>
  <c r="BW34" i="301"/>
  <c r="BW31" i="301" s="1"/>
  <c r="BV34" i="301"/>
  <c r="BV31" i="301" s="1"/>
  <c r="BU34" i="301"/>
  <c r="BU31" i="301" s="1"/>
  <c r="BT34" i="301"/>
  <c r="BT31" i="301" s="1"/>
  <c r="BS34" i="301"/>
  <c r="BS31" i="301" s="1"/>
  <c r="BR34" i="301"/>
  <c r="BR31" i="301" s="1"/>
  <c r="BQ34" i="301"/>
  <c r="BQ31" i="301" s="1"/>
  <c r="BP34" i="301"/>
  <c r="BP31" i="301" s="1"/>
  <c r="BO34" i="301"/>
  <c r="BO31" i="301" s="1"/>
  <c r="BN34" i="301"/>
  <c r="BN31" i="301" s="1"/>
  <c r="DR20" i="301"/>
  <c r="DQ20" i="301"/>
  <c r="DQ14" i="301" s="1"/>
  <c r="DP20" i="301"/>
  <c r="DP14" i="301" s="1"/>
  <c r="DP43" i="301" s="1"/>
  <c r="DO20" i="301"/>
  <c r="DN20" i="301"/>
  <c r="DN14" i="301" s="1"/>
  <c r="DI20" i="301"/>
  <c r="DI14" i="301" s="1"/>
  <c r="DH20" i="301"/>
  <c r="DH14" i="301" s="1"/>
  <c r="DF20" i="301"/>
  <c r="DF14" i="301" s="1"/>
  <c r="DE20" i="301"/>
  <c r="DE14" i="301" s="1"/>
  <c r="DD20" i="301"/>
  <c r="DD14" i="301" s="1"/>
  <c r="DC20" i="301"/>
  <c r="DC14" i="301" s="1"/>
  <c r="DB20" i="301"/>
  <c r="DB14" i="301" s="1"/>
  <c r="DB43" i="301" s="1"/>
  <c r="DA20" i="301"/>
  <c r="DA14" i="301" s="1"/>
  <c r="CK20" i="301"/>
  <c r="CK14" i="301" s="1"/>
  <c r="CJ20" i="301"/>
  <c r="CJ14" i="301" s="1"/>
  <c r="CI20" i="301"/>
  <c r="CI14" i="301" s="1"/>
  <c r="CH20" i="301"/>
  <c r="CH14" i="301" s="1"/>
  <c r="CG20" i="301"/>
  <c r="CG14" i="301" s="1"/>
  <c r="CF20" i="301"/>
  <c r="CF14" i="301" s="1"/>
  <c r="CE20" i="301"/>
  <c r="CE14" i="301" s="1"/>
  <c r="CD20" i="301"/>
  <c r="CD14" i="301" s="1"/>
  <c r="CC20" i="301"/>
  <c r="CC14" i="301" s="1"/>
  <c r="CB20" i="301"/>
  <c r="CB14" i="301" s="1"/>
  <c r="CA20" i="301"/>
  <c r="CA14" i="301" s="1"/>
  <c r="BZ20" i="301"/>
  <c r="BZ14" i="301" s="1"/>
  <c r="BY20" i="301"/>
  <c r="BY14" i="301" s="1"/>
  <c r="BX20" i="301"/>
  <c r="BX14" i="301" s="1"/>
  <c r="BW20" i="301"/>
  <c r="BW14" i="301" s="1"/>
  <c r="BV20" i="301"/>
  <c r="BV14" i="301" s="1"/>
  <c r="BU20" i="301"/>
  <c r="BU14" i="301" s="1"/>
  <c r="BT20" i="301"/>
  <c r="BT14" i="301" s="1"/>
  <c r="BS20" i="301"/>
  <c r="BS14" i="301" s="1"/>
  <c r="BR20" i="301"/>
  <c r="BR14" i="301" s="1"/>
  <c r="BQ20" i="301"/>
  <c r="BQ14" i="301" s="1"/>
  <c r="BP20" i="301"/>
  <c r="BP14" i="301" s="1"/>
  <c r="BO20" i="301"/>
  <c r="BO14" i="301" s="1"/>
  <c r="BN20" i="301"/>
  <c r="BN14" i="301" s="1"/>
  <c r="BM20" i="301"/>
  <c r="BL20" i="301"/>
  <c r="BL14" i="301" s="1"/>
  <c r="BK20" i="301"/>
  <c r="BK14" i="301" s="1"/>
  <c r="BM14" i="301"/>
  <c r="CK45" i="301"/>
  <c r="CK44" i="301" s="1"/>
  <c r="CJ45" i="301"/>
  <c r="CJ44" i="301" s="1"/>
  <c r="CI45" i="301"/>
  <c r="CI44" i="301" s="1"/>
  <c r="CH45" i="301"/>
  <c r="CH44" i="301" s="1"/>
  <c r="CG45" i="301"/>
  <c r="CG44" i="301" s="1"/>
  <c r="CF45" i="301"/>
  <c r="CF44" i="301" s="1"/>
  <c r="CE45" i="301"/>
  <c r="CE44" i="301" s="1"/>
  <c r="CD45" i="301"/>
  <c r="CD44" i="301" s="1"/>
  <c r="CC45" i="301"/>
  <c r="CC44" i="301" s="1"/>
  <c r="CB45" i="301"/>
  <c r="CB44" i="301" s="1"/>
  <c r="CA45" i="301"/>
  <c r="CA44" i="301" s="1"/>
  <c r="BZ45" i="301"/>
  <c r="BZ44" i="301" s="1"/>
  <c r="BY45" i="301"/>
  <c r="BY44" i="301" s="1"/>
  <c r="BX45" i="301"/>
  <c r="BX44" i="301" s="1"/>
  <c r="BW45" i="301"/>
  <c r="BW44" i="301" s="1"/>
  <c r="BV45" i="301"/>
  <c r="BV44" i="301" s="1"/>
  <c r="BU45" i="301"/>
  <c r="BU44" i="301" s="1"/>
  <c r="BT45" i="301"/>
  <c r="BT44" i="301" s="1"/>
  <c r="BS45" i="301"/>
  <c r="BS44" i="301" s="1"/>
  <c r="BR45" i="301"/>
  <c r="BR44" i="301" s="1"/>
  <c r="BQ45" i="301"/>
  <c r="BQ44" i="301" s="1"/>
  <c r="BP45" i="301"/>
  <c r="BP44" i="301" s="1"/>
  <c r="BO45" i="301"/>
  <c r="BO44" i="301" s="1"/>
  <c r="BN45" i="301"/>
  <c r="BN44" i="301" s="1"/>
  <c r="BM45" i="301"/>
  <c r="BM44" i="301" s="1"/>
  <c r="BL45" i="301"/>
  <c r="BL44" i="301" s="1"/>
  <c r="BK45" i="301"/>
  <c r="BK44" i="301" s="1"/>
  <c r="BJ54" i="301"/>
  <c r="CZ54" i="301" s="1"/>
  <c r="DU54" i="301" s="1"/>
  <c r="E54" i="350" s="1"/>
  <c r="BI54" i="301"/>
  <c r="CY54" i="301" s="1"/>
  <c r="DT54" i="301" s="1"/>
  <c r="D54" i="350" s="1"/>
  <c r="BH54" i="301"/>
  <c r="CX54" i="301" s="1"/>
  <c r="DS54" i="301" s="1"/>
  <c r="C54" i="350" s="1"/>
  <c r="BJ53" i="301"/>
  <c r="CZ53" i="301" s="1"/>
  <c r="DU53" i="301" s="1"/>
  <c r="E53" i="350" s="1"/>
  <c r="BI53" i="301"/>
  <c r="CY53" i="301" s="1"/>
  <c r="DT53" i="301" s="1"/>
  <c r="D53" i="350" s="1"/>
  <c r="BH53" i="301"/>
  <c r="BJ52" i="301"/>
  <c r="BI52" i="301"/>
  <c r="BH52" i="301"/>
  <c r="BJ51" i="301"/>
  <c r="CZ51" i="301" s="1"/>
  <c r="DU51" i="301" s="1"/>
  <c r="E51" i="350" s="1"/>
  <c r="F40" i="402" s="1"/>
  <c r="F42" i="402" s="1"/>
  <c r="BI51" i="301"/>
  <c r="CY51" i="301" s="1"/>
  <c r="BH51" i="301"/>
  <c r="BJ50" i="301"/>
  <c r="BI50" i="301"/>
  <c r="CY50" i="301" s="1"/>
  <c r="DT50" i="301" s="1"/>
  <c r="D50" i="350" s="1"/>
  <c r="E45" i="402" s="1"/>
  <c r="E50" i="402" s="1"/>
  <c r="BH50" i="301"/>
  <c r="CX50" i="301" s="1"/>
  <c r="BJ49" i="301"/>
  <c r="BI49" i="301"/>
  <c r="CY49" i="301" s="1"/>
  <c r="DT49" i="301" s="1"/>
  <c r="D49" i="350" s="1"/>
  <c r="BH49" i="301"/>
  <c r="CX49" i="301" s="1"/>
  <c r="DS49" i="301" s="1"/>
  <c r="C49" i="350" s="1"/>
  <c r="BJ48" i="301"/>
  <c r="CZ48" i="301" s="1"/>
  <c r="BI48" i="301"/>
  <c r="CY48" i="301" s="1"/>
  <c r="DT48" i="301" s="1"/>
  <c r="D48" i="350" s="1"/>
  <c r="BH48" i="301"/>
  <c r="BJ47" i="301"/>
  <c r="CZ47" i="301" s="1"/>
  <c r="DU47" i="301" s="1"/>
  <c r="E47" i="350" s="1"/>
  <c r="BI47" i="301"/>
  <c r="CY47" i="301" s="1"/>
  <c r="DT47" i="301" s="1"/>
  <c r="D47" i="350" s="1"/>
  <c r="BH47" i="301"/>
  <c r="CX47" i="301" s="1"/>
  <c r="DS47" i="301" s="1"/>
  <c r="C47" i="350" s="1"/>
  <c r="BJ46" i="301"/>
  <c r="BJ42" i="301"/>
  <c r="CZ42" i="301" s="1"/>
  <c r="DU42" i="301" s="1"/>
  <c r="E42" i="350" s="1"/>
  <c r="F30" i="402" s="1"/>
  <c r="BI42" i="301"/>
  <c r="BH42" i="301"/>
  <c r="BJ41" i="301"/>
  <c r="CZ41" i="301" s="1"/>
  <c r="DU41" i="301" s="1"/>
  <c r="E41" i="350" s="1"/>
  <c r="BI41" i="301"/>
  <c r="CY41" i="301" s="1"/>
  <c r="DT41" i="301" s="1"/>
  <c r="D41" i="350" s="1"/>
  <c r="BH41" i="301"/>
  <c r="CX41" i="301" s="1"/>
  <c r="DS41" i="301" s="1"/>
  <c r="C41" i="350" s="1"/>
  <c r="BJ40" i="301"/>
  <c r="CZ40" i="301" s="1"/>
  <c r="DU40" i="301" s="1"/>
  <c r="E40" i="350" s="1"/>
  <c r="BI40" i="301"/>
  <c r="CY40" i="301" s="1"/>
  <c r="BH40" i="301"/>
  <c r="BJ39" i="301"/>
  <c r="CZ39" i="301" s="1"/>
  <c r="DU39" i="301" s="1"/>
  <c r="E39" i="350" s="1"/>
  <c r="BI39" i="301"/>
  <c r="CY39" i="301" s="1"/>
  <c r="DT39" i="301" s="1"/>
  <c r="D39" i="350" s="1"/>
  <c r="BH39" i="301"/>
  <c r="BJ38" i="301"/>
  <c r="BI38" i="301"/>
  <c r="CY38" i="301" s="1"/>
  <c r="DT38" i="301" s="1"/>
  <c r="D38" i="350" s="1"/>
  <c r="E28" i="402" s="1"/>
  <c r="BH38" i="301"/>
  <c r="CX38" i="301" s="1"/>
  <c r="DS38" i="301" s="1"/>
  <c r="C38" i="350" s="1"/>
  <c r="BJ37" i="301"/>
  <c r="CZ37" i="301" s="1"/>
  <c r="DU37" i="301" s="1"/>
  <c r="BI37" i="301"/>
  <c r="BH37" i="301"/>
  <c r="CX37" i="301" s="1"/>
  <c r="DS37" i="301" s="1"/>
  <c r="C37" i="350" s="1"/>
  <c r="BJ36" i="301"/>
  <c r="CZ36" i="301" s="1"/>
  <c r="DU36" i="301" s="1"/>
  <c r="E36" i="350" s="1"/>
  <c r="BI36" i="301"/>
  <c r="CY36" i="301" s="1"/>
  <c r="DT36" i="301" s="1"/>
  <c r="D36" i="350" s="1"/>
  <c r="BH36" i="301"/>
  <c r="CX36" i="301" s="1"/>
  <c r="BJ35" i="301"/>
  <c r="CZ35" i="301" s="1"/>
  <c r="DU35" i="301" s="1"/>
  <c r="E35" i="350" s="1"/>
  <c r="E21" i="343" s="1"/>
  <c r="BI35" i="301"/>
  <c r="BH35" i="301"/>
  <c r="CX35" i="301" s="1"/>
  <c r="DS35" i="301" s="1"/>
  <c r="C35" i="350" s="1"/>
  <c r="BJ33" i="301"/>
  <c r="CZ33" i="301" s="1"/>
  <c r="DU33" i="301" s="1"/>
  <c r="BI33" i="301"/>
  <c r="BH33" i="301"/>
  <c r="BJ32" i="301"/>
  <c r="BI32" i="301"/>
  <c r="CY32" i="301" s="1"/>
  <c r="DT32" i="301" s="1"/>
  <c r="BH32" i="301"/>
  <c r="BJ30" i="301"/>
  <c r="BI30" i="301"/>
  <c r="CY30" i="301" s="1"/>
  <c r="DT30" i="301" s="1"/>
  <c r="D30" i="350" s="1"/>
  <c r="BH30" i="301"/>
  <c r="BJ29" i="301"/>
  <c r="BI29" i="301"/>
  <c r="BH29" i="301"/>
  <c r="BJ28" i="301"/>
  <c r="BI28" i="301"/>
  <c r="BH28" i="301"/>
  <c r="BJ27" i="301"/>
  <c r="BI27" i="301"/>
  <c r="BH27" i="301"/>
  <c r="BJ26" i="301"/>
  <c r="CZ26" i="301" s="1"/>
  <c r="DU26" i="301" s="1"/>
  <c r="E26" i="350" s="1"/>
  <c r="E16" i="343" s="1"/>
  <c r="BI26" i="301"/>
  <c r="CY26" i="301" s="1"/>
  <c r="DT26" i="301" s="1"/>
  <c r="H14" i="314" s="1"/>
  <c r="BH26" i="301"/>
  <c r="CX26" i="301" s="1"/>
  <c r="DS26" i="301" s="1"/>
  <c r="G14" i="314" s="1"/>
  <c r="BJ25" i="301"/>
  <c r="BI25" i="301"/>
  <c r="BH25" i="301"/>
  <c r="BJ24" i="301"/>
  <c r="BI24" i="301"/>
  <c r="BH24" i="301"/>
  <c r="BJ23" i="301"/>
  <c r="BI23" i="301"/>
  <c r="BH23" i="301"/>
  <c r="BJ22" i="301"/>
  <c r="CZ22" i="301" s="1"/>
  <c r="DU22" i="301" s="1"/>
  <c r="E22" i="350" s="1"/>
  <c r="BI22" i="301"/>
  <c r="CY22" i="301" s="1"/>
  <c r="DT22" i="301" s="1"/>
  <c r="D22" i="350" s="1"/>
  <c r="E18" i="402" s="1"/>
  <c r="BH22" i="301"/>
  <c r="CX22" i="301" s="1"/>
  <c r="DS22" i="301" s="1"/>
  <c r="C22" i="350" s="1"/>
  <c r="D18" i="402" s="1"/>
  <c r="BJ21" i="301"/>
  <c r="CZ21" i="301" s="1"/>
  <c r="DU21" i="301" s="1"/>
  <c r="E21" i="350" s="1"/>
  <c r="E19" i="343" s="1"/>
  <c r="BI21" i="301"/>
  <c r="CY21" i="301" s="1"/>
  <c r="BH21" i="301"/>
  <c r="CX21" i="301" s="1"/>
  <c r="DS21" i="301" s="1"/>
  <c r="C21" i="350" s="1"/>
  <c r="BJ18" i="301"/>
  <c r="CZ18" i="301" s="1"/>
  <c r="DU18" i="301" s="1"/>
  <c r="E18" i="350" s="1"/>
  <c r="BI18" i="301"/>
  <c r="CY18" i="301" s="1"/>
  <c r="DT18" i="301" s="1"/>
  <c r="D18" i="350" s="1"/>
  <c r="BH18" i="301"/>
  <c r="CX18" i="301" s="1"/>
  <c r="DS18" i="301" s="1"/>
  <c r="C18" i="350" s="1"/>
  <c r="BH15" i="301"/>
  <c r="BE46" i="301"/>
  <c r="BG20" i="301"/>
  <c r="BG14" i="301" s="1"/>
  <c r="BF20" i="301"/>
  <c r="BF14" i="301" s="1"/>
  <c r="BE20" i="301"/>
  <c r="BE14" i="301" s="1"/>
  <c r="BD20" i="301"/>
  <c r="BD14" i="301" s="1"/>
  <c r="BC20" i="301"/>
  <c r="BC14" i="301" s="1"/>
  <c r="BB20" i="301"/>
  <c r="BB14" i="301" s="1"/>
  <c r="BA20" i="301"/>
  <c r="BA14" i="301" s="1"/>
  <c r="AZ20" i="301"/>
  <c r="AZ14" i="301" s="1"/>
  <c r="AY20" i="301"/>
  <c r="AX20" i="301"/>
  <c r="AX14" i="301" s="1"/>
  <c r="AW20" i="301"/>
  <c r="AW14" i="301" s="1"/>
  <c r="AV20" i="301"/>
  <c r="AV14" i="301" s="1"/>
  <c r="AU20" i="301"/>
  <c r="AU14" i="301" s="1"/>
  <c r="AT20" i="301"/>
  <c r="AT14" i="301" s="1"/>
  <c r="AS20" i="301"/>
  <c r="AS14" i="301" s="1"/>
  <c r="AR20" i="301"/>
  <c r="AR14" i="301" s="1"/>
  <c r="AQ20" i="301"/>
  <c r="AQ14" i="301" s="1"/>
  <c r="AP20" i="301"/>
  <c r="AP14" i="301" s="1"/>
  <c r="AO20" i="301"/>
  <c r="AO14" i="301" s="1"/>
  <c r="AN20" i="301"/>
  <c r="AN14" i="301" s="1"/>
  <c r="AM20" i="301"/>
  <c r="AM14" i="301" s="1"/>
  <c r="AL20" i="301"/>
  <c r="AL14" i="301" s="1"/>
  <c r="AK20" i="301"/>
  <c r="AK14" i="301" s="1"/>
  <c r="AJ20" i="301"/>
  <c r="AJ14" i="301" s="1"/>
  <c r="AI20" i="301"/>
  <c r="AI14" i="301" s="1"/>
  <c r="AH20" i="301"/>
  <c r="AH14" i="301" s="1"/>
  <c r="AG20" i="301"/>
  <c r="AG14" i="301" s="1"/>
  <c r="AF20" i="301"/>
  <c r="AF14" i="301" s="1"/>
  <c r="AE20" i="301"/>
  <c r="AE14" i="301" s="1"/>
  <c r="AD20" i="301"/>
  <c r="AD14" i="301" s="1"/>
  <c r="AC20" i="301"/>
  <c r="AC14" i="301" s="1"/>
  <c r="AB20" i="301"/>
  <c r="AB14" i="301" s="1"/>
  <c r="AA20" i="301"/>
  <c r="AA14" i="301" s="1"/>
  <c r="Z20" i="301"/>
  <c r="Z14" i="301" s="1"/>
  <c r="Y20" i="301"/>
  <c r="Y14" i="301" s="1"/>
  <c r="X20" i="301"/>
  <c r="X14" i="301" s="1"/>
  <c r="W20" i="301"/>
  <c r="W14" i="301" s="1"/>
  <c r="V20" i="301"/>
  <c r="V14" i="301" s="1"/>
  <c r="U20" i="301"/>
  <c r="U14" i="301" s="1"/>
  <c r="T20" i="301"/>
  <c r="T14" i="301" s="1"/>
  <c r="S20" i="301"/>
  <c r="S14" i="301" s="1"/>
  <c r="R20" i="301"/>
  <c r="R14" i="301" s="1"/>
  <c r="Q20" i="301"/>
  <c r="Q14" i="301" s="1"/>
  <c r="P20" i="301"/>
  <c r="P14" i="301" s="1"/>
  <c r="O20" i="301"/>
  <c r="N20" i="301"/>
  <c r="N14" i="301" s="1"/>
  <c r="M20" i="301"/>
  <c r="M14" i="301" s="1"/>
  <c r="L20" i="301"/>
  <c r="L14" i="301" s="1"/>
  <c r="K20" i="301"/>
  <c r="K14" i="301" s="1"/>
  <c r="J20" i="301"/>
  <c r="J14" i="301" s="1"/>
  <c r="I20" i="301"/>
  <c r="I14" i="301" s="1"/>
  <c r="H20" i="301"/>
  <c r="H14" i="301" s="1"/>
  <c r="G20" i="301"/>
  <c r="G14" i="301" s="1"/>
  <c r="F20" i="301"/>
  <c r="F14" i="301" s="1"/>
  <c r="E20" i="301"/>
  <c r="E14" i="301" s="1"/>
  <c r="D20" i="301"/>
  <c r="D14" i="301" s="1"/>
  <c r="BG45" i="301"/>
  <c r="BG44" i="301" s="1"/>
  <c r="BD45" i="301"/>
  <c r="BD44" i="301" s="1"/>
  <c r="BC45" i="301"/>
  <c r="BC44" i="301" s="1"/>
  <c r="BB45" i="301"/>
  <c r="BB44" i="301" s="1"/>
  <c r="BA45" i="301"/>
  <c r="BA44" i="301" s="1"/>
  <c r="AZ45" i="301"/>
  <c r="AZ44" i="301" s="1"/>
  <c r="AY45" i="301"/>
  <c r="AY44" i="301" s="1"/>
  <c r="AX45" i="301"/>
  <c r="AX44" i="301" s="1"/>
  <c r="AW45" i="301"/>
  <c r="AW44" i="301" s="1"/>
  <c r="AV45" i="301"/>
  <c r="AV44" i="301" s="1"/>
  <c r="AU45" i="301"/>
  <c r="AU44" i="301" s="1"/>
  <c r="AT45" i="301"/>
  <c r="AT44" i="301" s="1"/>
  <c r="AS45" i="301"/>
  <c r="AS44" i="301" s="1"/>
  <c r="AR45" i="301"/>
  <c r="AR44" i="301" s="1"/>
  <c r="AQ45" i="301"/>
  <c r="AQ44" i="301" s="1"/>
  <c r="AP45" i="301"/>
  <c r="AP44" i="301" s="1"/>
  <c r="AO45" i="301"/>
  <c r="AO44" i="301" s="1"/>
  <c r="AN45" i="301"/>
  <c r="AN44" i="301" s="1"/>
  <c r="AM45" i="301"/>
  <c r="AM44" i="301" s="1"/>
  <c r="AL45" i="301"/>
  <c r="AL44" i="301" s="1"/>
  <c r="AK45" i="301"/>
  <c r="AK44" i="301" s="1"/>
  <c r="AJ45" i="301"/>
  <c r="AJ44" i="301" s="1"/>
  <c r="AI45" i="301"/>
  <c r="AI44" i="301" s="1"/>
  <c r="AH45" i="301"/>
  <c r="AH44" i="301" s="1"/>
  <c r="AG45" i="301"/>
  <c r="AG44" i="301" s="1"/>
  <c r="AF45" i="301"/>
  <c r="AF44" i="301" s="1"/>
  <c r="AE45" i="301"/>
  <c r="AE44" i="301" s="1"/>
  <c r="AD45" i="301"/>
  <c r="AD44" i="301" s="1"/>
  <c r="AC45" i="301"/>
  <c r="AC44" i="301" s="1"/>
  <c r="AB45" i="301"/>
  <c r="AB44" i="301" s="1"/>
  <c r="AA45" i="301"/>
  <c r="AA44" i="301" s="1"/>
  <c r="Z45" i="301"/>
  <c r="Z44" i="301" s="1"/>
  <c r="Y45" i="301"/>
  <c r="Y44" i="301" s="1"/>
  <c r="X45" i="301"/>
  <c r="X44" i="301" s="1"/>
  <c r="W45" i="301"/>
  <c r="W44" i="301" s="1"/>
  <c r="V45" i="301"/>
  <c r="V44" i="301" s="1"/>
  <c r="U45" i="301"/>
  <c r="U44" i="301" s="1"/>
  <c r="T45" i="301"/>
  <c r="T44" i="301" s="1"/>
  <c r="S45" i="301"/>
  <c r="S44" i="301" s="1"/>
  <c r="R45" i="301"/>
  <c r="R44" i="301" s="1"/>
  <c r="Q45" i="301"/>
  <c r="Q44" i="301" s="1"/>
  <c r="P45" i="301"/>
  <c r="P44" i="301" s="1"/>
  <c r="O45" i="301"/>
  <c r="O44" i="301" s="1"/>
  <c r="N45" i="301"/>
  <c r="N44" i="301" s="1"/>
  <c r="M45" i="301"/>
  <c r="M44" i="301" s="1"/>
  <c r="L45" i="301"/>
  <c r="L44" i="301" s="1"/>
  <c r="K45" i="301"/>
  <c r="K44" i="301" s="1"/>
  <c r="J45" i="301"/>
  <c r="J44" i="301" s="1"/>
  <c r="I45" i="301"/>
  <c r="I44" i="301" s="1"/>
  <c r="H45" i="301"/>
  <c r="H44" i="301" s="1"/>
  <c r="G45" i="301"/>
  <c r="G44" i="301" s="1"/>
  <c r="F45" i="301"/>
  <c r="F44" i="301" s="1"/>
  <c r="E45" i="301"/>
  <c r="E44" i="301" s="1"/>
  <c r="D45" i="301"/>
  <c r="D44" i="301" s="1"/>
  <c r="C45" i="301"/>
  <c r="C44" i="301" s="1"/>
  <c r="BG34" i="301"/>
  <c r="BG31" i="301" s="1"/>
  <c r="BF34" i="301"/>
  <c r="BF31" i="301" s="1"/>
  <c r="BE34" i="301"/>
  <c r="BE31" i="301" s="1"/>
  <c r="BD34" i="301"/>
  <c r="BD31" i="301" s="1"/>
  <c r="BC34" i="301"/>
  <c r="BC31" i="301" s="1"/>
  <c r="BB34" i="301"/>
  <c r="BB31" i="301" s="1"/>
  <c r="BA34" i="301"/>
  <c r="BA31" i="301" s="1"/>
  <c r="AZ34" i="301"/>
  <c r="AZ31" i="301" s="1"/>
  <c r="AY34" i="301"/>
  <c r="AY31" i="301" s="1"/>
  <c r="AX34" i="301"/>
  <c r="AX31" i="301" s="1"/>
  <c r="AW34" i="301"/>
  <c r="AW31" i="301" s="1"/>
  <c r="AV34" i="301"/>
  <c r="AV31" i="301" s="1"/>
  <c r="AU34" i="301"/>
  <c r="AU31" i="301" s="1"/>
  <c r="AT34" i="301"/>
  <c r="AT31" i="301" s="1"/>
  <c r="AS34" i="301"/>
  <c r="AS31" i="301" s="1"/>
  <c r="AR34" i="301"/>
  <c r="AR31" i="301" s="1"/>
  <c r="AQ34" i="301"/>
  <c r="AQ31" i="301" s="1"/>
  <c r="AP34" i="301"/>
  <c r="AP31" i="301" s="1"/>
  <c r="AO34" i="301"/>
  <c r="AO31" i="301" s="1"/>
  <c r="AN34" i="301"/>
  <c r="AN31" i="301" s="1"/>
  <c r="AM34" i="301"/>
  <c r="AM31" i="301" s="1"/>
  <c r="AL34" i="301"/>
  <c r="AL31" i="301" s="1"/>
  <c r="AK34" i="301"/>
  <c r="AK31" i="301" s="1"/>
  <c r="AJ34" i="301"/>
  <c r="AJ31" i="301" s="1"/>
  <c r="AI34" i="301"/>
  <c r="AI31" i="301" s="1"/>
  <c r="AH34" i="301"/>
  <c r="AH31" i="301" s="1"/>
  <c r="AG34" i="301"/>
  <c r="AG31" i="301" s="1"/>
  <c r="AF34" i="301"/>
  <c r="AF31" i="301" s="1"/>
  <c r="AE34" i="301"/>
  <c r="AE31" i="301" s="1"/>
  <c r="AD34" i="301"/>
  <c r="AD31" i="301" s="1"/>
  <c r="AC34" i="301"/>
  <c r="AC31" i="301" s="1"/>
  <c r="AB34" i="301"/>
  <c r="AB31" i="301" s="1"/>
  <c r="AA34" i="301"/>
  <c r="AA31" i="301" s="1"/>
  <c r="Z34" i="301"/>
  <c r="Z31" i="301" s="1"/>
  <c r="Y34" i="301"/>
  <c r="Y31" i="301" s="1"/>
  <c r="X34" i="301"/>
  <c r="X31" i="301" s="1"/>
  <c r="W34" i="301"/>
  <c r="W31" i="301" s="1"/>
  <c r="V34" i="301"/>
  <c r="V31" i="301" s="1"/>
  <c r="U34" i="301"/>
  <c r="U31" i="301" s="1"/>
  <c r="T34" i="301"/>
  <c r="T31" i="301" s="1"/>
  <c r="S34" i="301"/>
  <c r="S31" i="301" s="1"/>
  <c r="R34" i="301"/>
  <c r="R31" i="301" s="1"/>
  <c r="Q34" i="301"/>
  <c r="Q31" i="301" s="1"/>
  <c r="P34" i="301"/>
  <c r="P31" i="301" s="1"/>
  <c r="O34" i="301"/>
  <c r="O31" i="301" s="1"/>
  <c r="N34" i="301"/>
  <c r="N31" i="301" s="1"/>
  <c r="M34" i="301"/>
  <c r="M31" i="301" s="1"/>
  <c r="L34" i="301"/>
  <c r="L31" i="301" s="1"/>
  <c r="K34" i="301"/>
  <c r="K31" i="301" s="1"/>
  <c r="J34" i="301"/>
  <c r="J31" i="301" s="1"/>
  <c r="I34" i="301"/>
  <c r="I31" i="301" s="1"/>
  <c r="H34" i="301"/>
  <c r="H31" i="301" s="1"/>
  <c r="G34" i="301"/>
  <c r="G31" i="301" s="1"/>
  <c r="F34" i="301"/>
  <c r="F31" i="301" s="1"/>
  <c r="E34" i="301"/>
  <c r="E31" i="301" s="1"/>
  <c r="D34" i="301"/>
  <c r="D31" i="301" s="1"/>
  <c r="C34" i="301"/>
  <c r="C31" i="301" s="1"/>
  <c r="C20" i="301"/>
  <c r="AY14" i="301"/>
  <c r="O14" i="301"/>
  <c r="BJ57" i="301"/>
  <c r="BI57" i="301"/>
  <c r="CY57" i="301" s="1"/>
  <c r="BH57" i="301"/>
  <c r="CX57" i="301" s="1"/>
  <c r="BJ56" i="301"/>
  <c r="BI56" i="301"/>
  <c r="BH56" i="301"/>
  <c r="E128" i="404"/>
  <c r="I128" i="404" s="1"/>
  <c r="B18" i="330"/>
  <c r="C18" i="330"/>
  <c r="D18" i="330"/>
  <c r="E18" i="330"/>
  <c r="F18" i="330"/>
  <c r="G18" i="330"/>
  <c r="H18" i="330"/>
  <c r="I18" i="330"/>
  <c r="J18" i="330"/>
  <c r="K18" i="330"/>
  <c r="L18" i="330"/>
  <c r="M18" i="330"/>
  <c r="N18" i="330"/>
  <c r="O18" i="330"/>
  <c r="B27" i="330"/>
  <c r="C27" i="330"/>
  <c r="D27" i="330"/>
  <c r="E27" i="330"/>
  <c r="F27" i="330"/>
  <c r="G27" i="330"/>
  <c r="H27" i="330"/>
  <c r="I27" i="330"/>
  <c r="J27" i="330"/>
  <c r="K27" i="330"/>
  <c r="L27" i="330"/>
  <c r="M27" i="330"/>
  <c r="N27" i="330"/>
  <c r="O27" i="330"/>
  <c r="B28" i="329"/>
  <c r="B37" i="329"/>
  <c r="D28" i="329"/>
  <c r="D37" i="329" s="1"/>
  <c r="F28" i="329"/>
  <c r="H28" i="329"/>
  <c r="H32" i="329"/>
  <c r="F37" i="329"/>
  <c r="E24" i="328"/>
  <c r="G24" i="328"/>
  <c r="E25" i="328"/>
  <c r="G25" i="328"/>
  <c r="E26" i="328"/>
  <c r="G26" i="328"/>
  <c r="I26" i="328"/>
  <c r="E27" i="328"/>
  <c r="G27" i="328"/>
  <c r="H27" i="328"/>
  <c r="E28" i="328"/>
  <c r="G28" i="328"/>
  <c r="I28" i="328"/>
  <c r="E29" i="328"/>
  <c r="G29" i="328"/>
  <c r="I29" i="328"/>
  <c r="J29" i="328"/>
  <c r="E30" i="328"/>
  <c r="G30" i="328"/>
  <c r="I30" i="328"/>
  <c r="E31" i="328"/>
  <c r="G31" i="328"/>
  <c r="J31" i="328" s="1"/>
  <c r="I31" i="328"/>
  <c r="E32" i="328"/>
  <c r="G32" i="328"/>
  <c r="I32" i="328"/>
  <c r="J32" i="328"/>
  <c r="L32" i="328"/>
  <c r="M32" i="328" s="1"/>
  <c r="E33" i="328"/>
  <c r="G33" i="328"/>
  <c r="J33" i="328"/>
  <c r="I33" i="328"/>
  <c r="L33" i="328" s="1"/>
  <c r="M33" i="328" s="1"/>
  <c r="E34" i="328"/>
  <c r="G34" i="328"/>
  <c r="I34" i="328"/>
  <c r="L34" i="328"/>
  <c r="M34" i="328"/>
  <c r="E35" i="328"/>
  <c r="G35" i="328"/>
  <c r="I35" i="328"/>
  <c r="J35" i="328"/>
  <c r="E36" i="328"/>
  <c r="G36" i="328"/>
  <c r="H36" i="328"/>
  <c r="G37" i="328"/>
  <c r="H37" i="328"/>
  <c r="B38" i="328"/>
  <c r="C38" i="328"/>
  <c r="D38" i="328"/>
  <c r="F38" i="328"/>
  <c r="K38" i="328"/>
  <c r="K45" i="328"/>
  <c r="B45" i="328"/>
  <c r="C45" i="328"/>
  <c r="D45" i="328"/>
  <c r="F45" i="328"/>
  <c r="AH15" i="401"/>
  <c r="G14" i="370" s="1"/>
  <c r="AH16" i="401"/>
  <c r="C17" i="401"/>
  <c r="D17" i="401"/>
  <c r="E17" i="401"/>
  <c r="F17" i="401"/>
  <c r="G17" i="401"/>
  <c r="H17" i="401"/>
  <c r="H27" i="401" s="1"/>
  <c r="H33" i="401" s="1"/>
  <c r="I17" i="401"/>
  <c r="I27" i="401"/>
  <c r="I33" i="401"/>
  <c r="I36" i="401" s="1"/>
  <c r="J17" i="401"/>
  <c r="K17" i="401"/>
  <c r="L17" i="401"/>
  <c r="L27" i="401" s="1"/>
  <c r="L33" i="401" s="1"/>
  <c r="L36" i="401" s="1"/>
  <c r="M17" i="401"/>
  <c r="M27" i="401" s="1"/>
  <c r="N17" i="401"/>
  <c r="O17" i="401"/>
  <c r="P17" i="401"/>
  <c r="P27" i="401"/>
  <c r="P33" i="401" s="1"/>
  <c r="P36" i="401" s="1"/>
  <c r="Q17" i="401"/>
  <c r="Q27" i="401"/>
  <c r="Q33" i="401" s="1"/>
  <c r="Q36" i="401" s="1"/>
  <c r="R17" i="401"/>
  <c r="S17" i="401"/>
  <c r="T17" i="401"/>
  <c r="U17" i="401"/>
  <c r="U27" i="401" s="1"/>
  <c r="U33" i="401" s="1"/>
  <c r="U36" i="401" s="1"/>
  <c r="V17" i="401"/>
  <c r="W17" i="401"/>
  <c r="X17" i="401"/>
  <c r="Y17" i="401"/>
  <c r="Y27" i="401" s="1"/>
  <c r="Y33" i="401" s="1"/>
  <c r="Y36" i="401" s="1"/>
  <c r="Z17" i="401"/>
  <c r="Z27" i="401" s="1"/>
  <c r="Z33" i="401" s="1"/>
  <c r="Z36" i="401" s="1"/>
  <c r="AA17" i="401"/>
  <c r="AB17" i="401"/>
  <c r="AC17" i="401"/>
  <c r="AC27" i="401"/>
  <c r="AC33" i="401" s="1"/>
  <c r="AC36" i="401" s="1"/>
  <c r="AD17" i="401"/>
  <c r="AE17" i="401"/>
  <c r="AF17" i="401"/>
  <c r="AG17" i="401"/>
  <c r="AG27" i="401" s="1"/>
  <c r="AG33" i="401" s="1"/>
  <c r="AG36" i="401" s="1"/>
  <c r="AH18" i="401"/>
  <c r="AH19" i="401"/>
  <c r="G18" i="370" s="1"/>
  <c r="H18" i="370" s="1"/>
  <c r="K18" i="370" s="1"/>
  <c r="AH20" i="401"/>
  <c r="G19" i="370" s="1"/>
  <c r="H19" i="370" s="1"/>
  <c r="K19" i="370" s="1"/>
  <c r="AH21" i="401"/>
  <c r="G20" i="370" s="1"/>
  <c r="H20" i="370" s="1"/>
  <c r="K20" i="370" s="1"/>
  <c r="AH22" i="401"/>
  <c r="AH23" i="401"/>
  <c r="G22" i="370"/>
  <c r="H22" i="370"/>
  <c r="K22" i="370" s="1"/>
  <c r="C24" i="401"/>
  <c r="C27" i="401"/>
  <c r="D24" i="401"/>
  <c r="E24" i="401"/>
  <c r="F24" i="401"/>
  <c r="G24" i="401"/>
  <c r="G27" i="401"/>
  <c r="G33" i="401" s="1"/>
  <c r="G36" i="401" s="1"/>
  <c r="H24" i="401"/>
  <c r="I24" i="401"/>
  <c r="J24" i="401"/>
  <c r="J27" i="401"/>
  <c r="J33" i="401" s="1"/>
  <c r="J36" i="401" s="1"/>
  <c r="K24" i="401"/>
  <c r="K27" i="401"/>
  <c r="K33" i="401"/>
  <c r="L24" i="401"/>
  <c r="M24" i="401"/>
  <c r="N24" i="401"/>
  <c r="O24" i="401"/>
  <c r="O27" i="401" s="1"/>
  <c r="O33" i="401" s="1"/>
  <c r="O36" i="401" s="1"/>
  <c r="P24" i="401"/>
  <c r="Q24" i="401"/>
  <c r="R24" i="401"/>
  <c r="R27" i="401" s="1"/>
  <c r="R33" i="401" s="1"/>
  <c r="R36" i="401" s="1"/>
  <c r="S24" i="401"/>
  <c r="S27" i="401"/>
  <c r="S33" i="401" s="1"/>
  <c r="S36" i="401" s="1"/>
  <c r="T24" i="401"/>
  <c r="U24" i="401"/>
  <c r="V24" i="401"/>
  <c r="W24" i="401"/>
  <c r="W27" i="401"/>
  <c r="W33" i="401" s="1"/>
  <c r="W36" i="401" s="1"/>
  <c r="X24" i="401"/>
  <c r="X27" i="401" s="1"/>
  <c r="X33" i="401" s="1"/>
  <c r="Y24" i="401"/>
  <c r="Z24" i="401"/>
  <c r="AA24" i="401"/>
  <c r="AA27" i="401"/>
  <c r="AA33" i="401" s="1"/>
  <c r="AA36" i="401" s="1"/>
  <c r="AB24" i="401"/>
  <c r="AB27" i="401" s="1"/>
  <c r="AB33" i="401" s="1"/>
  <c r="AB36" i="401" s="1"/>
  <c r="AC24" i="401"/>
  <c r="AD24" i="401"/>
  <c r="AE24" i="401"/>
  <c r="AE27" i="401"/>
  <c r="AF24" i="401"/>
  <c r="AG24" i="401"/>
  <c r="AH25" i="401"/>
  <c r="G24" i="370"/>
  <c r="H24" i="370"/>
  <c r="K24" i="370" s="1"/>
  <c r="AH26" i="401"/>
  <c r="E27" i="401"/>
  <c r="E33" i="401"/>
  <c r="E36" i="401" s="1"/>
  <c r="F27" i="401"/>
  <c r="F33" i="401"/>
  <c r="F36" i="401"/>
  <c r="N27" i="401"/>
  <c r="N33" i="401" s="1"/>
  <c r="N36" i="401" s="1"/>
  <c r="T27" i="401"/>
  <c r="T33" i="401"/>
  <c r="T36" i="401" s="1"/>
  <c r="AD27" i="401"/>
  <c r="AD33" i="401"/>
  <c r="AD36" i="401" s="1"/>
  <c r="AH28" i="401"/>
  <c r="AH29" i="401"/>
  <c r="G28" i="370"/>
  <c r="H28" i="370" s="1"/>
  <c r="K28" i="370" s="1"/>
  <c r="AH30" i="401"/>
  <c r="G29" i="370"/>
  <c r="H29" i="370" s="1"/>
  <c r="K29" i="370" s="1"/>
  <c r="AH31" i="401"/>
  <c r="G30" i="370" s="1"/>
  <c r="H30" i="370" s="1"/>
  <c r="K30" i="370" s="1"/>
  <c r="AH32" i="401"/>
  <c r="C33" i="401"/>
  <c r="H36" i="401"/>
  <c r="X36" i="401"/>
  <c r="AE33" i="401"/>
  <c r="AE36" i="401" s="1"/>
  <c r="AH34" i="401"/>
  <c r="G33" i="370" s="1"/>
  <c r="H33" i="370" s="1"/>
  <c r="K33" i="370" s="1"/>
  <c r="AH35" i="401"/>
  <c r="G34" i="370" s="1"/>
  <c r="H34" i="370" s="1"/>
  <c r="K34" i="370" s="1"/>
  <c r="K36" i="401"/>
  <c r="AH38" i="401"/>
  <c r="AH39" i="401"/>
  <c r="G38" i="370" s="1"/>
  <c r="H38" i="370" s="1"/>
  <c r="AH40" i="401"/>
  <c r="G39" i="370" s="1"/>
  <c r="H39" i="370" s="1"/>
  <c r="K39" i="370" s="1"/>
  <c r="G15" i="370"/>
  <c r="H15" i="370" s="1"/>
  <c r="K15" i="370" s="1"/>
  <c r="C16" i="370"/>
  <c r="D16" i="370"/>
  <c r="E16" i="370"/>
  <c r="F16" i="370"/>
  <c r="F26" i="370"/>
  <c r="F32" i="370"/>
  <c r="F35" i="370" s="1"/>
  <c r="I16" i="370"/>
  <c r="J16" i="370"/>
  <c r="J26" i="370" s="1"/>
  <c r="J32" i="370" s="1"/>
  <c r="J35" i="370" s="1"/>
  <c r="G17" i="370"/>
  <c r="G21" i="370"/>
  <c r="H21" i="370"/>
  <c r="K21" i="370" s="1"/>
  <c r="C23" i="370"/>
  <c r="D23" i="370"/>
  <c r="E23" i="370"/>
  <c r="F23" i="370"/>
  <c r="I23" i="370"/>
  <c r="J23" i="370"/>
  <c r="G25" i="370"/>
  <c r="H25" i="370" s="1"/>
  <c r="K25" i="370" s="1"/>
  <c r="C26" i="370"/>
  <c r="G27" i="370"/>
  <c r="H27" i="370" s="1"/>
  <c r="K27" i="370" s="1"/>
  <c r="G31" i="370"/>
  <c r="H31" i="370"/>
  <c r="K31" i="370" s="1"/>
  <c r="G37" i="370"/>
  <c r="H37" i="370"/>
  <c r="K37" i="370" s="1"/>
  <c r="K38" i="370"/>
  <c r="E16" i="344"/>
  <c r="H16" i="344"/>
  <c r="E17" i="344"/>
  <c r="H17" i="344"/>
  <c r="E18" i="344"/>
  <c r="H18" i="344"/>
  <c r="E19" i="344"/>
  <c r="H19" i="344"/>
  <c r="E20" i="344"/>
  <c r="H20" i="344"/>
  <c r="C21" i="344"/>
  <c r="F21" i="344"/>
  <c r="E22" i="344"/>
  <c r="H22" i="344"/>
  <c r="E23" i="344"/>
  <c r="H23" i="344"/>
  <c r="E25" i="344"/>
  <c r="H25" i="344"/>
  <c r="E26" i="344"/>
  <c r="H26" i="344"/>
  <c r="E29" i="344"/>
  <c r="H29" i="344"/>
  <c r="E30" i="344"/>
  <c r="H30" i="344"/>
  <c r="E31" i="344"/>
  <c r="H31" i="344"/>
  <c r="BI17" i="301"/>
  <c r="BH15" i="302"/>
  <c r="BH16" i="302"/>
  <c r="BH17" i="302"/>
  <c r="BH19" i="302"/>
  <c r="BH20" i="302"/>
  <c r="BH35" i="302"/>
  <c r="BH36" i="302"/>
  <c r="BH37" i="302"/>
  <c r="BH38" i="302"/>
  <c r="BH39" i="302"/>
  <c r="CX39" i="302" s="1"/>
  <c r="DS39" i="302" s="1"/>
  <c r="C40" i="351" s="1"/>
  <c r="BH40" i="302"/>
  <c r="BH41" i="302"/>
  <c r="CX41" i="302" s="1"/>
  <c r="DS41" i="302" s="1"/>
  <c r="C42" i="351" s="1"/>
  <c r="BI16" i="302"/>
  <c r="BI17" i="302"/>
  <c r="BI18" i="302"/>
  <c r="CY18" i="302" s="1"/>
  <c r="BI20" i="302"/>
  <c r="BI35" i="302"/>
  <c r="BI36" i="302"/>
  <c r="BI37" i="302"/>
  <c r="CY37" i="302" s="1"/>
  <c r="DT37" i="302" s="1"/>
  <c r="D38" i="351" s="1"/>
  <c r="BI38" i="302"/>
  <c r="BI39" i="302"/>
  <c r="CY39" i="302" s="1"/>
  <c r="DT39" i="302" s="1"/>
  <c r="D40" i="351" s="1"/>
  <c r="BI40" i="302"/>
  <c r="BI41" i="302"/>
  <c r="BJ16" i="302"/>
  <c r="BJ18" i="302"/>
  <c r="BJ19" i="302"/>
  <c r="BJ35" i="302"/>
  <c r="BJ36" i="302"/>
  <c r="BJ37" i="302"/>
  <c r="BJ38" i="302"/>
  <c r="BJ39" i="302"/>
  <c r="CZ39" i="302" s="1"/>
  <c r="DU39" i="302" s="1"/>
  <c r="BJ40" i="302"/>
  <c r="BJ41" i="302"/>
  <c r="BH53" i="302"/>
  <c r="CX53" i="302" s="1"/>
  <c r="BI53" i="302"/>
  <c r="CY53" i="302" s="1"/>
  <c r="DT53" i="302" s="1"/>
  <c r="D54" i="351" s="1"/>
  <c r="BH62" i="302"/>
  <c r="BH63" i="302"/>
  <c r="CX63" i="302" s="1"/>
  <c r="DS63" i="302" s="1"/>
  <c r="C64" i="351" s="1"/>
  <c r="BH64" i="302"/>
  <c r="CX64" i="302" s="1"/>
  <c r="DS64" i="302" s="1"/>
  <c r="C65" i="351" s="1"/>
  <c r="BH65" i="302"/>
  <c r="CX65" i="302" s="1"/>
  <c r="DS65" i="302" s="1"/>
  <c r="C66" i="351" s="1"/>
  <c r="BH66" i="302"/>
  <c r="CX66" i="302" s="1"/>
  <c r="DS66" i="302" s="1"/>
  <c r="C67" i="351" s="1"/>
  <c r="K27" i="402" s="1"/>
  <c r="BH71" i="302"/>
  <c r="BH72" i="302"/>
  <c r="BH73" i="302"/>
  <c r="BH78" i="302"/>
  <c r="BH79" i="302"/>
  <c r="CX79" i="302" s="1"/>
  <c r="DS79" i="302" s="1"/>
  <c r="C80" i="351" s="1"/>
  <c r="BH80" i="302"/>
  <c r="CX80" i="302" s="1"/>
  <c r="DS80" i="302" s="1"/>
  <c r="C81" i="351" s="1"/>
  <c r="BH81" i="302"/>
  <c r="CX81" i="302" s="1"/>
  <c r="DS81" i="302" s="1"/>
  <c r="C82" i="351" s="1"/>
  <c r="BH83" i="302"/>
  <c r="BH84" i="302"/>
  <c r="BH85" i="302"/>
  <c r="CX85" i="302" s="1"/>
  <c r="DS85" i="302" s="1"/>
  <c r="BI62" i="302"/>
  <c r="CY62" i="302" s="1"/>
  <c r="DT62" i="302" s="1"/>
  <c r="D63" i="351" s="1"/>
  <c r="BI63" i="302"/>
  <c r="CY63" i="302" s="1"/>
  <c r="DT63" i="302" s="1"/>
  <c r="D64" i="351" s="1"/>
  <c r="BI64" i="302"/>
  <c r="CY64" i="302" s="1"/>
  <c r="DT64" i="302" s="1"/>
  <c r="D65" i="351" s="1"/>
  <c r="BI65" i="302"/>
  <c r="CY65" i="302" s="1"/>
  <c r="DT65" i="302" s="1"/>
  <c r="D66" i="351" s="1"/>
  <c r="BI66" i="302"/>
  <c r="CY66" i="302" s="1"/>
  <c r="DT66" i="302" s="1"/>
  <c r="BI71" i="302"/>
  <c r="BI72" i="302"/>
  <c r="CY72" i="302" s="1"/>
  <c r="DT72" i="302" s="1"/>
  <c r="D73" i="351" s="1"/>
  <c r="BI73" i="302"/>
  <c r="BI78" i="302"/>
  <c r="CY78" i="302" s="1"/>
  <c r="DT78" i="302" s="1"/>
  <c r="D79" i="351" s="1"/>
  <c r="BI79" i="302"/>
  <c r="CY79" i="302" s="1"/>
  <c r="DT79" i="302" s="1"/>
  <c r="D80" i="351" s="1"/>
  <c r="BI80" i="302"/>
  <c r="CY80" i="302" s="1"/>
  <c r="BI81" i="302"/>
  <c r="CY81" i="302" s="1"/>
  <c r="DT81" i="302" s="1"/>
  <c r="D82" i="351" s="1"/>
  <c r="BI83" i="302"/>
  <c r="BI84" i="302"/>
  <c r="CY84" i="302"/>
  <c r="DT84" i="302" s="1"/>
  <c r="BI85" i="302"/>
  <c r="CY85" i="302" s="1"/>
  <c r="DT85" i="302" s="1"/>
  <c r="BJ62" i="302"/>
  <c r="CZ62" i="302" s="1"/>
  <c r="BJ63" i="302"/>
  <c r="CZ63" i="302" s="1"/>
  <c r="DU63" i="302" s="1"/>
  <c r="E64" i="351" s="1"/>
  <c r="BJ64" i="302"/>
  <c r="CZ64" i="302" s="1"/>
  <c r="DU64" i="302" s="1"/>
  <c r="E65" i="351" s="1"/>
  <c r="BJ65" i="302"/>
  <c r="CZ65" i="302" s="1"/>
  <c r="DU65" i="302" s="1"/>
  <c r="E66" i="351" s="1"/>
  <c r="BJ66" i="302"/>
  <c r="CZ66" i="302" s="1"/>
  <c r="BJ71" i="302"/>
  <c r="BJ72" i="302"/>
  <c r="CZ72" i="302" s="1"/>
  <c r="DU72" i="302" s="1"/>
  <c r="BJ73" i="302"/>
  <c r="BJ78" i="302"/>
  <c r="BJ79" i="302"/>
  <c r="CZ79" i="302" s="1"/>
  <c r="DU79" i="302" s="1"/>
  <c r="E80" i="351" s="1"/>
  <c r="BJ80" i="302"/>
  <c r="CZ80" i="302" s="1"/>
  <c r="DU80" i="302" s="1"/>
  <c r="BJ81" i="302"/>
  <c r="CZ81" i="302" s="1"/>
  <c r="DU81" i="302" s="1"/>
  <c r="E82" i="351" s="1"/>
  <c r="BJ83" i="302"/>
  <c r="BJ84" i="302"/>
  <c r="BJ85" i="302"/>
  <c r="BH55" i="302"/>
  <c r="BI55" i="302"/>
  <c r="CY55" i="302" s="1"/>
  <c r="DT55" i="302" s="1"/>
  <c r="D56" i="351" s="1"/>
  <c r="BJ55" i="302"/>
  <c r="CZ55" i="302" s="1"/>
  <c r="DU55" i="302" s="1"/>
  <c r="E56" i="351" s="1"/>
  <c r="BH48" i="302"/>
  <c r="BH50" i="302"/>
  <c r="CX50" i="302" s="1"/>
  <c r="DS50" i="302" s="1"/>
  <c r="C51" i="351" s="1"/>
  <c r="BH51" i="302"/>
  <c r="BI48" i="302"/>
  <c r="CY48" i="302" s="1"/>
  <c r="DT48" i="302" s="1"/>
  <c r="D49" i="351" s="1"/>
  <c r="BI50" i="302"/>
  <c r="CY50" i="302" s="1"/>
  <c r="BI51" i="302"/>
  <c r="CY51" i="302" s="1"/>
  <c r="BJ50" i="302"/>
  <c r="CZ50" i="302" s="1"/>
  <c r="DU50" i="302" s="1"/>
  <c r="BJ51" i="302"/>
  <c r="CZ51" i="302" s="1"/>
  <c r="DU51" i="302" s="1"/>
  <c r="E52" i="351" s="1"/>
  <c r="C52" i="343"/>
  <c r="D52" i="343"/>
  <c r="E52" i="343"/>
  <c r="C60" i="343"/>
  <c r="D60" i="343"/>
  <c r="D21" i="394"/>
  <c r="D31" i="394" s="1"/>
  <c r="G21" i="394"/>
  <c r="K21" i="394"/>
  <c r="N21" i="394"/>
  <c r="D23" i="394"/>
  <c r="G23" i="394"/>
  <c r="K23" i="394"/>
  <c r="N23" i="394"/>
  <c r="D25" i="394"/>
  <c r="G25" i="394"/>
  <c r="K25" i="394"/>
  <c r="N25" i="394"/>
  <c r="D27" i="394"/>
  <c r="G27" i="394"/>
  <c r="I27" i="394"/>
  <c r="J27" i="394"/>
  <c r="L27" i="394"/>
  <c r="L49" i="394"/>
  <c r="M27" i="394"/>
  <c r="B31" i="394"/>
  <c r="B49" i="394" s="1"/>
  <c r="C31" i="394"/>
  <c r="C49" i="394"/>
  <c r="E31" i="394"/>
  <c r="F31" i="394"/>
  <c r="F49" i="394" s="1"/>
  <c r="K32" i="394"/>
  <c r="K36" i="394"/>
  <c r="N32" i="394"/>
  <c r="N36" i="394" s="1"/>
  <c r="K34" i="394"/>
  <c r="N34" i="394"/>
  <c r="I36" i="394"/>
  <c r="J36" i="394"/>
  <c r="L36" i="394"/>
  <c r="M36" i="394"/>
  <c r="M49" i="394" s="1"/>
  <c r="D37" i="394"/>
  <c r="G37" i="394"/>
  <c r="D39" i="394"/>
  <c r="G39" i="394"/>
  <c r="D41" i="394"/>
  <c r="G41" i="394"/>
  <c r="K41" i="394"/>
  <c r="N41" i="394"/>
  <c r="D43" i="394"/>
  <c r="G43" i="394"/>
  <c r="K43" i="394"/>
  <c r="N43" i="394"/>
  <c r="D45" i="394"/>
  <c r="G45" i="394"/>
  <c r="K45" i="394"/>
  <c r="N45" i="394"/>
  <c r="B47" i="394"/>
  <c r="C47" i="394"/>
  <c r="D47" i="394"/>
  <c r="E47" i="394"/>
  <c r="E49" i="394"/>
  <c r="F47" i="394"/>
  <c r="I47" i="394"/>
  <c r="J47" i="394"/>
  <c r="L47" i="394"/>
  <c r="M47" i="394"/>
  <c r="N47" i="394"/>
  <c r="F19" i="385"/>
  <c r="F20" i="385"/>
  <c r="F21" i="385"/>
  <c r="F22" i="385"/>
  <c r="F23" i="385"/>
  <c r="F24" i="385"/>
  <c r="F25" i="385"/>
  <c r="F26" i="385"/>
  <c r="C28" i="385"/>
  <c r="D28" i="385"/>
  <c r="E28" i="385"/>
  <c r="C32" i="385"/>
  <c r="D32" i="385"/>
  <c r="D57" i="385" s="1"/>
  <c r="E32" i="385"/>
  <c r="F34" i="385"/>
  <c r="F37" i="385"/>
  <c r="C39" i="385"/>
  <c r="E39" i="385"/>
  <c r="F41" i="385"/>
  <c r="F42" i="385"/>
  <c r="F43" i="385"/>
  <c r="F44" i="385"/>
  <c r="F45" i="385"/>
  <c r="F46" i="385"/>
  <c r="F47" i="385"/>
  <c r="F48" i="385"/>
  <c r="F49" i="385"/>
  <c r="F50" i="385"/>
  <c r="F51" i="385"/>
  <c r="F52" i="385"/>
  <c r="F53" i="385"/>
  <c r="E46" i="404"/>
  <c r="F46" i="404" s="1"/>
  <c r="C46" i="404"/>
  <c r="G46" i="404" s="1"/>
  <c r="H46" i="404"/>
  <c r="F50" i="404"/>
  <c r="F51" i="404"/>
  <c r="F53" i="404"/>
  <c r="C56" i="404"/>
  <c r="G56" i="404" s="1"/>
  <c r="D56" i="404"/>
  <c r="E56" i="404"/>
  <c r="I56" i="404" s="1"/>
  <c r="C62" i="404"/>
  <c r="G62" i="404" s="1"/>
  <c r="D62" i="404"/>
  <c r="H62" i="404" s="1"/>
  <c r="E62" i="404"/>
  <c r="I62" i="404" s="1"/>
  <c r="F70" i="404"/>
  <c r="C74" i="404"/>
  <c r="G74" i="404" s="1"/>
  <c r="D74" i="404"/>
  <c r="H74" i="404" s="1"/>
  <c r="E74" i="404"/>
  <c r="I74" i="404" s="1"/>
  <c r="F78" i="404"/>
  <c r="E85" i="404"/>
  <c r="I85" i="404" s="1"/>
  <c r="F80" i="404"/>
  <c r="F81" i="404"/>
  <c r="C85" i="404"/>
  <c r="G85" i="404" s="1"/>
  <c r="F89" i="404"/>
  <c r="F90" i="404"/>
  <c r="C93" i="404"/>
  <c r="G93" i="404" s="1"/>
  <c r="D93" i="404"/>
  <c r="H93" i="404" s="1"/>
  <c r="E93" i="404"/>
  <c r="I93" i="404" s="1"/>
  <c r="F126" i="404"/>
  <c r="C128" i="404"/>
  <c r="G128" i="404" s="1"/>
  <c r="D128" i="404"/>
  <c r="H128" i="404" s="1"/>
  <c r="F134" i="404"/>
  <c r="F136" i="404"/>
  <c r="C138" i="404"/>
  <c r="G138" i="404" s="1"/>
  <c r="D138" i="404"/>
  <c r="H138" i="404" s="1"/>
  <c r="E138" i="404"/>
  <c r="I138" i="404" s="1"/>
  <c r="C152" i="404"/>
  <c r="G152" i="404" s="1"/>
  <c r="D152" i="404"/>
  <c r="H152" i="404" s="1"/>
  <c r="F170" i="404"/>
  <c r="F177" i="404"/>
  <c r="C179" i="404"/>
  <c r="G179" i="404" s="1"/>
  <c r="D179" i="404"/>
  <c r="H179" i="404" s="1"/>
  <c r="E179" i="404"/>
  <c r="I179" i="404" s="1"/>
  <c r="E187" i="404"/>
  <c r="I187" i="404" s="1"/>
  <c r="F183" i="404"/>
  <c r="F184" i="404"/>
  <c r="C187" i="404"/>
  <c r="G187" i="404" s="1"/>
  <c r="D187" i="404"/>
  <c r="C197" i="404"/>
  <c r="G197" i="404" s="1"/>
  <c r="D197" i="404"/>
  <c r="H197" i="404" s="1"/>
  <c r="E197" i="404"/>
  <c r="I197" i="404" s="1"/>
  <c r="F229" i="404"/>
  <c r="F230" i="404"/>
  <c r="F231" i="404"/>
  <c r="F232" i="404"/>
  <c r="F233" i="404"/>
  <c r="F234" i="404"/>
  <c r="F236" i="404"/>
  <c r="F237" i="404"/>
  <c r="F238" i="404"/>
  <c r="F240" i="404"/>
  <c r="F241" i="404"/>
  <c r="F242" i="404"/>
  <c r="C262" i="404"/>
  <c r="G262" i="404" s="1"/>
  <c r="D262" i="404"/>
  <c r="H262" i="404" s="1"/>
  <c r="C116" i="403"/>
  <c r="G116" i="403" s="1"/>
  <c r="D116" i="403"/>
  <c r="H116" i="403" s="1"/>
  <c r="F49" i="403"/>
  <c r="C56" i="403"/>
  <c r="G56" i="403" s="1"/>
  <c r="D56" i="403"/>
  <c r="E56" i="403"/>
  <c r="I56" i="403" s="1"/>
  <c r="F111" i="403"/>
  <c r="E116" i="403"/>
  <c r="C24" i="387"/>
  <c r="D24" i="387"/>
  <c r="E24" i="387"/>
  <c r="C28" i="387"/>
  <c r="C33" i="387" s="1"/>
  <c r="D28" i="387"/>
  <c r="E28" i="387"/>
  <c r="F30" i="387"/>
  <c r="F31" i="387"/>
  <c r="C35" i="387"/>
  <c r="G35" i="387" s="1"/>
  <c r="D35" i="387"/>
  <c r="E35" i="387"/>
  <c r="I35" i="387" s="1"/>
  <c r="C39" i="387"/>
  <c r="C46" i="387" s="1"/>
  <c r="D39" i="387"/>
  <c r="E39" i="387"/>
  <c r="F41" i="387"/>
  <c r="F42" i="387"/>
  <c r="F43" i="387"/>
  <c r="F25" i="317"/>
  <c r="F26" i="317"/>
  <c r="F27" i="317"/>
  <c r="C29" i="317"/>
  <c r="C33" i="317" s="1"/>
  <c r="D29" i="317"/>
  <c r="E29" i="317"/>
  <c r="F31" i="317"/>
  <c r="C14" i="316"/>
  <c r="D14" i="316"/>
  <c r="D70" i="316" s="1"/>
  <c r="E14" i="316"/>
  <c r="F17" i="316"/>
  <c r="F21" i="316"/>
  <c r="F29" i="316"/>
  <c r="F30" i="316"/>
  <c r="F31" i="316"/>
  <c r="F32" i="316"/>
  <c r="F33" i="316"/>
  <c r="F34" i="316"/>
  <c r="F35" i="316"/>
  <c r="F36" i="316"/>
  <c r="F37" i="316"/>
  <c r="F38" i="316"/>
  <c r="F39" i="316"/>
  <c r="F40" i="316"/>
  <c r="F43" i="316"/>
  <c r="F44" i="316"/>
  <c r="F45" i="316"/>
  <c r="F46" i="316"/>
  <c r="F49" i="316"/>
  <c r="F50" i="316"/>
  <c r="F51" i="316"/>
  <c r="F52" i="316"/>
  <c r="F63" i="316"/>
  <c r="F64" i="316"/>
  <c r="C17" i="315"/>
  <c r="D17" i="315"/>
  <c r="F31" i="315"/>
  <c r="C35" i="315"/>
  <c r="E35" i="315"/>
  <c r="F17" i="314"/>
  <c r="F21" i="314"/>
  <c r="C27" i="314"/>
  <c r="C69" i="314" s="1"/>
  <c r="D27" i="314"/>
  <c r="F31" i="314"/>
  <c r="F32" i="314"/>
  <c r="F33" i="314"/>
  <c r="F35" i="314"/>
  <c r="F36" i="314"/>
  <c r="F39" i="314"/>
  <c r="F40" i="314"/>
  <c r="F42" i="314"/>
  <c r="F43" i="314"/>
  <c r="F44" i="314"/>
  <c r="F46" i="314"/>
  <c r="F47" i="314"/>
  <c r="F48" i="314"/>
  <c r="F52" i="314"/>
  <c r="F63" i="314"/>
  <c r="BH18" i="302"/>
  <c r="BI15" i="302"/>
  <c r="BI19" i="302"/>
  <c r="CY19" i="302" s="1"/>
  <c r="DT19" i="302" s="1"/>
  <c r="D20" i="351" s="1"/>
  <c r="BJ49" i="302"/>
  <c r="CZ49" i="302" s="1"/>
  <c r="DU49" i="302" s="1"/>
  <c r="BH52" i="302"/>
  <c r="CX52" i="302" s="1"/>
  <c r="DS52" i="302" s="1"/>
  <c r="C53" i="351" s="1"/>
  <c r="BH54" i="302"/>
  <c r="CX54" i="302" s="1"/>
  <c r="DS54" i="302" s="1"/>
  <c r="C55" i="351" s="1"/>
  <c r="BH56" i="302"/>
  <c r="CX56" i="302" s="1"/>
  <c r="DS56" i="302" s="1"/>
  <c r="C57" i="351" s="1"/>
  <c r="BI49" i="302"/>
  <c r="CY49" i="302" s="1"/>
  <c r="DT49" i="302" s="1"/>
  <c r="D50" i="351" s="1"/>
  <c r="BI52" i="302"/>
  <c r="CY52" i="302" s="1"/>
  <c r="BI54" i="302"/>
  <c r="CY54" i="302" s="1"/>
  <c r="DT54" i="302" s="1"/>
  <c r="D55" i="351" s="1"/>
  <c r="BI56" i="302"/>
  <c r="CY56" i="302" s="1"/>
  <c r="DT56" i="302" s="1"/>
  <c r="D57" i="351" s="1"/>
  <c r="BJ52" i="302"/>
  <c r="CZ52" i="302" s="1"/>
  <c r="DU52" i="302" s="1"/>
  <c r="E53" i="351" s="1"/>
  <c r="BJ54" i="302"/>
  <c r="CZ54" i="302" s="1"/>
  <c r="DU54" i="302" s="1"/>
  <c r="E55" i="351" s="1"/>
  <c r="BJ56" i="302"/>
  <c r="CZ56" i="302" s="1"/>
  <c r="DU56" i="302" s="1"/>
  <c r="E57" i="351" s="1"/>
  <c r="D82" i="302"/>
  <c r="E82" i="302"/>
  <c r="BJ82" i="302" s="1"/>
  <c r="CX96" i="302"/>
  <c r="CY96" i="302"/>
  <c r="BI15" i="301"/>
  <c r="BJ15" i="301"/>
  <c r="CZ15" i="301" s="1"/>
  <c r="DU15" i="301" s="1"/>
  <c r="E15" i="350" s="1"/>
  <c r="F14" i="402" s="1"/>
  <c r="BH16" i="301"/>
  <c r="BI16" i="301"/>
  <c r="BJ16" i="301"/>
  <c r="CZ16" i="301" s="1"/>
  <c r="DU16" i="301" s="1"/>
  <c r="BH17" i="301"/>
  <c r="CY17" i="301"/>
  <c r="DT17" i="301" s="1"/>
  <c r="D17" i="350" s="1"/>
  <c r="BH19" i="301"/>
  <c r="BI19" i="301"/>
  <c r="BJ19" i="301"/>
  <c r="CZ19" i="301" s="1"/>
  <c r="DU19" i="301" s="1"/>
  <c r="E19" i="350" s="1"/>
  <c r="F17" i="402" s="1"/>
  <c r="CY23" i="301"/>
  <c r="DT23" i="301" s="1"/>
  <c r="D23" i="350" s="1"/>
  <c r="D15" i="343" s="1"/>
  <c r="CZ24" i="301"/>
  <c r="CX25" i="301"/>
  <c r="DS25" i="301" s="1"/>
  <c r="C25" i="350" s="1"/>
  <c r="CZ25" i="301"/>
  <c r="DU25" i="301" s="1"/>
  <c r="E25" i="350" s="1"/>
  <c r="CZ27" i="301"/>
  <c r="CX28" i="301"/>
  <c r="CY28" i="301"/>
  <c r="DT28" i="301" s="1"/>
  <c r="DS28" i="301"/>
  <c r="C28" i="350" s="1"/>
  <c r="CX29" i="301"/>
  <c r="CZ29" i="301"/>
  <c r="DU29" i="301" s="1"/>
  <c r="CB31" i="301"/>
  <c r="H105" i="403"/>
  <c r="I105" i="403"/>
  <c r="DS36" i="301"/>
  <c r="C36" i="350" s="1"/>
  <c r="CX27" i="301"/>
  <c r="DS27" i="301" s="1"/>
  <c r="C27" i="350" s="1"/>
  <c r="C32" i="343" s="1"/>
  <c r="CY25" i="301"/>
  <c r="DT25" i="301" s="1"/>
  <c r="D25" i="350" s="1"/>
  <c r="BJ53" i="302"/>
  <c r="CZ53" i="302" s="1"/>
  <c r="DU53" i="302" s="1"/>
  <c r="C32" i="370"/>
  <c r="BJ48" i="302"/>
  <c r="CZ48" i="302" s="1"/>
  <c r="DU48" i="302" s="1"/>
  <c r="E49" i="351" s="1"/>
  <c r="J49" i="394"/>
  <c r="N27" i="394"/>
  <c r="L26" i="328"/>
  <c r="M26" i="328"/>
  <c r="J26" i="328"/>
  <c r="J24" i="328"/>
  <c r="L24" i="328" s="1"/>
  <c r="BJ15" i="302"/>
  <c r="G16" i="370"/>
  <c r="H14" i="370"/>
  <c r="K14" i="370"/>
  <c r="CY37" i="301"/>
  <c r="DT37" i="301" s="1"/>
  <c r="D37" i="350" s="1"/>
  <c r="C27" i="344"/>
  <c r="E27" i="344" s="1"/>
  <c r="C24" i="344"/>
  <c r="E24" i="344"/>
  <c r="E21" i="344"/>
  <c r="J30" i="328"/>
  <c r="L30" i="328"/>
  <c r="M30" i="328"/>
  <c r="L29" i="328"/>
  <c r="M29" i="328" s="1"/>
  <c r="E26" i="370"/>
  <c r="E32" i="370"/>
  <c r="E35" i="370"/>
  <c r="C36" i="401"/>
  <c r="D27" i="401"/>
  <c r="D33" i="401"/>
  <c r="L35" i="328"/>
  <c r="M35" i="328"/>
  <c r="K27" i="394"/>
  <c r="C54" i="343"/>
  <c r="H16" i="370"/>
  <c r="K16" i="370"/>
  <c r="D26" i="370"/>
  <c r="D32" i="370"/>
  <c r="D35" i="370"/>
  <c r="AH24" i="401"/>
  <c r="I36" i="328"/>
  <c r="J36" i="328"/>
  <c r="J25" i="328"/>
  <c r="L25" i="328"/>
  <c r="M25" i="328" s="1"/>
  <c r="H21" i="344"/>
  <c r="I26" i="370"/>
  <c r="I32" i="370"/>
  <c r="I35" i="370" s="1"/>
  <c r="H38" i="328"/>
  <c r="H45" i="328"/>
  <c r="L31" i="328"/>
  <c r="M31" i="328"/>
  <c r="L36" i="328"/>
  <c r="M36" i="328"/>
  <c r="E55" i="343"/>
  <c r="C35" i="370"/>
  <c r="BK34" i="301"/>
  <c r="BK31" i="301" s="1"/>
  <c r="BL34" i="301"/>
  <c r="BL31" i="301" s="1"/>
  <c r="BM34" i="301"/>
  <c r="BM31" i="301" s="1"/>
  <c r="CY35" i="301"/>
  <c r="DT35" i="301" s="1"/>
  <c r="DC69" i="302"/>
  <c r="BT13" i="302"/>
  <c r="BV69" i="302"/>
  <c r="BV67" i="302" s="1"/>
  <c r="BV60" i="302" s="1"/>
  <c r="CX43" i="302"/>
  <c r="DS43" i="302" s="1"/>
  <c r="C44" i="351" s="1"/>
  <c r="C45" i="343" s="1"/>
  <c r="BM87" i="302"/>
  <c r="CX62" i="302"/>
  <c r="DS62" i="302" s="1"/>
  <c r="C63" i="351" s="1"/>
  <c r="K26" i="402" s="1"/>
  <c r="D13" i="302"/>
  <c r="DA31" i="301"/>
  <c r="CF43" i="301"/>
  <c r="DQ44" i="301"/>
  <c r="DJ45" i="301"/>
  <c r="DJ44" i="301" s="1"/>
  <c r="CZ52" i="301"/>
  <c r="DU52" i="301" s="1"/>
  <c r="E52" i="350" s="1"/>
  <c r="DK45" i="301"/>
  <c r="DK44" i="301" s="1"/>
  <c r="CX24" i="301"/>
  <c r="DS24" i="301" s="1"/>
  <c r="C24" i="350" s="1"/>
  <c r="C20" i="343" s="1"/>
  <c r="DO14" i="301"/>
  <c r="DO55" i="301" s="1"/>
  <c r="CX42" i="301"/>
  <c r="DS42" i="301" s="1"/>
  <c r="DU24" i="301"/>
  <c r="E24" i="350" s="1"/>
  <c r="E20" i="343" s="1"/>
  <c r="CV45" i="301"/>
  <c r="CV44" i="301" s="1"/>
  <c r="CY89" i="302"/>
  <c r="DT89" i="302" s="1"/>
  <c r="D90" i="351" s="1"/>
  <c r="CY77" i="302"/>
  <c r="DT77" i="302" s="1"/>
  <c r="E54" i="343"/>
  <c r="E97" i="351"/>
  <c r="D87" i="302"/>
  <c r="D54" i="343"/>
  <c r="AG69" i="302"/>
  <c r="AG67" i="302" s="1"/>
  <c r="AG60" i="302" s="1"/>
  <c r="BI75" i="302"/>
  <c r="CZ68" i="302"/>
  <c r="DU68" i="302" s="1"/>
  <c r="E69" i="351" s="1"/>
  <c r="CX76" i="302"/>
  <c r="DS76" i="302" s="1"/>
  <c r="C77" i="351" s="1"/>
  <c r="CX68" i="302"/>
  <c r="DS68" i="302" s="1"/>
  <c r="C69" i="351" s="1"/>
  <c r="DT68" i="302"/>
  <c r="D69" i="351" s="1"/>
  <c r="CX48" i="302"/>
  <c r="DS48" i="302" s="1"/>
  <c r="C49" i="351" s="1"/>
  <c r="CV42" i="302"/>
  <c r="CY43" i="302"/>
  <c r="DT43" i="302" s="1"/>
  <c r="CX89" i="302"/>
  <c r="DS89" i="302" s="1"/>
  <c r="C90" i="351" s="1"/>
  <c r="DS50" i="301"/>
  <c r="C50" i="350" s="1"/>
  <c r="D45" i="402" s="1"/>
  <c r="D50" i="402" s="1"/>
  <c r="BI42" i="302"/>
  <c r="AK26" i="302"/>
  <c r="AK12" i="302" s="1"/>
  <c r="R69" i="302"/>
  <c r="R67" i="302" s="1"/>
  <c r="R60" i="302" s="1"/>
  <c r="DD26" i="302"/>
  <c r="AL69" i="302"/>
  <c r="AL67" i="302" s="1"/>
  <c r="AL60" i="302" s="1"/>
  <c r="DA87" i="302"/>
  <c r="CW75" i="302"/>
  <c r="CV70" i="302"/>
  <c r="AH26" i="302"/>
  <c r="AO26" i="302"/>
  <c r="AS26" i="302"/>
  <c r="AX69" i="302"/>
  <c r="AX67" i="302" s="1"/>
  <c r="AX60" i="302" s="1"/>
  <c r="BM69" i="302"/>
  <c r="BM67" i="302" s="1"/>
  <c r="BM60" i="302" s="1"/>
  <c r="DR69" i="302"/>
  <c r="DR67" i="302" s="1"/>
  <c r="F235" i="404"/>
  <c r="F79" i="404"/>
  <c r="DM87" i="302"/>
  <c r="DO47" i="302"/>
  <c r="CV34" i="301"/>
  <c r="E33" i="387"/>
  <c r="CW34" i="301"/>
  <c r="AL26" i="302"/>
  <c r="BJ20" i="302"/>
  <c r="CY28" i="302"/>
  <c r="DT28" i="302" s="1"/>
  <c r="CZ43" i="302"/>
  <c r="DU43" i="302" s="1"/>
  <c r="E44" i="351" s="1"/>
  <c r="E45" i="343" s="1"/>
  <c r="BH42" i="302"/>
  <c r="CX55" i="302"/>
  <c r="DS55" i="302" s="1"/>
  <c r="C56" i="351" s="1"/>
  <c r="C40" i="343" s="1"/>
  <c r="CZ21" i="302"/>
  <c r="DU21" i="302" s="1"/>
  <c r="E22" i="351" s="1"/>
  <c r="M15" i="402" s="1"/>
  <c r="CW14" i="302"/>
  <c r="CW13" i="302" s="1"/>
  <c r="CY31" i="302"/>
  <c r="DT31" i="302" s="1"/>
  <c r="D32" i="351" s="1"/>
  <c r="CY46" i="302"/>
  <c r="DT46" i="302" s="1"/>
  <c r="D47" i="351" s="1"/>
  <c r="F39" i="387"/>
  <c r="CX84" i="302"/>
  <c r="DS84" i="302" s="1"/>
  <c r="C60" i="351"/>
  <c r="K19" i="402" s="1"/>
  <c r="CU47" i="302"/>
  <c r="BH88" i="302"/>
  <c r="AJ26" i="302"/>
  <c r="AJ12" i="302" s="1"/>
  <c r="CX28" i="302"/>
  <c r="DS28" i="302" s="1"/>
  <c r="C29" i="351" s="1"/>
  <c r="C57" i="385"/>
  <c r="C59" i="385" s="1"/>
  <c r="E262" i="404"/>
  <c r="DC67" i="302"/>
  <c r="AO69" i="302"/>
  <c r="AO67" i="302" s="1"/>
  <c r="CZ17" i="302"/>
  <c r="DU17" i="302" s="1"/>
  <c r="BD14" i="302"/>
  <c r="BD13" i="302" s="1"/>
  <c r="CX92" i="302"/>
  <c r="DS92" i="302" s="1"/>
  <c r="CV75" i="302"/>
  <c r="CY76" i="302"/>
  <c r="CU88" i="302"/>
  <c r="CU87" i="302" s="1"/>
  <c r="CW82" i="302"/>
  <c r="DK14" i="302"/>
  <c r="DK13" i="302" s="1"/>
  <c r="BH82" i="302"/>
  <c r="R26" i="302"/>
  <c r="R12" i="302" s="1"/>
  <c r="Y26" i="302"/>
  <c r="Z69" i="302"/>
  <c r="Z67" i="302" s="1"/>
  <c r="Z60" i="302" s="1"/>
  <c r="BB26" i="302"/>
  <c r="BB12" i="302" s="1"/>
  <c r="CY24" i="302"/>
  <c r="DT24" i="302" s="1"/>
  <c r="D25" i="351" s="1"/>
  <c r="CU70" i="302"/>
  <c r="CU69" i="302" s="1"/>
  <c r="AA69" i="302"/>
  <c r="AA67" i="302" s="1"/>
  <c r="AA60" i="302" s="1"/>
  <c r="BC26" i="302"/>
  <c r="BC12" i="302" s="1"/>
  <c r="DE60" i="302"/>
  <c r="CX51" i="302"/>
  <c r="DS51" i="302" s="1"/>
  <c r="C52" i="351" s="1"/>
  <c r="CY41" i="302"/>
  <c r="DT41" i="302" s="1"/>
  <c r="D42" i="351" s="1"/>
  <c r="CX19" i="302"/>
  <c r="DS19" i="302" s="1"/>
  <c r="C20" i="351" s="1"/>
  <c r="AD26" i="302"/>
  <c r="AP69" i="302"/>
  <c r="AP67" i="302" s="1"/>
  <c r="AP60" i="302" s="1"/>
  <c r="BZ69" i="302"/>
  <c r="BZ67" i="302" s="1"/>
  <c r="BZ60" i="302" s="1"/>
  <c r="DF69" i="302"/>
  <c r="DF67" i="302" s="1"/>
  <c r="DF60" i="302" s="1"/>
  <c r="DN26" i="302"/>
  <c r="DN12" i="302" s="1"/>
  <c r="DN69" i="302"/>
  <c r="DN67" i="302" s="1"/>
  <c r="DN60" i="302" s="1"/>
  <c r="CZ89" i="302"/>
  <c r="DU89" i="302" s="1"/>
  <c r="E90" i="351" s="1"/>
  <c r="CX93" i="302"/>
  <c r="DS93" i="302" s="1"/>
  <c r="CW61" i="302"/>
  <c r="BR26" i="302"/>
  <c r="BX69" i="302"/>
  <c r="BX67" i="302" s="1"/>
  <c r="BX60" i="302" s="1"/>
  <c r="DO26" i="302"/>
  <c r="CZ94" i="302"/>
  <c r="DU94" i="302" s="1"/>
  <c r="E94" i="351" s="1"/>
  <c r="CC26" i="302"/>
  <c r="DF26" i="302"/>
  <c r="DF12" i="302" s="1"/>
  <c r="DP69" i="302"/>
  <c r="DP67" i="302" s="1"/>
  <c r="DP60" i="302" s="1"/>
  <c r="CZ31" i="302"/>
  <c r="DU31" i="302" s="1"/>
  <c r="D33" i="387"/>
  <c r="C70" i="316"/>
  <c r="CY58" i="302"/>
  <c r="DT58" i="302" s="1"/>
  <c r="D59" i="351" s="1"/>
  <c r="CV88" i="302"/>
  <c r="CV87" i="302" s="1"/>
  <c r="CY92" i="302"/>
  <c r="DT92" i="302" s="1"/>
  <c r="D31" i="351"/>
  <c r="CY91" i="302"/>
  <c r="DT91" i="302" s="1"/>
  <c r="L38" i="402" s="1"/>
  <c r="DT51" i="301"/>
  <c r="D51" i="350" s="1"/>
  <c r="E40" i="402" s="1"/>
  <c r="E42" i="402" s="1"/>
  <c r="DB87" i="302"/>
  <c r="DK87" i="302" s="1"/>
  <c r="E44" i="315"/>
  <c r="CZ17" i="301"/>
  <c r="DU17" i="301" s="1"/>
  <c r="E152" i="404"/>
  <c r="DC43" i="301"/>
  <c r="F14" i="314"/>
  <c r="DC26" i="302"/>
  <c r="CZ58" i="302"/>
  <c r="DU58" i="302" s="1"/>
  <c r="E59" i="351" s="1"/>
  <c r="CZ41" i="302"/>
  <c r="DU41" i="302" s="1"/>
  <c r="CZ71" i="302"/>
  <c r="DU71" i="302" s="1"/>
  <c r="E72" i="351" s="1"/>
  <c r="E60" i="351"/>
  <c r="I35" i="315"/>
  <c r="DR14" i="301"/>
  <c r="E18" i="422"/>
  <c r="E20" i="422" s="1"/>
  <c r="L19" i="423"/>
  <c r="L21" i="423" s="1"/>
  <c r="S19" i="423"/>
  <c r="S21" i="423" s="1"/>
  <c r="F262" i="404" l="1"/>
  <c r="F179" i="404"/>
  <c r="E222" i="404"/>
  <c r="I222" i="404" s="1"/>
  <c r="C222" i="404"/>
  <c r="G222" i="404" s="1"/>
  <c r="D222" i="404"/>
  <c r="F85" i="404"/>
  <c r="I262" i="404"/>
  <c r="F105" i="404"/>
  <c r="F74" i="404"/>
  <c r="C82" i="403"/>
  <c r="D82" i="403"/>
  <c r="E82" i="403"/>
  <c r="E33" i="317"/>
  <c r="F27" i="314"/>
  <c r="DO43" i="301"/>
  <c r="CZ90" i="302"/>
  <c r="DU90" i="302" s="1"/>
  <c r="BJ75" i="302"/>
  <c r="CZ75" i="302" s="1"/>
  <c r="DU75" i="302" s="1"/>
  <c r="CW31" i="301"/>
  <c r="DK82" i="302"/>
  <c r="AT26" i="302"/>
  <c r="W26" i="302"/>
  <c r="Y12" i="302"/>
  <c r="AD69" i="302"/>
  <c r="AD67" i="302" s="1"/>
  <c r="AD60" i="302" s="1"/>
  <c r="AR69" i="302"/>
  <c r="AR67" i="302" s="1"/>
  <c r="AR60" i="302" s="1"/>
  <c r="P43" i="301"/>
  <c r="O43" i="301"/>
  <c r="CX56" i="301"/>
  <c r="DS56" i="301" s="1"/>
  <c r="CZ57" i="301"/>
  <c r="DU57" i="301" s="1"/>
  <c r="BI34" i="301"/>
  <c r="CY34" i="301" s="1"/>
  <c r="V19" i="423"/>
  <c r="V21" i="423" s="1"/>
  <c r="T19" i="423"/>
  <c r="T21" i="423" s="1"/>
  <c r="G19" i="423"/>
  <c r="G21" i="423" s="1"/>
  <c r="F19" i="423"/>
  <c r="F21" i="423" s="1"/>
  <c r="E19" i="423"/>
  <c r="E21" i="423" s="1"/>
  <c r="C19" i="423"/>
  <c r="D19" i="423"/>
  <c r="D21" i="423" s="1"/>
  <c r="DR60" i="302"/>
  <c r="DJ87" i="302"/>
  <c r="G23" i="317"/>
  <c r="BH70" i="302"/>
  <c r="BH69" i="302" s="1"/>
  <c r="X69" i="302"/>
  <c r="X67" i="302" s="1"/>
  <c r="AG26" i="302"/>
  <c r="BX26" i="302"/>
  <c r="AB69" i="302"/>
  <c r="AB67" i="302" s="1"/>
  <c r="AS69" i="302"/>
  <c r="AS67" i="302" s="1"/>
  <c r="AS60" i="302" s="1"/>
  <c r="AW69" i="302"/>
  <c r="AW67" i="302" s="1"/>
  <c r="BA69" i="302"/>
  <c r="BA67" i="302" s="1"/>
  <c r="BS69" i="302"/>
  <c r="BS67" i="302" s="1"/>
  <c r="BU69" i="302"/>
  <c r="BU67" i="302" s="1"/>
  <c r="CA69" i="302"/>
  <c r="CA67" i="302" s="1"/>
  <c r="CA60" i="302" s="1"/>
  <c r="CE69" i="302"/>
  <c r="CE67" i="302" s="1"/>
  <c r="CE60" i="302" s="1"/>
  <c r="CK69" i="302"/>
  <c r="CK67" i="302" s="1"/>
  <c r="AL12" i="302"/>
  <c r="BJ70" i="302"/>
  <c r="BI70" i="302"/>
  <c r="Y69" i="302"/>
  <c r="Y67" i="302" s="1"/>
  <c r="AE69" i="302"/>
  <c r="AE67" i="302" s="1"/>
  <c r="AK69" i="302"/>
  <c r="AK67" i="302" s="1"/>
  <c r="AK60" i="302" s="1"/>
  <c r="AQ69" i="302"/>
  <c r="AQ67" i="302" s="1"/>
  <c r="AQ60" i="302" s="1"/>
  <c r="AU69" i="302"/>
  <c r="AU67" i="302" s="1"/>
  <c r="AU60" i="302" s="1"/>
  <c r="AY69" i="302"/>
  <c r="AY67" i="302" s="1"/>
  <c r="AY60" i="302" s="1"/>
  <c r="BI61" i="302"/>
  <c r="C69" i="302"/>
  <c r="C67" i="302" s="1"/>
  <c r="BC69" i="302"/>
  <c r="BC67" i="302" s="1"/>
  <c r="BY26" i="302"/>
  <c r="BY12" i="302" s="1"/>
  <c r="DO69" i="302"/>
  <c r="DO67" i="302" s="1"/>
  <c r="DK27" i="302"/>
  <c r="DD69" i="302"/>
  <c r="DD67" i="302" s="1"/>
  <c r="E69" i="302"/>
  <c r="E67" i="302" s="1"/>
  <c r="E60" i="302" s="1"/>
  <c r="F26" i="302"/>
  <c r="F12" i="302" s="1"/>
  <c r="H69" i="302"/>
  <c r="H67" i="302" s="1"/>
  <c r="W12" i="302"/>
  <c r="DQ26" i="302"/>
  <c r="DQ12" i="302" s="1"/>
  <c r="CV69" i="302"/>
  <c r="CV67" i="302" s="1"/>
  <c r="BK69" i="302"/>
  <c r="BK67" i="302" s="1"/>
  <c r="BK60" i="302" s="1"/>
  <c r="BN69" i="302"/>
  <c r="BN67" i="302" s="1"/>
  <c r="BQ26" i="302"/>
  <c r="CD69" i="302"/>
  <c r="CD67" i="302" s="1"/>
  <c r="DK70" i="302"/>
  <c r="DG26" i="302"/>
  <c r="DI69" i="302"/>
  <c r="DI67" i="302" s="1"/>
  <c r="DI60" i="302" s="1"/>
  <c r="DF86" i="302"/>
  <c r="DF95" i="302" s="1"/>
  <c r="V69" i="302"/>
  <c r="V67" i="302" s="1"/>
  <c r="AA26" i="302"/>
  <c r="AB60" i="302"/>
  <c r="AV26" i="302"/>
  <c r="AZ26" i="302"/>
  <c r="BA60" i="302"/>
  <c r="BS60" i="302"/>
  <c r="BU60" i="302"/>
  <c r="CI69" i="302"/>
  <c r="CI67" i="302" s="1"/>
  <c r="CI60" i="302" s="1"/>
  <c r="DK34" i="302"/>
  <c r="DK61" i="302"/>
  <c r="DL70" i="302"/>
  <c r="DL75" i="302"/>
  <c r="CH26" i="302"/>
  <c r="CH12" i="302" s="1"/>
  <c r="DL61" i="302"/>
  <c r="DA69" i="302"/>
  <c r="DA67" i="302" s="1"/>
  <c r="DA60" i="302" s="1"/>
  <c r="BV43" i="301"/>
  <c r="CJ55" i="301"/>
  <c r="DC55" i="301"/>
  <c r="CB43" i="301"/>
  <c r="AA43" i="301"/>
  <c r="F29" i="402"/>
  <c r="E33" i="343"/>
  <c r="E60" i="343" s="1"/>
  <c r="CJ43" i="301"/>
  <c r="BL55" i="301"/>
  <c r="CY56" i="301"/>
  <c r="DT56" i="301" s="1"/>
  <c r="S43" i="301"/>
  <c r="T43" i="301"/>
  <c r="O55" i="301"/>
  <c r="BU43" i="301"/>
  <c r="DR55" i="301"/>
  <c r="N55" i="301"/>
  <c r="AT43" i="301"/>
  <c r="BT43" i="301"/>
  <c r="J19" i="423"/>
  <c r="J21" i="423" s="1"/>
  <c r="R19" i="423"/>
  <c r="R21" i="423" s="1"/>
  <c r="I19" i="423"/>
  <c r="I21" i="423" s="1"/>
  <c r="W15" i="423"/>
  <c r="W19" i="423" s="1"/>
  <c r="C18" i="422"/>
  <c r="C20" i="422" s="1"/>
  <c r="F14" i="422"/>
  <c r="F17" i="422"/>
  <c r="D18" i="422"/>
  <c r="D20" i="422" s="1"/>
  <c r="H19" i="423"/>
  <c r="H21" i="423" s="1"/>
  <c r="K19" i="423"/>
  <c r="K21" i="423" s="1"/>
  <c r="N19" i="423"/>
  <c r="N21" i="423" s="1"/>
  <c r="I28" i="387"/>
  <c r="F28" i="387"/>
  <c r="D59" i="385"/>
  <c r="F28" i="385"/>
  <c r="E57" i="385"/>
  <c r="E59" i="385" s="1"/>
  <c r="F128" i="404"/>
  <c r="I46" i="404"/>
  <c r="H164" i="404"/>
  <c r="H222" i="404"/>
  <c r="F93" i="404"/>
  <c r="F138" i="404"/>
  <c r="F173" i="404"/>
  <c r="F164" i="404"/>
  <c r="F197" i="404"/>
  <c r="F116" i="403"/>
  <c r="I25" i="403"/>
  <c r="I82" i="403"/>
  <c r="H25" i="403"/>
  <c r="F79" i="403"/>
  <c r="F25" i="403"/>
  <c r="E46" i="387"/>
  <c r="D33" i="317"/>
  <c r="F26" i="316"/>
  <c r="E70" i="316"/>
  <c r="F70" i="316" s="1"/>
  <c r="H14" i="316"/>
  <c r="F14" i="316"/>
  <c r="C44" i="315"/>
  <c r="D44" i="315"/>
  <c r="F44" i="315" s="1"/>
  <c r="F35" i="315"/>
  <c r="D69" i="314"/>
  <c r="F69" i="314" s="1"/>
  <c r="DL34" i="302"/>
  <c r="BI34" i="302"/>
  <c r="BJ47" i="302"/>
  <c r="E26" i="351"/>
  <c r="M16" i="402" s="1"/>
  <c r="I17" i="315"/>
  <c r="DN86" i="302"/>
  <c r="DN95" i="302" s="1"/>
  <c r="DL47" i="302"/>
  <c r="DK47" i="302"/>
  <c r="DH12" i="302"/>
  <c r="DB26" i="302"/>
  <c r="DB12" i="302" s="1"/>
  <c r="CC12" i="302"/>
  <c r="CZ82" i="302"/>
  <c r="DU82" i="302" s="1"/>
  <c r="BH14" i="302"/>
  <c r="BH13" i="302" s="1"/>
  <c r="BE69" i="302"/>
  <c r="BE67" i="302" s="1"/>
  <c r="CC69" i="302"/>
  <c r="CC67" i="302" s="1"/>
  <c r="BH61" i="302"/>
  <c r="BI82" i="302"/>
  <c r="D69" i="302"/>
  <c r="D67" i="302" s="1"/>
  <c r="D60" i="302" s="1"/>
  <c r="G69" i="302"/>
  <c r="G67" i="302" s="1"/>
  <c r="G60" i="302" s="1"/>
  <c r="AF69" i="302"/>
  <c r="AF67" i="302" s="1"/>
  <c r="AF60" i="302" s="1"/>
  <c r="BA26" i="302"/>
  <c r="H60" i="302"/>
  <c r="K26" i="302"/>
  <c r="K12" i="302" s="1"/>
  <c r="BR12" i="302"/>
  <c r="M69" i="302"/>
  <c r="M67" i="302" s="1"/>
  <c r="M60" i="302" s="1"/>
  <c r="Q69" i="302"/>
  <c r="Q67" i="302" s="1"/>
  <c r="AJ69" i="302"/>
  <c r="AJ67" i="302" s="1"/>
  <c r="AZ69" i="302"/>
  <c r="AZ67" i="302" s="1"/>
  <c r="BT69" i="302"/>
  <c r="BT67" i="302" s="1"/>
  <c r="BT60" i="302" s="1"/>
  <c r="AE60" i="302"/>
  <c r="AM26" i="302"/>
  <c r="AM12" i="302" s="1"/>
  <c r="AX26" i="302"/>
  <c r="AX12" i="302" s="1"/>
  <c r="AX86" i="302" s="1"/>
  <c r="AX95" i="302" s="1"/>
  <c r="BN26" i="302"/>
  <c r="BS26" i="302"/>
  <c r="BS12" i="302" s="1"/>
  <c r="BS86" i="302" s="1"/>
  <c r="BS95" i="302" s="1"/>
  <c r="CG69" i="302"/>
  <c r="CG67" i="302" s="1"/>
  <c r="CG60" i="302" s="1"/>
  <c r="AF26" i="302"/>
  <c r="AF12" i="302" s="1"/>
  <c r="AF86" i="302" s="1"/>
  <c r="AF95" i="302" s="1"/>
  <c r="BE26" i="302"/>
  <c r="BG26" i="302"/>
  <c r="BG12" i="302" s="1"/>
  <c r="BF69" i="302"/>
  <c r="BF67" i="302" s="1"/>
  <c r="BF60" i="302" s="1"/>
  <c r="BK26" i="302"/>
  <c r="BK12" i="302" s="1"/>
  <c r="BK86" i="302" s="1"/>
  <c r="BK95" i="302" s="1"/>
  <c r="CW70" i="302"/>
  <c r="BJ61" i="302"/>
  <c r="CZ61" i="302" s="1"/>
  <c r="DU61" i="302" s="1"/>
  <c r="Q26" i="302"/>
  <c r="AD12" i="302"/>
  <c r="AD86" i="302" s="1"/>
  <c r="AD95" i="302" s="1"/>
  <c r="AI26" i="302"/>
  <c r="BF26" i="302"/>
  <c r="BF12" i="302" s="1"/>
  <c r="CK26" i="302"/>
  <c r="CK12" i="302" s="1"/>
  <c r="AW26" i="302"/>
  <c r="AW12" i="302" s="1"/>
  <c r="BU26" i="302"/>
  <c r="BU12" i="302" s="1"/>
  <c r="BY69" i="302"/>
  <c r="BY67" i="302" s="1"/>
  <c r="CA26" i="302"/>
  <c r="CK60" i="302"/>
  <c r="CZ85" i="302"/>
  <c r="DU85" i="302" s="1"/>
  <c r="E86" i="351" s="1"/>
  <c r="M30" i="402" s="1"/>
  <c r="CJ60" i="302"/>
  <c r="CY59" i="302"/>
  <c r="DT59" i="302" s="1"/>
  <c r="BP26" i="302"/>
  <c r="BP12" i="302" s="1"/>
  <c r="CY25" i="302"/>
  <c r="DT25" i="302" s="1"/>
  <c r="DV25" i="302" s="1"/>
  <c r="BI88" i="302"/>
  <c r="CY88" i="302" s="1"/>
  <c r="BI87" i="302"/>
  <c r="CY87" i="302" s="1"/>
  <c r="DT87" i="302" s="1"/>
  <c r="DJ42" i="302"/>
  <c r="BJ87" i="302"/>
  <c r="BX12" i="302"/>
  <c r="D93" i="351"/>
  <c r="L40" i="402" s="1"/>
  <c r="L42" i="402" s="1"/>
  <c r="P42" i="402" s="1"/>
  <c r="DT93" i="302"/>
  <c r="CW69" i="302"/>
  <c r="CW67" i="302" s="1"/>
  <c r="CW60" i="302" s="1"/>
  <c r="DO12" i="302"/>
  <c r="DO86" i="302" s="1"/>
  <c r="CZ84" i="302"/>
  <c r="DU84" i="302" s="1"/>
  <c r="DV84" i="302" s="1"/>
  <c r="M26" i="302"/>
  <c r="M12" i="302" s="1"/>
  <c r="M86" i="302" s="1"/>
  <c r="M95" i="302" s="1"/>
  <c r="N69" i="302"/>
  <c r="N67" i="302" s="1"/>
  <c r="P26" i="302"/>
  <c r="P12" i="302" s="1"/>
  <c r="T26" i="302"/>
  <c r="T12" i="302" s="1"/>
  <c r="AN69" i="302"/>
  <c r="AN67" i="302" s="1"/>
  <c r="BO26" i="302"/>
  <c r="BO12" i="302" s="1"/>
  <c r="BT26" i="302"/>
  <c r="BT12" i="302" s="1"/>
  <c r="BT86" i="302" s="1"/>
  <c r="BT95" i="302" s="1"/>
  <c r="DJ34" i="302"/>
  <c r="DC87" i="302"/>
  <c r="DL87" i="302" s="1"/>
  <c r="DL88" i="302"/>
  <c r="DC60" i="302"/>
  <c r="DL60" i="302" s="1"/>
  <c r="DL67" i="302"/>
  <c r="CZ83" i="302"/>
  <c r="CY38" i="302"/>
  <c r="DT38" i="302" s="1"/>
  <c r="D39" i="351" s="1"/>
  <c r="CJ26" i="302"/>
  <c r="CJ12" i="302" s="1"/>
  <c r="CJ86" i="302" s="1"/>
  <c r="CJ95" i="302" s="1"/>
  <c r="DJ47" i="302"/>
  <c r="DM26" i="302"/>
  <c r="BH27" i="302"/>
  <c r="CX27" i="302" s="1"/>
  <c r="BJ42" i="302"/>
  <c r="CZ42" i="302" s="1"/>
  <c r="DU42" i="302" s="1"/>
  <c r="CV27" i="302"/>
  <c r="L69" i="302"/>
  <c r="L67" i="302" s="1"/>
  <c r="L60" i="302" s="1"/>
  <c r="O69" i="302"/>
  <c r="O67" i="302" s="1"/>
  <c r="O60" i="302" s="1"/>
  <c r="S26" i="302"/>
  <c r="S12" i="302" s="1"/>
  <c r="S69" i="302"/>
  <c r="S67" i="302" s="1"/>
  <c r="S60" i="302" s="1"/>
  <c r="W69" i="302"/>
  <c r="W67" i="302" s="1"/>
  <c r="W60" i="302" s="1"/>
  <c r="W86" i="302" s="1"/>
  <c r="W95" i="302" s="1"/>
  <c r="Y60" i="302"/>
  <c r="AB26" i="302"/>
  <c r="AB12" i="302" s="1"/>
  <c r="AB86" i="302" s="1"/>
  <c r="AB95" i="302" s="1"/>
  <c r="AE26" i="302"/>
  <c r="AE12" i="302" s="1"/>
  <c r="AQ26" i="302"/>
  <c r="AQ12" i="302" s="1"/>
  <c r="AQ86" i="302" s="1"/>
  <c r="AQ95" i="302" s="1"/>
  <c r="AT69" i="302"/>
  <c r="AT67" i="302" s="1"/>
  <c r="AY26" i="302"/>
  <c r="AY12" i="302" s="1"/>
  <c r="BV26" i="302"/>
  <c r="BV12" i="302" s="1"/>
  <c r="BV86" i="302" s="1"/>
  <c r="BV95" i="302" s="1"/>
  <c r="BW69" i="302"/>
  <c r="BW67" i="302" s="1"/>
  <c r="BW60" i="302" s="1"/>
  <c r="CB26" i="302"/>
  <c r="CB12" i="302" s="1"/>
  <c r="DA26" i="302"/>
  <c r="DJ26" i="302" s="1"/>
  <c r="DJ27" i="302"/>
  <c r="DJ82" i="302"/>
  <c r="DK42" i="302"/>
  <c r="DC12" i="302"/>
  <c r="CZ20" i="302"/>
  <c r="DU20" i="302" s="1"/>
  <c r="E21" i="351" s="1"/>
  <c r="CZ40" i="302"/>
  <c r="DU40" i="302" s="1"/>
  <c r="CZ38" i="302"/>
  <c r="DU38" i="302" s="1"/>
  <c r="E39" i="351" s="1"/>
  <c r="CZ19" i="302"/>
  <c r="DU19" i="302" s="1"/>
  <c r="DV19" i="302" s="1"/>
  <c r="C26" i="302"/>
  <c r="C12" i="302" s="1"/>
  <c r="J69" i="302"/>
  <c r="J67" i="302" s="1"/>
  <c r="J60" i="302" s="1"/>
  <c r="P69" i="302"/>
  <c r="P67" i="302" s="1"/>
  <c r="P60" i="302" s="1"/>
  <c r="T69" i="302"/>
  <c r="T67" i="302" s="1"/>
  <c r="T60" i="302" s="1"/>
  <c r="AC69" i="302"/>
  <c r="AC67" i="302" s="1"/>
  <c r="AC60" i="302" s="1"/>
  <c r="AM69" i="302"/>
  <c r="AM67" i="302" s="1"/>
  <c r="AR26" i="302"/>
  <c r="AR12" i="302" s="1"/>
  <c r="BM26" i="302"/>
  <c r="BM12" i="302" s="1"/>
  <c r="BL69" i="302"/>
  <c r="BL67" i="302" s="1"/>
  <c r="BL60" i="302" s="1"/>
  <c r="BR69" i="302"/>
  <c r="BR67" i="302" s="1"/>
  <c r="BR60" i="302" s="1"/>
  <c r="BR86" i="302" s="1"/>
  <c r="BR95" i="302" s="1"/>
  <c r="BZ26" i="302"/>
  <c r="CD26" i="302"/>
  <c r="DI26" i="302"/>
  <c r="DI12" i="302" s="1"/>
  <c r="DI86" i="302" s="1"/>
  <c r="DI95" i="302" s="1"/>
  <c r="DK88" i="302"/>
  <c r="BJ14" i="302"/>
  <c r="BJ13" i="302" s="1"/>
  <c r="CZ15" i="302"/>
  <c r="DU15" i="302" s="1"/>
  <c r="E16" i="351" s="1"/>
  <c r="CY40" i="302"/>
  <c r="DT40" i="302" s="1"/>
  <c r="D41" i="351" s="1"/>
  <c r="BI14" i="302"/>
  <c r="BI13" i="302" s="1"/>
  <c r="CX38" i="302"/>
  <c r="DS38" i="302" s="1"/>
  <c r="C39" i="351" s="1"/>
  <c r="CX36" i="302"/>
  <c r="DS36" i="302" s="1"/>
  <c r="C37" i="351" s="1"/>
  <c r="CU14" i="302"/>
  <c r="CU13" i="302" s="1"/>
  <c r="BI27" i="302"/>
  <c r="BI26" i="302" s="1"/>
  <c r="CY23" i="302"/>
  <c r="DT23" i="302" s="1"/>
  <c r="D24" i="351" s="1"/>
  <c r="CZ30" i="302"/>
  <c r="DU30" i="302" s="1"/>
  <c r="DV30" i="302" s="1"/>
  <c r="CX32" i="302"/>
  <c r="DS32" i="302" s="1"/>
  <c r="C33" i="351" s="1"/>
  <c r="CX46" i="302"/>
  <c r="DS46" i="302" s="1"/>
  <c r="C47" i="351" s="1"/>
  <c r="C43" i="351" s="1"/>
  <c r="CZ36" i="302"/>
  <c r="DU36" i="302" s="1"/>
  <c r="E37" i="351" s="1"/>
  <c r="CU34" i="302"/>
  <c r="CX30" i="302"/>
  <c r="DS30" i="302" s="1"/>
  <c r="C31" i="351" s="1"/>
  <c r="CY15" i="302"/>
  <c r="DT15" i="302" s="1"/>
  <c r="D16" i="351" s="1"/>
  <c r="CX22" i="302"/>
  <c r="DS22" i="302" s="1"/>
  <c r="C23" i="351" s="1"/>
  <c r="CZ24" i="302"/>
  <c r="DU24" i="302" s="1"/>
  <c r="E25" i="351" s="1"/>
  <c r="BJ27" i="302"/>
  <c r="CX18" i="302"/>
  <c r="DS18" i="302" s="1"/>
  <c r="C19" i="351" s="1"/>
  <c r="CY20" i="302"/>
  <c r="DT20" i="302" s="1"/>
  <c r="CX40" i="302"/>
  <c r="DS40" i="302" s="1"/>
  <c r="C41" i="351" s="1"/>
  <c r="CX20" i="302"/>
  <c r="DS20" i="302" s="1"/>
  <c r="C21" i="351" s="1"/>
  <c r="CY33" i="302"/>
  <c r="DT33" i="302" s="1"/>
  <c r="D34" i="351" s="1"/>
  <c r="CU42" i="302"/>
  <c r="CU26" i="302" s="1"/>
  <c r="CX15" i="302"/>
  <c r="DS15" i="302" s="1"/>
  <c r="C16" i="351" s="1"/>
  <c r="BJ34" i="302"/>
  <c r="CZ35" i="302"/>
  <c r="DU35" i="302" s="1"/>
  <c r="E36" i="351" s="1"/>
  <c r="CY16" i="302"/>
  <c r="DT16" i="302" s="1"/>
  <c r="D17" i="351" s="1"/>
  <c r="AH69" i="302"/>
  <c r="AH67" i="302" s="1"/>
  <c r="AH60" i="302" s="1"/>
  <c r="DV58" i="302"/>
  <c r="BI47" i="302"/>
  <c r="G26" i="302"/>
  <c r="G12" i="302" s="1"/>
  <c r="G86" i="302" s="1"/>
  <c r="G95" i="302" s="1"/>
  <c r="CY36" i="302"/>
  <c r="DT36" i="302" s="1"/>
  <c r="D37" i="351" s="1"/>
  <c r="DG12" i="302"/>
  <c r="D86" i="351"/>
  <c r="L30" i="402" s="1"/>
  <c r="H29" i="317"/>
  <c r="E73" i="351"/>
  <c r="F73" i="351" s="1"/>
  <c r="DV72" i="302"/>
  <c r="D44" i="351"/>
  <c r="D45" i="343" s="1"/>
  <c r="DV43" i="302"/>
  <c r="E40" i="343"/>
  <c r="F56" i="351"/>
  <c r="E32" i="351"/>
  <c r="F32" i="351" s="1"/>
  <c r="DV31" i="302"/>
  <c r="D85" i="351"/>
  <c r="H39" i="387"/>
  <c r="BM86" i="302"/>
  <c r="BM95" i="302" s="1"/>
  <c r="R86" i="302"/>
  <c r="DT76" i="302"/>
  <c r="D77" i="351" s="1"/>
  <c r="CV82" i="302"/>
  <c r="DT50" i="302"/>
  <c r="D51" i="351" s="1"/>
  <c r="CX78" i="302"/>
  <c r="DS78" i="302" s="1"/>
  <c r="C79" i="351" s="1"/>
  <c r="C60" i="302"/>
  <c r="CY42" i="302"/>
  <c r="DU83" i="302"/>
  <c r="E84" i="351" s="1"/>
  <c r="DU66" i="302"/>
  <c r="I23" i="317" s="1"/>
  <c r="CY83" i="302"/>
  <c r="DT83" i="302" s="1"/>
  <c r="D84" i="351" s="1"/>
  <c r="DT80" i="302"/>
  <c r="D81" i="351" s="1"/>
  <c r="CW34" i="302"/>
  <c r="CZ34" i="302" s="1"/>
  <c r="DU34" i="302" s="1"/>
  <c r="CX35" i="302"/>
  <c r="DS35" i="302" s="1"/>
  <c r="C36" i="351" s="1"/>
  <c r="H26" i="302"/>
  <c r="I26" i="302"/>
  <c r="I12" i="302" s="1"/>
  <c r="DD60" i="302"/>
  <c r="AL86" i="302"/>
  <c r="AL95" i="302" s="1"/>
  <c r="CZ78" i="302"/>
  <c r="DU78" i="302" s="1"/>
  <c r="DU62" i="302"/>
  <c r="CZ37" i="302"/>
  <c r="DU37" i="302" s="1"/>
  <c r="E38" i="351" s="1"/>
  <c r="F38" i="351" s="1"/>
  <c r="O26" i="302"/>
  <c r="O12" i="302" s="1"/>
  <c r="V26" i="302"/>
  <c r="V12" i="302" s="1"/>
  <c r="AJ60" i="302"/>
  <c r="AJ86" i="302" s="1"/>
  <c r="AJ95" i="302" s="1"/>
  <c r="BO60" i="302"/>
  <c r="CD60" i="302"/>
  <c r="CI26" i="302"/>
  <c r="CI12" i="302" s="1"/>
  <c r="DH60" i="302"/>
  <c r="DH86" i="302" s="1"/>
  <c r="DH95" i="302" s="1"/>
  <c r="U69" i="302"/>
  <c r="U67" i="302" s="1"/>
  <c r="U60" i="302" s="1"/>
  <c r="CF26" i="302"/>
  <c r="CF12" i="302" s="1"/>
  <c r="CF69" i="302"/>
  <c r="CF67" i="302" s="1"/>
  <c r="CF60" i="302" s="1"/>
  <c r="DM69" i="302"/>
  <c r="DM67" i="302" s="1"/>
  <c r="DM60" i="302" s="1"/>
  <c r="DR26" i="302"/>
  <c r="DR12" i="302" s="1"/>
  <c r="DR86" i="302" s="1"/>
  <c r="DR95" i="302" s="1"/>
  <c r="CW47" i="302"/>
  <c r="CV61" i="302"/>
  <c r="CW88" i="302"/>
  <c r="CW87" i="302" s="1"/>
  <c r="DS53" i="302"/>
  <c r="C54" i="351" s="1"/>
  <c r="C36" i="343" s="1"/>
  <c r="CX17" i="302"/>
  <c r="DS17" i="302" s="1"/>
  <c r="C18" i="351" s="1"/>
  <c r="D26" i="302"/>
  <c r="D12" i="302" s="1"/>
  <c r="H12" i="302"/>
  <c r="H86" i="302" s="1"/>
  <c r="H95" i="302" s="1"/>
  <c r="J26" i="302"/>
  <c r="J12" i="302" s="1"/>
  <c r="I69" i="302"/>
  <c r="I67" i="302" s="1"/>
  <c r="I60" i="302" s="1"/>
  <c r="N26" i="302"/>
  <c r="N12" i="302" s="1"/>
  <c r="Z26" i="302"/>
  <c r="Z12" i="302" s="1"/>
  <c r="Z86" i="302" s="1"/>
  <c r="Z95" i="302" s="1"/>
  <c r="X26" i="302"/>
  <c r="AA12" i="302"/>
  <c r="AA86" i="302" s="1"/>
  <c r="AA95" i="302" s="1"/>
  <c r="AC26" i="302"/>
  <c r="AC12" i="302" s="1"/>
  <c r="AI12" i="302"/>
  <c r="AI86" i="302" s="1"/>
  <c r="AI95" i="302" s="1"/>
  <c r="AM60" i="302"/>
  <c r="AM86" i="302" s="1"/>
  <c r="AM95" i="302" s="1"/>
  <c r="AP26" i="302"/>
  <c r="AP12" i="302" s="1"/>
  <c r="AP86" i="302" s="1"/>
  <c r="AP95" i="302" s="1"/>
  <c r="AT12" i="302"/>
  <c r="AT60" i="302"/>
  <c r="AV69" i="302"/>
  <c r="AV67" i="302" s="1"/>
  <c r="AV60" i="302" s="1"/>
  <c r="BG69" i="302"/>
  <c r="BG67" i="302" s="1"/>
  <c r="BG60" i="302" s="1"/>
  <c r="BP69" i="302"/>
  <c r="BP67" i="302" s="1"/>
  <c r="BP60" i="302" s="1"/>
  <c r="CA12" i="302"/>
  <c r="CA86" i="302" s="1"/>
  <c r="CA95" i="302" s="1"/>
  <c r="CH69" i="302"/>
  <c r="CH67" i="302" s="1"/>
  <c r="CH60" i="302" s="1"/>
  <c r="DE26" i="302"/>
  <c r="DK26" i="302" s="1"/>
  <c r="DP26" i="302"/>
  <c r="DP12" i="302" s="1"/>
  <c r="DP86" i="302" s="1"/>
  <c r="DP95" i="302" s="1"/>
  <c r="DQ69" i="302"/>
  <c r="DQ67" i="302" s="1"/>
  <c r="DQ60" i="302" s="1"/>
  <c r="CX21" i="302"/>
  <c r="DS21" i="302" s="1"/>
  <c r="C22" i="351" s="1"/>
  <c r="K15" i="402" s="1"/>
  <c r="CY32" i="302"/>
  <c r="DT32" i="302" s="1"/>
  <c r="D33" i="351" s="1"/>
  <c r="CX75" i="302"/>
  <c r="DS75" i="302" s="1"/>
  <c r="CZ46" i="302"/>
  <c r="DU46" i="302" s="1"/>
  <c r="CZ92" i="302"/>
  <c r="DU92" i="302" s="1"/>
  <c r="DV92" i="302" s="1"/>
  <c r="CX72" i="302"/>
  <c r="DS72" i="302" s="1"/>
  <c r="C73" i="351" s="1"/>
  <c r="CV34" i="302"/>
  <c r="E26" i="302"/>
  <c r="E12" i="302" s="1"/>
  <c r="L26" i="302"/>
  <c r="L12" i="302" s="1"/>
  <c r="N60" i="302"/>
  <c r="AN26" i="302"/>
  <c r="AN12" i="302" s="1"/>
  <c r="AU26" i="302"/>
  <c r="AU12" i="302" s="1"/>
  <c r="AU86" i="302" s="1"/>
  <c r="AU95" i="302" s="1"/>
  <c r="BA12" i="302"/>
  <c r="BA86" i="302" s="1"/>
  <c r="BA95" i="302" s="1"/>
  <c r="BQ69" i="302"/>
  <c r="BQ67" i="302" s="1"/>
  <c r="BQ60" i="302" s="1"/>
  <c r="CE26" i="302"/>
  <c r="CE12" i="302" s="1"/>
  <c r="CE86" i="302" s="1"/>
  <c r="CE95" i="302" s="1"/>
  <c r="CC60" i="302"/>
  <c r="CC86" i="302" s="1"/>
  <c r="CC95" i="302" s="1"/>
  <c r="DO60" i="302"/>
  <c r="CY21" i="302"/>
  <c r="DT21" i="302" s="1"/>
  <c r="D22" i="351" s="1"/>
  <c r="L15" i="402" s="1"/>
  <c r="CZ23" i="302"/>
  <c r="DU23" i="302" s="1"/>
  <c r="E24" i="351" s="1"/>
  <c r="CX91" i="302"/>
  <c r="DS91" i="302" s="1"/>
  <c r="K38" i="402" s="1"/>
  <c r="K42" i="402" s="1"/>
  <c r="DT57" i="302"/>
  <c r="D58" i="351" s="1"/>
  <c r="F58" i="351" s="1"/>
  <c r="CU82" i="302"/>
  <c r="CX82" i="302" s="1"/>
  <c r="DS82" i="302" s="1"/>
  <c r="CX88" i="302"/>
  <c r="DS88" i="302" s="1"/>
  <c r="CX58" i="302"/>
  <c r="DS58" i="302" s="1"/>
  <c r="C59" i="351" s="1"/>
  <c r="E20" i="351"/>
  <c r="F20" i="351" s="1"/>
  <c r="D29" i="351"/>
  <c r="F29" i="351" s="1"/>
  <c r="DV28" i="302"/>
  <c r="E31" i="351"/>
  <c r="F31" i="351" s="1"/>
  <c r="DV41" i="302"/>
  <c r="E42" i="351"/>
  <c r="F42" i="351" s="1"/>
  <c r="E40" i="351"/>
  <c r="F40" i="351" s="1"/>
  <c r="DV39" i="302"/>
  <c r="E34" i="351"/>
  <c r="F34" i="351" s="1"/>
  <c r="DV33" i="302"/>
  <c r="DJ14" i="302"/>
  <c r="DJ13" i="302" s="1"/>
  <c r="CZ18" i="302"/>
  <c r="DU18" i="302" s="1"/>
  <c r="CZ29" i="302"/>
  <c r="DU29" i="302" s="1"/>
  <c r="E30" i="351" s="1"/>
  <c r="CX31" i="302"/>
  <c r="DS31" i="302" s="1"/>
  <c r="C32" i="351" s="1"/>
  <c r="DT18" i="302"/>
  <c r="D19" i="351" s="1"/>
  <c r="BE60" i="302"/>
  <c r="CX73" i="302"/>
  <c r="DS73" i="302" s="1"/>
  <c r="C74" i="351" s="1"/>
  <c r="DS57" i="302"/>
  <c r="C58" i="351" s="1"/>
  <c r="BH47" i="302"/>
  <c r="C62" i="351"/>
  <c r="AV12" i="302"/>
  <c r="CX71" i="302"/>
  <c r="DS71" i="302" s="1"/>
  <c r="C72" i="351" s="1"/>
  <c r="AG12" i="302"/>
  <c r="AG86" i="302" s="1"/>
  <c r="AG95" i="302" s="1"/>
  <c r="R95" i="302"/>
  <c r="BH87" i="302"/>
  <c r="CX87" i="302" s="1"/>
  <c r="DS87" i="302" s="1"/>
  <c r="DV49" i="302"/>
  <c r="E50" i="351"/>
  <c r="DS49" i="302"/>
  <c r="C50" i="351" s="1"/>
  <c r="DI31" i="301"/>
  <c r="DL34" i="301"/>
  <c r="AX43" i="301"/>
  <c r="AI43" i="301"/>
  <c r="AI55" i="301"/>
  <c r="Z55" i="301"/>
  <c r="E43" i="301"/>
  <c r="DQ43" i="301"/>
  <c r="DQ55" i="301"/>
  <c r="DN55" i="301"/>
  <c r="DH31" i="301"/>
  <c r="DK31" i="301" s="1"/>
  <c r="DK34" i="301"/>
  <c r="DE43" i="301"/>
  <c r="D24" i="343"/>
  <c r="D30" i="343" s="1"/>
  <c r="D59" i="343" s="1"/>
  <c r="CG55" i="301"/>
  <c r="BP55" i="301"/>
  <c r="CK43" i="301"/>
  <c r="AR43" i="301"/>
  <c r="BQ43" i="301"/>
  <c r="BE43" i="301"/>
  <c r="AW55" i="301"/>
  <c r="AN55" i="301"/>
  <c r="E33" i="350"/>
  <c r="F27" i="402" s="1"/>
  <c r="U43" i="301"/>
  <c r="CD55" i="301"/>
  <c r="CK55" i="301"/>
  <c r="BB43" i="301"/>
  <c r="BG55" i="301"/>
  <c r="AR55" i="301"/>
  <c r="BP43" i="301"/>
  <c r="CG43" i="301"/>
  <c r="AQ55" i="301"/>
  <c r="AY43" i="301"/>
  <c r="G43" i="301"/>
  <c r="AT55" i="301"/>
  <c r="BX43" i="301"/>
  <c r="CA55" i="301"/>
  <c r="AO55" i="301"/>
  <c r="BS43" i="301"/>
  <c r="BD55" i="301"/>
  <c r="BU55" i="301"/>
  <c r="BY43" i="301"/>
  <c r="BK55" i="301"/>
  <c r="BR43" i="301"/>
  <c r="BQ55" i="301"/>
  <c r="I43" i="301"/>
  <c r="I55" i="301"/>
  <c r="BZ43" i="301"/>
  <c r="BZ55" i="301"/>
  <c r="AC43" i="301"/>
  <c r="AC55" i="301"/>
  <c r="W43" i="301"/>
  <c r="W55" i="301"/>
  <c r="CE55" i="301"/>
  <c r="CE43" i="301"/>
  <c r="H55" i="301"/>
  <c r="H43" i="301"/>
  <c r="BO55" i="301"/>
  <c r="BO43" i="301"/>
  <c r="P55" i="301"/>
  <c r="CX16" i="301"/>
  <c r="DS16" i="301" s="1"/>
  <c r="C16" i="350" s="1"/>
  <c r="C12" i="343" s="1"/>
  <c r="CZ56" i="301"/>
  <c r="DU56" i="301" s="1"/>
  <c r="AS55" i="301"/>
  <c r="K43" i="301"/>
  <c r="L55" i="301"/>
  <c r="Z43" i="301"/>
  <c r="M55" i="301"/>
  <c r="AO43" i="301"/>
  <c r="AY55" i="301"/>
  <c r="R55" i="301"/>
  <c r="Y43" i="301"/>
  <c r="AK55" i="301"/>
  <c r="CY27" i="301"/>
  <c r="DT27" i="301" s="1"/>
  <c r="D27" i="350" s="1"/>
  <c r="D32" i="343" s="1"/>
  <c r="E55" i="301"/>
  <c r="Q55" i="301"/>
  <c r="CH55" i="301"/>
  <c r="AQ43" i="301"/>
  <c r="BM43" i="301"/>
  <c r="BW55" i="301"/>
  <c r="BB55" i="301"/>
  <c r="T55" i="301"/>
  <c r="AL55" i="301"/>
  <c r="AZ43" i="301"/>
  <c r="CZ32" i="301"/>
  <c r="DU32" i="301" s="1"/>
  <c r="E32" i="350" s="1"/>
  <c r="F26" i="402" s="1"/>
  <c r="BN43" i="301"/>
  <c r="CX48" i="301"/>
  <c r="DS48" i="301" s="1"/>
  <c r="C48" i="350" s="1"/>
  <c r="CV20" i="301"/>
  <c r="CV14" i="301" s="1"/>
  <c r="CD43" i="301"/>
  <c r="CA43" i="301"/>
  <c r="BX55" i="301"/>
  <c r="BR55" i="301"/>
  <c r="CY29" i="301"/>
  <c r="DT29" i="301" s="1"/>
  <c r="E20" i="402" s="1"/>
  <c r="BF55" i="301"/>
  <c r="BC43" i="301"/>
  <c r="AW43" i="301"/>
  <c r="AH55" i="301"/>
  <c r="AH43" i="301"/>
  <c r="AF55" i="301"/>
  <c r="AE55" i="301"/>
  <c r="AB55" i="301"/>
  <c r="CY19" i="301"/>
  <c r="DT19" i="301" s="1"/>
  <c r="J55" i="301"/>
  <c r="G55" i="301"/>
  <c r="D43" i="301"/>
  <c r="DP55" i="301"/>
  <c r="E31" i="402"/>
  <c r="DS57" i="301"/>
  <c r="D35" i="350"/>
  <c r="D21" i="343" s="1"/>
  <c r="G26" i="316"/>
  <c r="C42" i="350"/>
  <c r="D30" i="402" s="1"/>
  <c r="D13" i="343"/>
  <c r="E16" i="402"/>
  <c r="F19" i="402"/>
  <c r="S55" i="301"/>
  <c r="DG55" i="301"/>
  <c r="Q43" i="301"/>
  <c r="CY15" i="301"/>
  <c r="DT15" i="301" s="1"/>
  <c r="D15" i="350" s="1"/>
  <c r="F15" i="350" s="1"/>
  <c r="BA43" i="301"/>
  <c r="BA55" i="301"/>
  <c r="AJ43" i="301"/>
  <c r="DF55" i="301"/>
  <c r="DF43" i="301"/>
  <c r="BY55" i="301"/>
  <c r="C19" i="343"/>
  <c r="DB55" i="301"/>
  <c r="BJ34" i="301"/>
  <c r="CZ34" i="301" s="1"/>
  <c r="AF43" i="301"/>
  <c r="F22" i="350"/>
  <c r="BI20" i="301"/>
  <c r="BI14" i="301" s="1"/>
  <c r="AA55" i="301"/>
  <c r="CX39" i="301"/>
  <c r="DS39" i="301" s="1"/>
  <c r="C39" i="350" s="1"/>
  <c r="BH34" i="301"/>
  <c r="CX34" i="301" s="1"/>
  <c r="BM55" i="301"/>
  <c r="AL43" i="301"/>
  <c r="D55" i="301"/>
  <c r="AB43" i="301"/>
  <c r="DR43" i="301"/>
  <c r="BJ20" i="301"/>
  <c r="BJ14" i="301" s="1"/>
  <c r="DV22" i="301"/>
  <c r="BI45" i="301"/>
  <c r="BI44" i="301" s="1"/>
  <c r="AE43" i="301"/>
  <c r="DT57" i="301"/>
  <c r="BH46" i="301"/>
  <c r="BE45" i="301"/>
  <c r="BE44" i="301" s="1"/>
  <c r="BE55" i="301" s="1"/>
  <c r="BV55" i="301"/>
  <c r="CX52" i="301"/>
  <c r="DS52" i="301" s="1"/>
  <c r="C52" i="350" s="1"/>
  <c r="CU45" i="301"/>
  <c r="CU44" i="301" s="1"/>
  <c r="DK20" i="301"/>
  <c r="DK14" i="301" s="1"/>
  <c r="DT21" i="301"/>
  <c r="D21" i="350" s="1"/>
  <c r="D19" i="343" s="1"/>
  <c r="K55" i="301"/>
  <c r="N43" i="301"/>
  <c r="X43" i="301"/>
  <c r="AS43" i="301"/>
  <c r="CX23" i="301"/>
  <c r="DS23" i="301" s="1"/>
  <c r="C23" i="350" s="1"/>
  <c r="C15" i="343" s="1"/>
  <c r="CY24" i="301"/>
  <c r="DT24" i="301" s="1"/>
  <c r="CY42" i="301"/>
  <c r="DT42" i="301" s="1"/>
  <c r="DV42" i="301" s="1"/>
  <c r="DN43" i="301"/>
  <c r="CZ49" i="301"/>
  <c r="DU49" i="301" s="1"/>
  <c r="E49" i="350" s="1"/>
  <c r="CY52" i="301"/>
  <c r="CZ28" i="301"/>
  <c r="DU28" i="301" s="1"/>
  <c r="E28" i="350" s="1"/>
  <c r="CY16" i="301"/>
  <c r="DT16" i="301" s="1"/>
  <c r="D16" i="350" s="1"/>
  <c r="E15" i="402" s="1"/>
  <c r="BG43" i="301"/>
  <c r="DT40" i="301"/>
  <c r="DU48" i="301"/>
  <c r="E48" i="350" s="1"/>
  <c r="DH43" i="301"/>
  <c r="DS29" i="301"/>
  <c r="G27" i="314" s="1"/>
  <c r="DU27" i="301"/>
  <c r="E27" i="350" s="1"/>
  <c r="E32" i="343" s="1"/>
  <c r="DL14" i="301"/>
  <c r="AZ55" i="301"/>
  <c r="BF43" i="301"/>
  <c r="BC55" i="301"/>
  <c r="CZ46" i="301"/>
  <c r="DU46" i="301" s="1"/>
  <c r="E46" i="350" s="1"/>
  <c r="CZ38" i="301"/>
  <c r="DU38" i="301" s="1"/>
  <c r="DA55" i="301"/>
  <c r="CI55" i="301"/>
  <c r="CI43" i="301"/>
  <c r="CX30" i="301"/>
  <c r="DS30" i="301" s="1"/>
  <c r="C30" i="350" s="1"/>
  <c r="CC43" i="301"/>
  <c r="CC55" i="301"/>
  <c r="BT55" i="301"/>
  <c r="CX32" i="301"/>
  <c r="DS32" i="301" s="1"/>
  <c r="CX17" i="301"/>
  <c r="DS17" i="301" s="1"/>
  <c r="C17" i="350" s="1"/>
  <c r="C13" i="343" s="1"/>
  <c r="BN55" i="301"/>
  <c r="AV55" i="301"/>
  <c r="AP55" i="301"/>
  <c r="C26" i="350"/>
  <c r="AM55" i="301"/>
  <c r="AM43" i="301"/>
  <c r="D28" i="402"/>
  <c r="C24" i="343"/>
  <c r="C30" i="343" s="1"/>
  <c r="C59" i="343" s="1"/>
  <c r="G14" i="316"/>
  <c r="X55" i="301"/>
  <c r="U55" i="301"/>
  <c r="R43" i="301"/>
  <c r="F59" i="351"/>
  <c r="E17" i="350"/>
  <c r="DV17" i="301"/>
  <c r="E51" i="351"/>
  <c r="DT51" i="302"/>
  <c r="CY47" i="302"/>
  <c r="DT47" i="302" s="1"/>
  <c r="C26" i="351"/>
  <c r="K16" i="402" s="1"/>
  <c r="G17" i="315"/>
  <c r="F18" i="402"/>
  <c r="G18" i="402" s="1"/>
  <c r="D26" i="350"/>
  <c r="F26" i="350" s="1"/>
  <c r="L44" i="402"/>
  <c r="CU67" i="302"/>
  <c r="E18" i="351"/>
  <c r="G31" i="394"/>
  <c r="G49" i="394" s="1"/>
  <c r="N38" i="402"/>
  <c r="M19" i="402"/>
  <c r="H187" i="404"/>
  <c r="F187" i="404"/>
  <c r="K44" i="402"/>
  <c r="G39" i="387"/>
  <c r="C85" i="351"/>
  <c r="C21" i="343"/>
  <c r="D78" i="351"/>
  <c r="F78" i="351" s="1"/>
  <c r="DV77" i="302"/>
  <c r="CZ23" i="301"/>
  <c r="CW20" i="301"/>
  <c r="CW14" i="301" s="1"/>
  <c r="CX15" i="301"/>
  <c r="DS15" i="301" s="1"/>
  <c r="H35" i="387"/>
  <c r="D46" i="387"/>
  <c r="F46" i="387" s="1"/>
  <c r="H17" i="370"/>
  <c r="K17" i="370" s="1"/>
  <c r="G23" i="370"/>
  <c r="M33" i="401"/>
  <c r="M36" i="401" s="1"/>
  <c r="C14" i="301"/>
  <c r="BH20" i="301"/>
  <c r="BH14" i="301" s="1"/>
  <c r="AU43" i="301"/>
  <c r="AU55" i="301"/>
  <c r="F55" i="301"/>
  <c r="F43" i="301"/>
  <c r="BH31" i="301"/>
  <c r="V43" i="301"/>
  <c r="BI31" i="301"/>
  <c r="AD43" i="301"/>
  <c r="AD55" i="301"/>
  <c r="AG43" i="301"/>
  <c r="AG55" i="301"/>
  <c r="BJ31" i="301"/>
  <c r="I27" i="314"/>
  <c r="G40" i="402"/>
  <c r="H56" i="403"/>
  <c r="F56" i="403"/>
  <c r="D154" i="404"/>
  <c r="H56" i="404"/>
  <c r="F39" i="385"/>
  <c r="DV91" i="302"/>
  <c r="E16" i="350"/>
  <c r="C154" i="404"/>
  <c r="DV53" i="302"/>
  <c r="E54" i="351"/>
  <c r="I152" i="404"/>
  <c r="E154" i="404"/>
  <c r="F152" i="404"/>
  <c r="E29" i="350"/>
  <c r="I26" i="316"/>
  <c r="D92" i="351"/>
  <c r="D42" i="343"/>
  <c r="D43" i="343" s="1"/>
  <c r="D32" i="350"/>
  <c r="D67" i="351"/>
  <c r="L27" i="402" s="1"/>
  <c r="H23" i="317"/>
  <c r="L26" i="402"/>
  <c r="CY61" i="302"/>
  <c r="DT61" i="302" s="1"/>
  <c r="M48" i="402"/>
  <c r="CX61" i="302"/>
  <c r="DS61" i="302" s="1"/>
  <c r="D46" i="350"/>
  <c r="BX86" i="302"/>
  <c r="BX95" i="302" s="1"/>
  <c r="C39" i="343"/>
  <c r="E37" i="350"/>
  <c r="DU34" i="301"/>
  <c r="E11" i="343"/>
  <c r="F33" i="387"/>
  <c r="C86" i="351"/>
  <c r="K30" i="402" s="1"/>
  <c r="G29" i="317"/>
  <c r="F49" i="351"/>
  <c r="DT52" i="302"/>
  <c r="D53" i="351" s="1"/>
  <c r="F53" i="351" s="1"/>
  <c r="F33" i="317"/>
  <c r="D49" i="394"/>
  <c r="CZ47" i="302"/>
  <c r="DU47" i="302" s="1"/>
  <c r="F51" i="350"/>
  <c r="DV48" i="302"/>
  <c r="F29" i="317"/>
  <c r="CX19" i="301"/>
  <c r="DS19" i="301" s="1"/>
  <c r="C19" i="350" s="1"/>
  <c r="D17" i="402" s="1"/>
  <c r="F32" i="385"/>
  <c r="G47" i="394"/>
  <c r="N49" i="394"/>
  <c r="I27" i="328"/>
  <c r="G38" i="328"/>
  <c r="G45" i="328" s="1"/>
  <c r="E38" i="328"/>
  <c r="E45" i="328" s="1"/>
  <c r="CY75" i="302"/>
  <c r="D36" i="401"/>
  <c r="AH36" i="401" s="1"/>
  <c r="G105" i="403"/>
  <c r="CX33" i="301"/>
  <c r="K47" i="394"/>
  <c r="K49" i="394" s="1"/>
  <c r="V27" i="401"/>
  <c r="V33" i="401" s="1"/>
  <c r="V36" i="401" s="1"/>
  <c r="AH17" i="401"/>
  <c r="DM55" i="301"/>
  <c r="DM43" i="301"/>
  <c r="DD31" i="301"/>
  <c r="DD55" i="301" s="1"/>
  <c r="AK86" i="302"/>
  <c r="AK95" i="302" s="1"/>
  <c r="E91" i="351"/>
  <c r="M24" i="328"/>
  <c r="CU20" i="301"/>
  <c r="CU14" i="301" s="1"/>
  <c r="CU55" i="301" s="1"/>
  <c r="F56" i="404"/>
  <c r="I49" i="394"/>
  <c r="E81" i="351"/>
  <c r="CY73" i="302"/>
  <c r="DT73" i="302" s="1"/>
  <c r="D74" i="351" s="1"/>
  <c r="CV14" i="302"/>
  <c r="CV13" i="302" s="1"/>
  <c r="CY17" i="302"/>
  <c r="DT17" i="302" s="1"/>
  <c r="D18" i="351" s="1"/>
  <c r="BK43" i="301"/>
  <c r="DV55" i="302"/>
  <c r="CX83" i="302"/>
  <c r="DS83" i="302" s="1"/>
  <c r="C84" i="351" s="1"/>
  <c r="CZ16" i="302"/>
  <c r="DU16" i="302" s="1"/>
  <c r="CY35" i="302"/>
  <c r="DT35" i="302" s="1"/>
  <c r="D36" i="351" s="1"/>
  <c r="CX16" i="302"/>
  <c r="DS16" i="302" s="1"/>
  <c r="C17" i="351" s="1"/>
  <c r="F24" i="344"/>
  <c r="H24" i="344" s="1"/>
  <c r="F27" i="344"/>
  <c r="H27" i="344" s="1"/>
  <c r="AF27" i="401"/>
  <c r="AF33" i="401" s="1"/>
  <c r="AF36" i="401" s="1"/>
  <c r="J28" i="328"/>
  <c r="L28" i="328"/>
  <c r="M28" i="328" s="1"/>
  <c r="M43" i="301"/>
  <c r="AP43" i="301"/>
  <c r="AN43" i="301"/>
  <c r="BS55" i="301"/>
  <c r="DD43" i="301"/>
  <c r="U26" i="302"/>
  <c r="U12" i="302" s="1"/>
  <c r="G35" i="315"/>
  <c r="C107" i="403"/>
  <c r="C73" i="443" s="1"/>
  <c r="G73" i="443" s="1"/>
  <c r="CY71" i="302"/>
  <c r="DT71" i="302" s="1"/>
  <c r="DL14" i="302"/>
  <c r="DL13" i="302" s="1"/>
  <c r="CX37" i="302"/>
  <c r="DS37" i="302" s="1"/>
  <c r="C38" i="351" s="1"/>
  <c r="BH34" i="302"/>
  <c r="L43" i="301"/>
  <c r="CZ30" i="301"/>
  <c r="DU30" i="301" s="1"/>
  <c r="CZ50" i="301"/>
  <c r="BJ45" i="301"/>
  <c r="BJ44" i="301" s="1"/>
  <c r="BL43" i="301"/>
  <c r="CB55" i="301"/>
  <c r="I116" i="403"/>
  <c r="DS77" i="302"/>
  <c r="C78" i="351" s="1"/>
  <c r="C76" i="351" s="1"/>
  <c r="CZ73" i="302"/>
  <c r="DU73" i="302" s="1"/>
  <c r="I37" i="328"/>
  <c r="L37" i="328" s="1"/>
  <c r="M37" i="328" s="1"/>
  <c r="J37" i="328"/>
  <c r="H37" i="329"/>
  <c r="J43" i="301"/>
  <c r="AJ55" i="301"/>
  <c r="DA43" i="301"/>
  <c r="DI55" i="301"/>
  <c r="V55" i="301"/>
  <c r="AV43" i="301"/>
  <c r="I14" i="314"/>
  <c r="DV26" i="301"/>
  <c r="CX51" i="301"/>
  <c r="BW43" i="301"/>
  <c r="CH43" i="301"/>
  <c r="K69" i="302"/>
  <c r="K67" i="302" s="1"/>
  <c r="K60" i="302" s="1"/>
  <c r="K86" i="302" s="1"/>
  <c r="K95" i="302" s="1"/>
  <c r="X12" i="302"/>
  <c r="CD12" i="302"/>
  <c r="AX55" i="301"/>
  <c r="Y55" i="301"/>
  <c r="CX53" i="301"/>
  <c r="DS53" i="301" s="1"/>
  <c r="C53" i="350" s="1"/>
  <c r="CF55" i="301"/>
  <c r="DE55" i="301"/>
  <c r="DJ20" i="301"/>
  <c r="DJ14" i="301" s="1"/>
  <c r="Q12" i="302"/>
  <c r="X60" i="302"/>
  <c r="AZ60" i="302"/>
  <c r="BC60" i="302"/>
  <c r="BC86" i="302" s="1"/>
  <c r="BC95" i="302" s="1"/>
  <c r="BD69" i="302"/>
  <c r="BD67" i="302" s="1"/>
  <c r="BD60" i="302" s="1"/>
  <c r="BN60" i="302"/>
  <c r="AK43" i="301"/>
  <c r="BD43" i="301"/>
  <c r="CY33" i="301"/>
  <c r="CX40" i="301"/>
  <c r="DS40" i="301" s="1"/>
  <c r="DV51" i="301"/>
  <c r="F69" i="302"/>
  <c r="F67" i="302" s="1"/>
  <c r="F60" i="302" s="1"/>
  <c r="F86" i="302" s="1"/>
  <c r="F95" i="302" s="1"/>
  <c r="Q60" i="302"/>
  <c r="V60" i="302"/>
  <c r="AO12" i="302"/>
  <c r="AS12" i="302"/>
  <c r="AS86" i="302" s="1"/>
  <c r="AS95" i="302" s="1"/>
  <c r="DB69" i="302"/>
  <c r="DK69" i="302" s="1"/>
  <c r="G82" i="403"/>
  <c r="AZ12" i="302"/>
  <c r="AZ86" i="302" s="1"/>
  <c r="AZ95" i="302" s="1"/>
  <c r="BD26" i="302"/>
  <c r="BD12" i="302" s="1"/>
  <c r="CB69" i="302"/>
  <c r="CB67" i="302" s="1"/>
  <c r="CB60" i="302" s="1"/>
  <c r="DD12" i="302"/>
  <c r="DG69" i="302"/>
  <c r="DJ69" i="302" s="1"/>
  <c r="E93" i="351"/>
  <c r="DU93" i="302"/>
  <c r="DS90" i="302"/>
  <c r="C91" i="351" s="1"/>
  <c r="F17" i="315"/>
  <c r="AH12" i="302"/>
  <c r="AH86" i="302" s="1"/>
  <c r="AH95" i="302" s="1"/>
  <c r="AN60" i="302"/>
  <c r="AW60" i="302"/>
  <c r="BB69" i="302"/>
  <c r="BB67" i="302" s="1"/>
  <c r="BB60" i="302" s="1"/>
  <c r="BB86" i="302" s="1"/>
  <c r="BB95" i="302" s="1"/>
  <c r="BE12" i="302"/>
  <c r="BL26" i="302"/>
  <c r="BL12" i="302" s="1"/>
  <c r="BL86" i="302" s="1"/>
  <c r="BL95" i="302" s="1"/>
  <c r="BN12" i="302"/>
  <c r="BQ12" i="302"/>
  <c r="BW26" i="302"/>
  <c r="BW12" i="302" s="1"/>
  <c r="BW86" i="302" s="1"/>
  <c r="BW95" i="302" s="1"/>
  <c r="BY60" i="302"/>
  <c r="BY86" i="302" s="1"/>
  <c r="BY95" i="302" s="1"/>
  <c r="BZ12" i="302"/>
  <c r="BZ86" i="302" s="1"/>
  <c r="BZ95" i="302" s="1"/>
  <c r="CG26" i="302"/>
  <c r="CG12" i="302" s="1"/>
  <c r="CG86" i="302" s="1"/>
  <c r="CG95" i="302" s="1"/>
  <c r="DM12" i="302"/>
  <c r="DU76" i="302"/>
  <c r="F118" i="404"/>
  <c r="I118" i="404"/>
  <c r="DT90" i="302"/>
  <c r="D91" i="351" s="1"/>
  <c r="CY29" i="302"/>
  <c r="DT29" i="302" s="1"/>
  <c r="CW27" i="302"/>
  <c r="CZ32" i="302"/>
  <c r="DU32" i="302" s="1"/>
  <c r="DV57" i="301" l="1"/>
  <c r="E85" i="351"/>
  <c r="M29" i="402" s="1"/>
  <c r="I39" i="387"/>
  <c r="DV85" i="302"/>
  <c r="CX70" i="302"/>
  <c r="AR86" i="302"/>
  <c r="AR95" i="302" s="1"/>
  <c r="Y86" i="302"/>
  <c r="S86" i="302"/>
  <c r="S95" i="302" s="1"/>
  <c r="CY82" i="302"/>
  <c r="CY34" i="302"/>
  <c r="DT34" i="302" s="1"/>
  <c r="DV34" i="302" s="1"/>
  <c r="DH55" i="301"/>
  <c r="DJ31" i="301"/>
  <c r="DJ43" i="301" s="1"/>
  <c r="CU43" i="301"/>
  <c r="W21" i="423"/>
  <c r="DV56" i="301"/>
  <c r="DQ86" i="302"/>
  <c r="DQ95" i="302" s="1"/>
  <c r="DV38" i="302"/>
  <c r="C71" i="351"/>
  <c r="Y95" i="302"/>
  <c r="DV73" i="302"/>
  <c r="E86" i="302"/>
  <c r="E95" i="302" s="1"/>
  <c r="DT88" i="302"/>
  <c r="CD86" i="302"/>
  <c r="CD95" i="302" s="1"/>
  <c r="AE86" i="302"/>
  <c r="AE95" i="302" s="1"/>
  <c r="BF86" i="302"/>
  <c r="BF95" i="302" s="1"/>
  <c r="H17" i="315"/>
  <c r="AT86" i="302"/>
  <c r="AT95" i="302" s="1"/>
  <c r="CX14" i="302"/>
  <c r="CK86" i="302"/>
  <c r="CK95" i="302" s="1"/>
  <c r="BU86" i="302"/>
  <c r="BU95" i="302" s="1"/>
  <c r="C35" i="351"/>
  <c r="F51" i="351"/>
  <c r="CX13" i="302"/>
  <c r="DS13" i="302" s="1"/>
  <c r="CV60" i="302"/>
  <c r="DM86" i="302"/>
  <c r="DM95" i="302" s="1"/>
  <c r="BE86" i="302"/>
  <c r="BE95" i="302" s="1"/>
  <c r="DV35" i="302"/>
  <c r="F36" i="351"/>
  <c r="C28" i="351"/>
  <c r="CI86" i="302"/>
  <c r="CI95" i="302" s="1"/>
  <c r="DA12" i="302"/>
  <c r="DA86" i="302" s="1"/>
  <c r="DA95" i="302" s="1"/>
  <c r="CZ70" i="302"/>
  <c r="DU70" i="302" s="1"/>
  <c r="DL69" i="302"/>
  <c r="CY27" i="302"/>
  <c r="DT27" i="302" s="1"/>
  <c r="BQ86" i="302"/>
  <c r="BQ95" i="302" s="1"/>
  <c r="DD86" i="302"/>
  <c r="DD95" i="302" s="1"/>
  <c r="CH86" i="302"/>
  <c r="CH95" i="302" s="1"/>
  <c r="J86" i="302"/>
  <c r="J95" i="302" s="1"/>
  <c r="O86" i="302"/>
  <c r="O95" i="302" s="1"/>
  <c r="BP86" i="302"/>
  <c r="BP95" i="302" s="1"/>
  <c r="C92" i="351"/>
  <c r="C89" i="351" s="1"/>
  <c r="DV29" i="301"/>
  <c r="C32" i="350"/>
  <c r="D26" i="402" s="1"/>
  <c r="F18" i="422"/>
  <c r="F20" i="422" s="1"/>
  <c r="E107" i="403"/>
  <c r="E73" i="443" s="1"/>
  <c r="F57" i="385"/>
  <c r="F59" i="385" s="1"/>
  <c r="F222" i="404"/>
  <c r="DO95" i="302"/>
  <c r="DS27" i="302"/>
  <c r="BJ69" i="302"/>
  <c r="BJ67" i="302" s="1"/>
  <c r="BG86" i="302"/>
  <c r="BG95" i="302" s="1"/>
  <c r="CZ87" i="302"/>
  <c r="CZ14" i="302"/>
  <c r="F16" i="351"/>
  <c r="DV15" i="302"/>
  <c r="BJ26" i="302"/>
  <c r="BJ12" i="302" s="1"/>
  <c r="DV37" i="302"/>
  <c r="I29" i="317"/>
  <c r="DV61" i="302"/>
  <c r="D26" i="351"/>
  <c r="CF86" i="302"/>
  <c r="CF95" i="302" s="1"/>
  <c r="C86" i="302"/>
  <c r="C95" i="302" s="1"/>
  <c r="BN86" i="302"/>
  <c r="BN95" i="302" s="1"/>
  <c r="CU95" i="302" s="1"/>
  <c r="U86" i="302"/>
  <c r="U95" i="302" s="1"/>
  <c r="N86" i="302"/>
  <c r="N95" i="302" s="1"/>
  <c r="AY86" i="302"/>
  <c r="AY95" i="302" s="1"/>
  <c r="D76" i="351"/>
  <c r="D60" i="351"/>
  <c r="H35" i="315"/>
  <c r="DV59" i="302"/>
  <c r="P86" i="302"/>
  <c r="P95" i="302" s="1"/>
  <c r="DU87" i="302"/>
  <c r="DV87" i="302" s="1"/>
  <c r="AW86" i="302"/>
  <c r="AW95" i="302" s="1"/>
  <c r="DL26" i="302"/>
  <c r="DL12" i="302" s="1"/>
  <c r="CB86" i="302"/>
  <c r="CB95" i="302" s="1"/>
  <c r="F39" i="351"/>
  <c r="CX47" i="302"/>
  <c r="DS47" i="302" s="1"/>
  <c r="AV86" i="302"/>
  <c r="AV95" i="302" s="1"/>
  <c r="BO86" i="302"/>
  <c r="BO95" i="302" s="1"/>
  <c r="CV95" i="302" s="1"/>
  <c r="DT42" i="302"/>
  <c r="DV42" i="302" s="1"/>
  <c r="DC86" i="302"/>
  <c r="CU12" i="302"/>
  <c r="T86" i="302"/>
  <c r="T95" i="302" s="1"/>
  <c r="CW26" i="302"/>
  <c r="CW12" i="302" s="1"/>
  <c r="CW86" i="302" s="1"/>
  <c r="V86" i="302"/>
  <c r="V95" i="302" s="1"/>
  <c r="AC86" i="302"/>
  <c r="AC95" i="302" s="1"/>
  <c r="L86" i="302"/>
  <c r="L95" i="302" s="1"/>
  <c r="CV26" i="302"/>
  <c r="CV12" i="302" s="1"/>
  <c r="D21" i="351"/>
  <c r="D15" i="351" s="1"/>
  <c r="DV20" i="302"/>
  <c r="CX42" i="302"/>
  <c r="DS42" i="302" s="1"/>
  <c r="DV80" i="302"/>
  <c r="F85" i="351"/>
  <c r="E83" i="351"/>
  <c r="E44" i="343" s="1"/>
  <c r="E38" i="343" s="1"/>
  <c r="F44" i="351"/>
  <c r="D43" i="351"/>
  <c r="N30" i="402"/>
  <c r="E67" i="351"/>
  <c r="M27" i="402" s="1"/>
  <c r="N27" i="402" s="1"/>
  <c r="F37" i="351"/>
  <c r="DV66" i="302"/>
  <c r="DV50" i="302"/>
  <c r="DV36" i="302"/>
  <c r="D86" i="302"/>
  <c r="D95" i="302" s="1"/>
  <c r="C27" i="351"/>
  <c r="K17" i="402" s="1"/>
  <c r="F81" i="351"/>
  <c r="F86" i="351"/>
  <c r="C15" i="351"/>
  <c r="K14" i="402" s="1"/>
  <c r="DS14" i="302"/>
  <c r="DE12" i="302"/>
  <c r="DE86" i="302" s="1"/>
  <c r="DE95" i="302" s="1"/>
  <c r="DK12" i="302"/>
  <c r="E79" i="351"/>
  <c r="F79" i="351" s="1"/>
  <c r="DV78" i="302"/>
  <c r="AN86" i="302"/>
  <c r="AN95" i="302" s="1"/>
  <c r="E92" i="351"/>
  <c r="F92" i="351" s="1"/>
  <c r="M44" i="402"/>
  <c r="N44" i="402" s="1"/>
  <c r="I86" i="302"/>
  <c r="I95" i="302" s="1"/>
  <c r="DT82" i="302"/>
  <c r="DV82" i="302" s="1"/>
  <c r="E47" i="351"/>
  <c r="DV46" i="302"/>
  <c r="L29" i="402"/>
  <c r="N29" i="402" s="1"/>
  <c r="D83" i="351"/>
  <c r="D44" i="343" s="1"/>
  <c r="D38" i="343" s="1"/>
  <c r="DV57" i="302"/>
  <c r="DV62" i="302"/>
  <c r="E63" i="351"/>
  <c r="CZ88" i="302"/>
  <c r="DU88" i="302" s="1"/>
  <c r="E48" i="351"/>
  <c r="M18" i="402" s="1"/>
  <c r="DV47" i="302"/>
  <c r="DV18" i="302"/>
  <c r="E19" i="351"/>
  <c r="F19" i="351" s="1"/>
  <c r="C68" i="351"/>
  <c r="K28" i="402" s="1"/>
  <c r="C48" i="351"/>
  <c r="K18" i="402" s="1"/>
  <c r="DS70" i="302"/>
  <c r="C42" i="343"/>
  <c r="C43" i="343" s="1"/>
  <c r="F50" i="351"/>
  <c r="E42" i="343"/>
  <c r="E43" i="343" s="1"/>
  <c r="DL31" i="301"/>
  <c r="DL55" i="301" s="1"/>
  <c r="DI43" i="301"/>
  <c r="DS34" i="301"/>
  <c r="F32" i="350"/>
  <c r="H27" i="314"/>
  <c r="CZ14" i="301"/>
  <c r="CZ31" i="301"/>
  <c r="DS20" i="301"/>
  <c r="DS14" i="301" s="1"/>
  <c r="DV32" i="301"/>
  <c r="BJ55" i="301"/>
  <c r="D15" i="402"/>
  <c r="CX20" i="301"/>
  <c r="CV55" i="301"/>
  <c r="CY31" i="301"/>
  <c r="CV43" i="301"/>
  <c r="D12" i="343"/>
  <c r="DV16" i="301"/>
  <c r="DT34" i="301"/>
  <c r="DV34" i="301" s="1"/>
  <c r="BJ43" i="301"/>
  <c r="D19" i="350"/>
  <c r="DV19" i="301"/>
  <c r="D31" i="402"/>
  <c r="DK55" i="301"/>
  <c r="DK43" i="301"/>
  <c r="DT52" i="301"/>
  <c r="CY45" i="301"/>
  <c r="CY44" i="301" s="1"/>
  <c r="E18" i="343"/>
  <c r="CY20" i="301"/>
  <c r="E38" i="350"/>
  <c r="E34" i="350" s="1"/>
  <c r="I14" i="316"/>
  <c r="DV38" i="301"/>
  <c r="CX46" i="301"/>
  <c r="DS46" i="301" s="1"/>
  <c r="C46" i="350" s="1"/>
  <c r="BH45" i="301"/>
  <c r="BH44" i="301" s="1"/>
  <c r="BH55" i="301" s="1"/>
  <c r="DV15" i="301"/>
  <c r="C29" i="350"/>
  <c r="D20" i="402" s="1"/>
  <c r="E14" i="402"/>
  <c r="G14" i="402" s="1"/>
  <c r="D11" i="343"/>
  <c r="H28" i="387"/>
  <c r="D40" i="350"/>
  <c r="DV40" i="301"/>
  <c r="H26" i="316"/>
  <c r="D42" i="350"/>
  <c r="D16" i="402"/>
  <c r="C18" i="343"/>
  <c r="C16" i="343"/>
  <c r="D19" i="402"/>
  <c r="DJ55" i="301"/>
  <c r="DV29" i="302"/>
  <c r="D30" i="351"/>
  <c r="M40" i="402"/>
  <c r="DU50" i="301"/>
  <c r="CZ45" i="301"/>
  <c r="CZ44" i="301" s="1"/>
  <c r="C43" i="301"/>
  <c r="C55" i="301"/>
  <c r="DU23" i="301"/>
  <c r="CZ20" i="301"/>
  <c r="D36" i="343"/>
  <c r="D89" i="351"/>
  <c r="L45" i="402"/>
  <c r="L50" i="402" s="1"/>
  <c r="P50" i="402" s="1"/>
  <c r="BD86" i="302"/>
  <c r="BD95" i="302" s="1"/>
  <c r="Q86" i="302"/>
  <c r="Q95" i="302" s="1"/>
  <c r="X86" i="302"/>
  <c r="X95" i="302" s="1"/>
  <c r="E74" i="351"/>
  <c r="E71" i="351" s="1"/>
  <c r="DV30" i="301"/>
  <c r="E30" i="350"/>
  <c r="J38" i="328"/>
  <c r="J45" i="328" s="1"/>
  <c r="CY70" i="302"/>
  <c r="DT70" i="302" s="1"/>
  <c r="BI69" i="302"/>
  <c r="F91" i="351"/>
  <c r="M45" i="402"/>
  <c r="DS33" i="301"/>
  <c r="G107" i="403"/>
  <c r="DT75" i="302"/>
  <c r="DV75" i="302" s="1"/>
  <c r="L27" i="328"/>
  <c r="I38" i="328"/>
  <c r="I45" i="328" s="1"/>
  <c r="DL43" i="301"/>
  <c r="E225" i="404"/>
  <c r="F154" i="404"/>
  <c r="I154" i="404"/>
  <c r="F54" i="351"/>
  <c r="E36" i="343"/>
  <c r="H154" i="404"/>
  <c r="D225" i="404"/>
  <c r="AH27" i="401"/>
  <c r="C15" i="350"/>
  <c r="DU31" i="301"/>
  <c r="CZ13" i="302"/>
  <c r="DU13" i="302" s="1"/>
  <c r="E13" i="343"/>
  <c r="F16" i="402"/>
  <c r="G16" i="402" s="1"/>
  <c r="F17" i="350"/>
  <c r="E41" i="351"/>
  <c r="DV40" i="302"/>
  <c r="CX14" i="301"/>
  <c r="BH43" i="301"/>
  <c r="E12" i="343"/>
  <c r="F16" i="350"/>
  <c r="F15" i="402"/>
  <c r="E77" i="351"/>
  <c r="DV76" i="302"/>
  <c r="K45" i="402"/>
  <c r="K50" i="402" s="1"/>
  <c r="O50" i="402" s="1"/>
  <c r="DG67" i="302"/>
  <c r="DJ67" i="302" s="1"/>
  <c r="DB67" i="302"/>
  <c r="DK67" i="302" s="1"/>
  <c r="AO86" i="302"/>
  <c r="AO95" i="302" s="1"/>
  <c r="DS51" i="301"/>
  <c r="D72" i="351"/>
  <c r="DV71" i="302"/>
  <c r="D35" i="351"/>
  <c r="DV90" i="302"/>
  <c r="D62" i="351"/>
  <c r="D40" i="343"/>
  <c r="D107" i="403"/>
  <c r="D73" i="443" s="1"/>
  <c r="H73" i="443" s="1"/>
  <c r="F82" i="403"/>
  <c r="H82" i="403"/>
  <c r="D24" i="350"/>
  <c r="DT20" i="301"/>
  <c r="DT14" i="301" s="1"/>
  <c r="CX31" i="301"/>
  <c r="F18" i="351"/>
  <c r="CU60" i="302"/>
  <c r="CU86" i="302" s="1"/>
  <c r="DU14" i="302"/>
  <c r="D16" i="343"/>
  <c r="E19" i="402"/>
  <c r="G19" i="402" s="1"/>
  <c r="DJ12" i="302"/>
  <c r="D52" i="351"/>
  <c r="DV51" i="302"/>
  <c r="CZ27" i="302"/>
  <c r="DU27" i="302" s="1"/>
  <c r="DV27" i="302" s="1"/>
  <c r="DT33" i="301"/>
  <c r="BI55" i="301"/>
  <c r="BI43" i="301"/>
  <c r="CY14" i="301"/>
  <c r="CW55" i="301"/>
  <c r="CW43" i="301"/>
  <c r="C83" i="351"/>
  <c r="C44" i="343" s="1"/>
  <c r="C38" i="343" s="1"/>
  <c r="K29" i="402"/>
  <c r="BI12" i="302"/>
  <c r="CY13" i="302"/>
  <c r="DT13" i="302" s="1"/>
  <c r="DV32" i="302"/>
  <c r="E33" i="351"/>
  <c r="G28" i="387"/>
  <c r="C40" i="350"/>
  <c r="D29" i="402" s="1"/>
  <c r="CX34" i="302"/>
  <c r="DS34" i="302" s="1"/>
  <c r="BH26" i="302"/>
  <c r="E17" i="351"/>
  <c r="DV16" i="302"/>
  <c r="AH33" i="401"/>
  <c r="E26" i="402"/>
  <c r="D18" i="343"/>
  <c r="F20" i="402"/>
  <c r="G20" i="402" s="1"/>
  <c r="F29" i="350"/>
  <c r="C225" i="404"/>
  <c r="G154" i="404"/>
  <c r="G26" i="370"/>
  <c r="H23" i="370"/>
  <c r="K23" i="370" s="1"/>
  <c r="DV52" i="302"/>
  <c r="DV17" i="302"/>
  <c r="CY14" i="302"/>
  <c r="DT14" i="302" s="1"/>
  <c r="I73" i="443" l="1"/>
  <c r="F73" i="443"/>
  <c r="H107" i="403"/>
  <c r="F26" i="351"/>
  <c r="D14" i="351"/>
  <c r="CW95" i="302"/>
  <c r="L16" i="402"/>
  <c r="N16" i="402" s="1"/>
  <c r="DV88" i="302"/>
  <c r="F21" i="351"/>
  <c r="CZ69" i="302"/>
  <c r="DU69" i="302" s="1"/>
  <c r="DV70" i="302"/>
  <c r="F67" i="351"/>
  <c r="CV86" i="302"/>
  <c r="I107" i="403"/>
  <c r="BI95" i="302"/>
  <c r="CY95" i="302" s="1"/>
  <c r="BH95" i="302"/>
  <c r="CX95" i="302" s="1"/>
  <c r="L19" i="402"/>
  <c r="N19" i="402" s="1"/>
  <c r="F60" i="351"/>
  <c r="L14" i="402"/>
  <c r="CY26" i="302"/>
  <c r="DT26" i="302" s="1"/>
  <c r="CZ26" i="302"/>
  <c r="DU26" i="302" s="1"/>
  <c r="DC95" i="302"/>
  <c r="DL95" i="302" s="1"/>
  <c r="DL86" i="302"/>
  <c r="E62" i="351"/>
  <c r="F62" i="351" s="1"/>
  <c r="E89" i="351"/>
  <c r="E88" i="351" s="1"/>
  <c r="C14" i="351"/>
  <c r="C13" i="351" s="1"/>
  <c r="C35" i="343" s="1"/>
  <c r="F83" i="351"/>
  <c r="K24" i="402"/>
  <c r="F47" i="351"/>
  <c r="E43" i="351"/>
  <c r="F43" i="351" s="1"/>
  <c r="BJ95" i="302"/>
  <c r="M26" i="402"/>
  <c r="N26" i="402" s="1"/>
  <c r="F63" i="351"/>
  <c r="BH67" i="302"/>
  <c r="CX69" i="302"/>
  <c r="DS69" i="302" s="1"/>
  <c r="CZ43" i="301"/>
  <c r="C20" i="350"/>
  <c r="C14" i="343" s="1"/>
  <c r="CZ55" i="301"/>
  <c r="CX45" i="301"/>
  <c r="CX44" i="301" s="1"/>
  <c r="CX55" i="301" s="1"/>
  <c r="E17" i="402"/>
  <c r="G17" i="402" s="1"/>
  <c r="F19" i="350"/>
  <c r="E31" i="350"/>
  <c r="E17" i="343" s="1"/>
  <c r="E22" i="343"/>
  <c r="D34" i="350"/>
  <c r="D22" i="343" s="1"/>
  <c r="D52" i="350"/>
  <c r="D45" i="350" s="1"/>
  <c r="D44" i="350" s="1"/>
  <c r="DT45" i="301"/>
  <c r="DT44" i="301" s="1"/>
  <c r="E29" i="402"/>
  <c r="G29" i="402" s="1"/>
  <c r="F40" i="350"/>
  <c r="F28" i="402"/>
  <c r="F38" i="350"/>
  <c r="E24" i="343"/>
  <c r="E30" i="343" s="1"/>
  <c r="E59" i="343" s="1"/>
  <c r="E30" i="402"/>
  <c r="G30" i="402" s="1"/>
  <c r="F42" i="350"/>
  <c r="F225" i="404"/>
  <c r="I225" i="404"/>
  <c r="C33" i="350"/>
  <c r="DS31" i="301"/>
  <c r="DS43" i="301" s="1"/>
  <c r="M42" i="402"/>
  <c r="G32" i="370"/>
  <c r="H26" i="370"/>
  <c r="K26" i="370" s="1"/>
  <c r="F33" i="351"/>
  <c r="E28" i="351"/>
  <c r="CY12" i="302"/>
  <c r="DT12" i="302" s="1"/>
  <c r="F52" i="351"/>
  <c r="D48" i="351"/>
  <c r="DV14" i="302"/>
  <c r="DG60" i="302"/>
  <c r="DJ60" i="302" s="1"/>
  <c r="F77" i="351"/>
  <c r="E76" i="351"/>
  <c r="F76" i="351" s="1"/>
  <c r="F41" i="351"/>
  <c r="E35" i="351"/>
  <c r="F35" i="351" s="1"/>
  <c r="DV13" i="302"/>
  <c r="H225" i="404"/>
  <c r="M27" i="328"/>
  <c r="M38" i="328" s="1"/>
  <c r="M45" i="328" s="1"/>
  <c r="L38" i="328"/>
  <c r="L45" i="328" s="1"/>
  <c r="N45" i="402"/>
  <c r="M50" i="402"/>
  <c r="F74" i="351"/>
  <c r="D28" i="351"/>
  <c r="D27" i="351" s="1"/>
  <c r="L17" i="402" s="1"/>
  <c r="F30" i="351"/>
  <c r="C34" i="350"/>
  <c r="C22" i="343" s="1"/>
  <c r="G225" i="404"/>
  <c r="G26" i="402"/>
  <c r="CY55" i="301"/>
  <c r="CY43" i="301"/>
  <c r="DV33" i="301"/>
  <c r="D33" i="350"/>
  <c r="DT31" i="301"/>
  <c r="DT43" i="301" s="1"/>
  <c r="D70" i="351"/>
  <c r="D68" i="351" s="1"/>
  <c r="F72" i="351"/>
  <c r="C88" i="351"/>
  <c r="C37" i="343" s="1"/>
  <c r="C41" i="343"/>
  <c r="CZ12" i="302"/>
  <c r="DU12" i="302" s="1"/>
  <c r="D41" i="343"/>
  <c r="D88" i="351"/>
  <c r="D37" i="343" s="1"/>
  <c r="DV50" i="301"/>
  <c r="E50" i="350"/>
  <c r="DU45" i="301"/>
  <c r="C61" i="351"/>
  <c r="G15" i="402"/>
  <c r="F24" i="402"/>
  <c r="F17" i="351"/>
  <c r="E15" i="351"/>
  <c r="CX26" i="302"/>
  <c r="DS26" i="302" s="1"/>
  <c r="BH12" i="302"/>
  <c r="CZ67" i="302"/>
  <c r="DU67" i="302" s="1"/>
  <c r="BJ60" i="302"/>
  <c r="CZ60" i="302" s="1"/>
  <c r="DU60" i="302" s="1"/>
  <c r="D20" i="343"/>
  <c r="D20" i="350"/>
  <c r="F107" i="403"/>
  <c r="C51" i="350"/>
  <c r="DS45" i="301"/>
  <c r="DS44" i="301" s="1"/>
  <c r="DB60" i="302"/>
  <c r="DK60" i="302" s="1"/>
  <c r="CX43" i="301"/>
  <c r="D14" i="402"/>
  <c r="D24" i="402" s="1"/>
  <c r="C11" i="343"/>
  <c r="BI67" i="302"/>
  <c r="CY69" i="302"/>
  <c r="DT69" i="302" s="1"/>
  <c r="E23" i="350"/>
  <c r="DU20" i="301"/>
  <c r="K33" i="402"/>
  <c r="CZ95" i="302" l="1"/>
  <c r="DU95" i="302" s="1"/>
  <c r="D13" i="351"/>
  <c r="E24" i="402"/>
  <c r="G24" i="402" s="1"/>
  <c r="DV69" i="302"/>
  <c r="C14" i="350"/>
  <c r="F89" i="351"/>
  <c r="DV26" i="302"/>
  <c r="E41" i="343"/>
  <c r="DV12" i="302"/>
  <c r="C87" i="351"/>
  <c r="C95" i="351" s="1"/>
  <c r="BH60" i="302"/>
  <c r="CX60" i="302" s="1"/>
  <c r="CX67" i="302"/>
  <c r="DS67" i="302" s="1"/>
  <c r="BJ86" i="302"/>
  <c r="CZ86" i="302" s="1"/>
  <c r="DU86" i="302" s="1"/>
  <c r="C46" i="343"/>
  <c r="C53" i="343" s="1"/>
  <c r="C56" i="343" s="1"/>
  <c r="DT55" i="301"/>
  <c r="F34" i="350"/>
  <c r="G28" i="402"/>
  <c r="F33" i="402"/>
  <c r="F36" i="402" s="1"/>
  <c r="DV31" i="301"/>
  <c r="DS55" i="301"/>
  <c r="BI60" i="302"/>
  <c r="CY67" i="302"/>
  <c r="DT67" i="302" s="1"/>
  <c r="DV67" i="302" s="1"/>
  <c r="DG86" i="302"/>
  <c r="DJ86" i="302" s="1"/>
  <c r="DV20" i="301"/>
  <c r="DU14" i="301"/>
  <c r="E14" i="351"/>
  <c r="M14" i="402"/>
  <c r="F15" i="351"/>
  <c r="E37" i="343"/>
  <c r="F88" i="351"/>
  <c r="DV45" i="301"/>
  <c r="DU44" i="301"/>
  <c r="DV44" i="301" s="1"/>
  <c r="L28" i="402"/>
  <c r="L33" i="402" s="1"/>
  <c r="D39" i="343"/>
  <c r="N50" i="402"/>
  <c r="K36" i="402"/>
  <c r="K53" i="402" s="1"/>
  <c r="E15" i="343"/>
  <c r="E20" i="350"/>
  <c r="F50" i="350"/>
  <c r="F45" i="402"/>
  <c r="E45" i="350"/>
  <c r="G35" i="370"/>
  <c r="H35" i="370" s="1"/>
  <c r="K35" i="370" s="1"/>
  <c r="H32" i="370"/>
  <c r="K32" i="370" s="1"/>
  <c r="D27" i="402"/>
  <c r="D33" i="402" s="1"/>
  <c r="O33" i="402" s="1"/>
  <c r="C31" i="350"/>
  <c r="C17" i="343" s="1"/>
  <c r="C23" i="343" s="1"/>
  <c r="DB86" i="302"/>
  <c r="DK86" i="302" s="1"/>
  <c r="D14" i="343"/>
  <c r="D14" i="350"/>
  <c r="O24" i="402"/>
  <c r="D40" i="402"/>
  <c r="D42" i="402" s="1"/>
  <c r="O42" i="402" s="1"/>
  <c r="C45" i="350"/>
  <c r="C44" i="350" s="1"/>
  <c r="CX12" i="302"/>
  <c r="DS12" i="302" s="1"/>
  <c r="D61" i="351"/>
  <c r="E27" i="402"/>
  <c r="F33" i="350"/>
  <c r="D31" i="350"/>
  <c r="F71" i="351"/>
  <c r="E70" i="351"/>
  <c r="L18" i="402"/>
  <c r="N18" i="402" s="1"/>
  <c r="F48" i="351"/>
  <c r="F28" i="351"/>
  <c r="E27" i="351"/>
  <c r="Q42" i="402"/>
  <c r="N42" i="402"/>
  <c r="BH86" i="302" l="1"/>
  <c r="CX86" i="302" s="1"/>
  <c r="DS60" i="302"/>
  <c r="D36" i="402"/>
  <c r="D53" i="402" s="1"/>
  <c r="C31" i="343"/>
  <c r="C34" i="343" s="1"/>
  <c r="C57" i="343"/>
  <c r="C58" i="343" s="1"/>
  <c r="F70" i="351"/>
  <c r="E68" i="351"/>
  <c r="D43" i="350"/>
  <c r="D55" i="350"/>
  <c r="DB95" i="302"/>
  <c r="DU55" i="301"/>
  <c r="DV55" i="301" s="1"/>
  <c r="DU43" i="301"/>
  <c r="DV43" i="301" s="1"/>
  <c r="DV14" i="301"/>
  <c r="C55" i="350"/>
  <c r="F45" i="350"/>
  <c r="E44" i="350"/>
  <c r="F44" i="350" s="1"/>
  <c r="E13" i="351"/>
  <c r="F14" i="351"/>
  <c r="M17" i="402"/>
  <c r="N17" i="402" s="1"/>
  <c r="F27" i="351"/>
  <c r="G27" i="402"/>
  <c r="E33" i="402"/>
  <c r="P33" i="402" s="1"/>
  <c r="D17" i="343"/>
  <c r="D23" i="343" s="1"/>
  <c r="D31" i="343" s="1"/>
  <c r="D34" i="343" s="1"/>
  <c r="F31" i="350"/>
  <c r="C43" i="350"/>
  <c r="F50" i="402"/>
  <c r="Q50" i="402" s="1"/>
  <c r="G45" i="402"/>
  <c r="CY60" i="302"/>
  <c r="DT60" i="302" s="1"/>
  <c r="DV60" i="302" s="1"/>
  <c r="BI86" i="302"/>
  <c r="CY86" i="302" s="1"/>
  <c r="DT86" i="302" s="1"/>
  <c r="DV86" i="302" s="1"/>
  <c r="D87" i="351"/>
  <c r="D95" i="351" s="1"/>
  <c r="D35" i="343"/>
  <c r="D46" i="343" s="1"/>
  <c r="N14" i="402"/>
  <c r="E14" i="343"/>
  <c r="E23" i="343" s="1"/>
  <c r="E31" i="343" s="1"/>
  <c r="E34" i="343" s="1"/>
  <c r="F20" i="350"/>
  <c r="E14" i="350"/>
  <c r="DG95" i="302"/>
  <c r="L24" i="402"/>
  <c r="F53" i="402" l="1"/>
  <c r="DK95" i="302"/>
  <c r="DT95" i="302" s="1"/>
  <c r="DV95" i="302" s="1"/>
  <c r="DJ95" i="302"/>
  <c r="DS95" i="302" s="1"/>
  <c r="DS86" i="302"/>
  <c r="O36" i="402"/>
  <c r="O53" i="402"/>
  <c r="D57" i="343"/>
  <c r="D58" i="343" s="1"/>
  <c r="D53" i="343"/>
  <c r="D56" i="343" s="1"/>
  <c r="E55" i="350"/>
  <c r="F55" i="350" s="1"/>
  <c r="F14" i="350"/>
  <c r="E43" i="350"/>
  <c r="F43" i="350" s="1"/>
  <c r="F13" i="351"/>
  <c r="E35" i="343"/>
  <c r="F68" i="351"/>
  <c r="M28" i="402"/>
  <c r="E39" i="343"/>
  <c r="E61" i="351"/>
  <c r="F61" i="351" s="1"/>
  <c r="L36" i="402"/>
  <c r="L53" i="402" s="1"/>
  <c r="P24" i="402"/>
  <c r="M24" i="402"/>
  <c r="G33" i="402"/>
  <c r="E36" i="402"/>
  <c r="E53" i="402" s="1"/>
  <c r="E46" i="343" l="1"/>
  <c r="E57" i="343" s="1"/>
  <c r="E58" i="343" s="1"/>
  <c r="Q24" i="402"/>
  <c r="N24" i="402"/>
  <c r="N28" i="402"/>
  <c r="M33" i="402"/>
  <c r="G53" i="402"/>
  <c r="G36" i="402"/>
  <c r="P36" i="402"/>
  <c r="E87" i="351"/>
  <c r="E53" i="343" l="1"/>
  <c r="E56" i="343" s="1"/>
  <c r="F87" i="351"/>
  <c r="E95" i="351"/>
  <c r="F95" i="351" s="1"/>
  <c r="Q33" i="402"/>
  <c r="Q55" i="402" s="1"/>
  <c r="Q56" i="402" s="1"/>
  <c r="N33" i="402"/>
  <c r="P53" i="402"/>
  <c r="L55" i="402"/>
  <c r="M36" i="402"/>
  <c r="M53" i="402" s="1"/>
  <c r="Q36" i="402" l="1"/>
  <c r="N36" i="402"/>
  <c r="M55" i="402" l="1"/>
  <c r="Q53" i="402"/>
  <c r="N53" i="402"/>
</calcChain>
</file>

<file path=xl/comments1.xml><?xml version="1.0" encoding="utf-8"?>
<comments xmlns="http://schemas.openxmlformats.org/spreadsheetml/2006/main">
  <authors>
    <author>Balog Lászlóné Zsuzsa</author>
  </authors>
  <commentList>
    <comment ref="D2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beírt szám!!
</t>
        </r>
      </text>
    </comment>
    <comment ref="E2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beírt szám!!
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beírt szám!!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beírt szám!!
</t>
        </r>
      </text>
    </comment>
  </commentList>
</comments>
</file>

<file path=xl/comments2.xml><?xml version="1.0" encoding="utf-8"?>
<comments xmlns="http://schemas.openxmlformats.org/spreadsheetml/2006/main">
  <authors>
    <author>Balog Lászlóné Zsuzsa</author>
  </authors>
  <commentList>
    <comment ref="DI56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KGR-ben 357 fő közfogl-tal együtt
</t>
        </r>
      </text>
    </comment>
  </commentList>
</comments>
</file>

<file path=xl/comments3.xml><?xml version="1.0" encoding="utf-8"?>
<comments xmlns="http://schemas.openxmlformats.org/spreadsheetml/2006/main">
  <authors>
    <author>Balogh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Balogh:</t>
        </r>
        <r>
          <rPr>
            <sz val="8"/>
            <color indexed="81"/>
            <rFont val="Tahoma"/>
            <family val="2"/>
            <charset val="238"/>
          </rPr>
          <t xml:space="preserve">
29 űrlapról intézményenként és PH </t>
        </r>
      </text>
    </comment>
  </commentList>
</comments>
</file>

<file path=xl/sharedStrings.xml><?xml version="1.0" encoding="utf-8"?>
<sst xmlns="http://schemas.openxmlformats.org/spreadsheetml/2006/main" count="2990" uniqueCount="1352">
  <si>
    <t>19. sz. tábla  3. oldal a   /2013. (     )</t>
  </si>
  <si>
    <t>19. sz. tábla  4. oldal a   /2013. (     )</t>
  </si>
  <si>
    <t>19. sz. tábla  5. oldal a   /2013. (     )</t>
  </si>
  <si>
    <t>2012.évi egyszerűsített pénzmaradvány kimutatása</t>
  </si>
  <si>
    <t>Bolyai</t>
  </si>
  <si>
    <r>
      <t xml:space="preserve">Budapest Főváros II. kerületének Önkormányzat önállóan működő </t>
    </r>
    <r>
      <rPr>
        <b/>
        <sz val="12"/>
        <rFont val="Times New Roman CE"/>
        <charset val="238"/>
      </rPr>
      <t>intézményeinek</t>
    </r>
    <r>
      <rPr>
        <b/>
        <sz val="12"/>
        <rFont val="Times New Roman CE"/>
        <family val="1"/>
        <charset val="238"/>
      </rPr>
      <t xml:space="preserve"> </t>
    </r>
  </si>
  <si>
    <t xml:space="preserve">Pénzforgalmi költségvetési bevételek és kiadások különbsége (36-13)
[költségvetési hiány (-), költségvetési többlet (+)]   </t>
  </si>
  <si>
    <t>Budapest Főváros II. kerületének Önkormányzata 2012. évi egyszerűsített  pénzmaradvány kimutatása</t>
  </si>
  <si>
    <t>előirányzat</t>
  </si>
  <si>
    <t>III.</t>
  </si>
  <si>
    <t>Felújítás</t>
  </si>
  <si>
    <t>a.</t>
  </si>
  <si>
    <t>Keretek</t>
  </si>
  <si>
    <t>b.</t>
  </si>
  <si>
    <t xml:space="preserve">Közlekedési kiskorrekció </t>
  </si>
  <si>
    <t xml:space="preserve">Járdaépítés </t>
  </si>
  <si>
    <t xml:space="preserve">Műszaki előkészítés </t>
  </si>
  <si>
    <t xml:space="preserve">Útépítés </t>
  </si>
  <si>
    <t>Közterületi parkolóhelyek kialakítása zöldterület rendezésével</t>
  </si>
  <si>
    <t xml:space="preserve">Polgármesteri Hivatal bútorcsere </t>
  </si>
  <si>
    <t xml:space="preserve">Egyéb gép, berendezés </t>
  </si>
  <si>
    <t>Magyar Máltai Szeretetszolgálat - hajléktalan ellátásra</t>
  </si>
  <si>
    <t>c.</t>
  </si>
  <si>
    <t>Dologi kiadások</t>
  </si>
  <si>
    <t xml:space="preserve">Nyomtató vásárlás </t>
  </si>
  <si>
    <t>Budapesti Szent Ferenc Kórház</t>
  </si>
  <si>
    <t>Testvérvárosi kapcsolatok</t>
  </si>
  <si>
    <t>Feladattal nem terhelt tartalék - Átmeneti időszak</t>
  </si>
  <si>
    <t>Központi karbantartási keret (intézményi hálózathoz)</t>
  </si>
  <si>
    <t>Települési  vízellátás</t>
  </si>
  <si>
    <t xml:space="preserve">Pasaréti Páduai Szent Antal Plébánia </t>
  </si>
  <si>
    <t>Kabinet</t>
  </si>
  <si>
    <t>Nem önkormányzati oktatási intézmények  támogatása</t>
  </si>
  <si>
    <t>Megnevezés</t>
  </si>
  <si>
    <t>Remetekertvárosi Szentlélek Egyházközség</t>
  </si>
  <si>
    <t>Ingatlanértékesítések</t>
  </si>
  <si>
    <t xml:space="preserve">Mindösszesen: ( I. + II. ) </t>
  </si>
  <si>
    <t>Egyszeri adóhátralék</t>
  </si>
  <si>
    <t>eredeti</t>
  </si>
  <si>
    <t>1.5</t>
  </si>
  <si>
    <t>2.1</t>
  </si>
  <si>
    <t>2.2</t>
  </si>
  <si>
    <t>3.1</t>
  </si>
  <si>
    <t>Vásárolt élelmezés</t>
  </si>
  <si>
    <t>ÓVODÁK ÖSSZESEN:</t>
  </si>
  <si>
    <t>E/ Tartalékok</t>
  </si>
  <si>
    <t>Általános tartalék</t>
  </si>
  <si>
    <t xml:space="preserve">Működési  céltartalék </t>
  </si>
  <si>
    <t>Pénzforgalom nélküli kiadások</t>
  </si>
  <si>
    <t>Felhalmozási és tőke jellegű bevételek</t>
  </si>
  <si>
    <t>* Az előző évet érintő és a könyvekben tárgyévben rögzített módosítások</t>
  </si>
  <si>
    <t>** A tárgyévet érintő és könyvekben tárgyévet követő évben rögzített módosítások</t>
  </si>
  <si>
    <t>Járóbeteg ellátás</t>
  </si>
  <si>
    <t>a)</t>
  </si>
  <si>
    <t>b)</t>
  </si>
  <si>
    <t>c)</t>
  </si>
  <si>
    <t>d)</t>
  </si>
  <si>
    <t>önkormányzati rendelethez</t>
  </si>
  <si>
    <t>(ezer forintban)</t>
  </si>
  <si>
    <t>( ± )</t>
  </si>
  <si>
    <t>Egyéb aktiv és passzív pénzügyi elszámolások
összevont záróegyenlege ( ± )</t>
  </si>
  <si>
    <t>Előző év(ek)ben képzett tartalékok maradványa (-)</t>
  </si>
  <si>
    <t>Munkaadókat terh. járulékok, szociális hozzájárulási adó</t>
  </si>
  <si>
    <t xml:space="preserve">Működési költségvetési kiadások </t>
  </si>
  <si>
    <t>Felhalmozási költségvetési kiadások</t>
  </si>
  <si>
    <t>Felhalmozási költségvetési bevételek</t>
  </si>
  <si>
    <t xml:space="preserve">Költségvetési kiadások összesen </t>
  </si>
  <si>
    <t xml:space="preserve">Költségvetési bevételek összesen </t>
  </si>
  <si>
    <t>Finanszírozási kiadások</t>
  </si>
  <si>
    <t>Pénzmaradványt terhelő elvonások ( ± )</t>
  </si>
  <si>
    <t>Hálózat építés</t>
  </si>
  <si>
    <t>Alpolgármester saját kerete</t>
  </si>
  <si>
    <t xml:space="preserve">Működési tartalék </t>
  </si>
  <si>
    <t xml:space="preserve">Fejlesztések </t>
  </si>
  <si>
    <t>Egészségügyi Szolgálat eszközbeszerzése</t>
  </si>
  <si>
    <t>Céltartalék összesen ( a + b )</t>
  </si>
  <si>
    <t>16. sz. melléklet</t>
  </si>
  <si>
    <t>Önkormányzati lakások értékesítése</t>
  </si>
  <si>
    <t xml:space="preserve">  Bérlők részére</t>
  </si>
  <si>
    <t xml:space="preserve">  Bérlő nélküli lakások értékesítése</t>
  </si>
  <si>
    <t>Telekingatlan értékesítése</t>
  </si>
  <si>
    <t>Egyéb vagyoni értékű jog értékesítése</t>
  </si>
  <si>
    <t>Kapcsolattartás a határon túli magyar iskolákkal Keret</t>
  </si>
  <si>
    <t>Bérlő kijelölési jog vételárrész</t>
  </si>
  <si>
    <r>
      <t xml:space="preserve"> </t>
    </r>
    <r>
      <rPr>
        <i/>
        <sz val="10"/>
        <rFont val="Times New Roman CE"/>
        <charset val="238"/>
      </rPr>
      <t>Kiürült önk-i.építmények értékesítése</t>
    </r>
  </si>
  <si>
    <t xml:space="preserve">Ellátottak pénzbeli juttatásai </t>
  </si>
  <si>
    <t xml:space="preserve"> - Egészségbiztosítási Alapból
   folyósított pénzeszköz maradványa</t>
  </si>
  <si>
    <t xml:space="preserve"> - Kötelezettséggel terhelt
   pénzmaradvány</t>
  </si>
  <si>
    <t xml:space="preserve"> - Szabad pénzmaradvány</t>
  </si>
  <si>
    <t>megnevezése</t>
  </si>
  <si>
    <t>Települési vízellátás</t>
  </si>
  <si>
    <t>Egyházi épületek felújítására adott támogatás</t>
  </si>
  <si>
    <t>Nem önkormányzati oktatási intézm.támogatása</t>
  </si>
  <si>
    <t>Lakosságnak</t>
  </si>
  <si>
    <t xml:space="preserve">Állami </t>
  </si>
  <si>
    <t xml:space="preserve"> hozzájárulás</t>
  </si>
  <si>
    <t xml:space="preserve">eltérése a  </t>
  </si>
  <si>
    <t xml:space="preserve">tényleges </t>
  </si>
  <si>
    <t xml:space="preserve">adatokhoz </t>
  </si>
  <si>
    <t xml:space="preserve"> viszonyítva</t>
  </si>
  <si>
    <t xml:space="preserve">A központi </t>
  </si>
  <si>
    <t>költségvetéssel</t>
  </si>
  <si>
    <t>rendezendő</t>
  </si>
  <si>
    <t>pótlólagos</t>
  </si>
  <si>
    <t>támogatási</t>
  </si>
  <si>
    <t>Forintban</t>
  </si>
  <si>
    <t>hozzá-</t>
  </si>
  <si>
    <t>Évközi</t>
  </si>
  <si>
    <t>változások</t>
  </si>
  <si>
    <t>Ténylegesen</t>
  </si>
  <si>
    <t>megillető</t>
  </si>
  <si>
    <t>tervezet</t>
  </si>
  <si>
    <t>támogatás</t>
  </si>
  <si>
    <t>állami</t>
  </si>
  <si>
    <t>mutató-</t>
  </si>
  <si>
    <t>összeg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</si>
  <si>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</si>
  <si>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</si>
  <si>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</si>
  <si>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</si>
  <si>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</si>
  <si>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</si>
  <si>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</si>
  <si>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</si>
  <si>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</si>
  <si>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</si>
  <si>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</si>
  <si>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</si>
  <si>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Kieg.tám.egyes közoktatási feladatok ellátásához</t>
  </si>
  <si>
    <t xml:space="preserve"> adatok között</t>
  </si>
  <si>
    <t xml:space="preserve">korrigált eredeti </t>
  </si>
  <si>
    <t xml:space="preserve">Általános tartalék összesen </t>
  </si>
  <si>
    <t>a</t>
  </si>
  <si>
    <t>Tartalékba helyezett összeg jogcíme</t>
  </si>
  <si>
    <t>I.</t>
  </si>
  <si>
    <t xml:space="preserve">Általános tartalék </t>
  </si>
  <si>
    <t>Felhalmozási céltartalék</t>
  </si>
  <si>
    <t>Ö s s z e s e n :</t>
  </si>
  <si>
    <t>Céltámogatás:</t>
  </si>
  <si>
    <t>Ált. Isk.</t>
  </si>
  <si>
    <t>és Gimn.</t>
  </si>
  <si>
    <t>Sorszám</t>
  </si>
  <si>
    <t>bevételek</t>
  </si>
  <si>
    <t>teljesítés</t>
  </si>
  <si>
    <t>Előirányzat</t>
  </si>
  <si>
    <t>járulás</t>
  </si>
  <si>
    <t>EGYESÍTETT BÖLCSŐDÉK ÖSSZESEN:</t>
  </si>
  <si>
    <t>Felszíni vízelvezetés</t>
  </si>
  <si>
    <t>Szoftver vásárlás</t>
  </si>
  <si>
    <t>Szerver licensz</t>
  </si>
  <si>
    <t>ÉNO</t>
  </si>
  <si>
    <t>HUMÁN SZOLGÁLTATÁS ÖSSZESEN:</t>
  </si>
  <si>
    <t>Testvérkék Ferences Óvoda</t>
  </si>
  <si>
    <t>Eredeti eir.</t>
  </si>
  <si>
    <t>Állategészségügyi</t>
  </si>
  <si>
    <t>Szennyvízelvezetés</t>
  </si>
  <si>
    <t>feladatok</t>
  </si>
  <si>
    <t>tevékenység</t>
  </si>
  <si>
    <t>Eredeti</t>
  </si>
  <si>
    <t>Érvényes</t>
  </si>
  <si>
    <t>Munkaadókat terhelő járulékok</t>
  </si>
  <si>
    <t>Módosított</t>
  </si>
  <si>
    <t>Egészségügyi Szolgálat</t>
  </si>
  <si>
    <t>Bursa Hungarica: felsőoktatásban tanulók ösztöndíja</t>
  </si>
  <si>
    <t>Hivatal</t>
  </si>
  <si>
    <t>Budapest Főváros II.ker.Önkormányzatának  cél- és címzett támogatásainak alakulása 2007. évben</t>
  </si>
  <si>
    <t xml:space="preserve">Szennyvízcsatorna bekötővezeték kiépítése </t>
  </si>
  <si>
    <t>Virág árok Óvoda összesen:</t>
  </si>
  <si>
    <t>7. sz. melléklet 2. oldal</t>
  </si>
  <si>
    <t>7. sz. melléklet 3. oldal</t>
  </si>
  <si>
    <t>7. sz. melléklet 4. oldal</t>
  </si>
  <si>
    <t>7. sz. melléklet 5. oldal</t>
  </si>
  <si>
    <t>A feladatra a</t>
  </si>
  <si>
    <t>központi</t>
  </si>
  <si>
    <t>Többletbevételből származó tartalék</t>
  </si>
  <si>
    <t>Fejlesztések előkészítése</t>
  </si>
  <si>
    <t>L É T S Z Á M :</t>
  </si>
  <si>
    <t>Beruházásokhoz kapcsolódó közműfejlesztés</t>
  </si>
  <si>
    <t>költségvetésből</t>
  </si>
  <si>
    <t>igényelt összeg</t>
  </si>
  <si>
    <t>Az önkormányzat</t>
  </si>
  <si>
    <t>által az adott célra</t>
  </si>
  <si>
    <t>ténylegesen</t>
  </si>
  <si>
    <t>Római Katolikus Plénánia Máriaremete (Bazilika)</t>
  </si>
  <si>
    <t>Úthibák miatti kártalanítások</t>
  </si>
  <si>
    <t>Budapesti Zsidó Hitközség Budai körzete</t>
  </si>
  <si>
    <t>Cimbalom utcai Református Egyházközség</t>
  </si>
  <si>
    <t>Aktív eszközök hálózathoz</t>
  </si>
  <si>
    <t>Szerver vásárlás</t>
  </si>
  <si>
    <t>Szerver bővítése</t>
  </si>
  <si>
    <t>Egyéb gépek, berendezések</t>
  </si>
  <si>
    <t xml:space="preserve">Pályázatokkal kapcsolatos feladatok </t>
  </si>
  <si>
    <t>Társasházak felújítása</t>
  </si>
  <si>
    <t>fő</t>
  </si>
  <si>
    <t>Társasházak felújítása - önkormányzati tulajdon után</t>
  </si>
  <si>
    <t>PH-hoz rendelt intézmények felújítási kerete</t>
  </si>
  <si>
    <t>Teljesítés</t>
  </si>
  <si>
    <t>%-a</t>
  </si>
  <si>
    <t>% - a</t>
  </si>
  <si>
    <t>Telj.</t>
  </si>
  <si>
    <t>4. sz. tábla 6. oldal</t>
  </si>
  <si>
    <t>e</t>
  </si>
  <si>
    <t>h</t>
  </si>
  <si>
    <t>i</t>
  </si>
  <si>
    <t>j</t>
  </si>
  <si>
    <t>k</t>
  </si>
  <si>
    <t>Előző évi</t>
  </si>
  <si>
    <t>Sor-</t>
  </si>
  <si>
    <t>szám</t>
  </si>
  <si>
    <t>f</t>
  </si>
  <si>
    <t>g</t>
  </si>
  <si>
    <t>Címzett támogatás:</t>
  </si>
  <si>
    <t>4. sz. melléklet 1. oldal</t>
  </si>
  <si>
    <t>Címzett támogatás összesen:</t>
  </si>
  <si>
    <t>Szennyvíz csatorna hálózat</t>
  </si>
  <si>
    <t>6-7. vízgyűjtő csatorna</t>
  </si>
  <si>
    <t>Budai Görögkatolikus Egyházközség</t>
  </si>
  <si>
    <t>Egyéb vállalkozásnak</t>
  </si>
  <si>
    <t>Egészségügyi Szolgálat összesen:</t>
  </si>
  <si>
    <t>Működési célú támogatásértékű kiadások, egyéb támogatások</t>
  </si>
  <si>
    <t>ÁHT-n kívülre végleges működési pénzeszközátadások</t>
  </si>
  <si>
    <t>Ellátottak pénzbeli juttatásai</t>
  </si>
  <si>
    <t>Felhalmozási célú támogatásértékű kiadások, egyéb támogatások</t>
  </si>
  <si>
    <t>Költségvetési</t>
  </si>
  <si>
    <t>Működési</t>
  </si>
  <si>
    <t>Felhalmozási</t>
  </si>
  <si>
    <t>Személyi</t>
  </si>
  <si>
    <t>terhelő</t>
  </si>
  <si>
    <t>Dologi</t>
  </si>
  <si>
    <t>célú</t>
  </si>
  <si>
    <t>felhalmozási</t>
  </si>
  <si>
    <t>juttatások</t>
  </si>
  <si>
    <t>pénzeszköz</t>
  </si>
  <si>
    <t>pénzbeli</t>
  </si>
  <si>
    <t>Közfog-</t>
  </si>
  <si>
    <t>szocilis</t>
  </si>
  <si>
    <t>juttatásai</t>
  </si>
  <si>
    <t>lalkoztatottak</t>
  </si>
  <si>
    <t>hozzájárulási</t>
  </si>
  <si>
    <t>adó</t>
  </si>
  <si>
    <t xml:space="preserve">Egyesített Bölcsődék </t>
  </si>
  <si>
    <t xml:space="preserve">Felhalmozási </t>
  </si>
  <si>
    <t>Felhalmozási kiadások (felújítások nélkül)</t>
  </si>
  <si>
    <t>Pénzügyi lizing tőketörlesztés miatti kiadások</t>
  </si>
  <si>
    <t>Pénzforgalmi kiadások (13+20)</t>
  </si>
  <si>
    <t>Finanszírozási kiadások összesen: (14+ 15+ 17+18+19)</t>
  </si>
  <si>
    <t>Kiadások összesen (21+22+23)</t>
  </si>
  <si>
    <t>Költségvetési pénzforgalmi bevételek összesen:
(25+... +28+30+31+32+34+35)</t>
  </si>
  <si>
    <t>Bevételek összesen (43+…+45)</t>
  </si>
  <si>
    <t>Finanszírozási műveletek eredménye (42-20)</t>
  </si>
  <si>
    <t>Aktív és passzív pénzügyi műveletek egyenlege (45-23)</t>
  </si>
  <si>
    <t>Működési bevételek</t>
  </si>
  <si>
    <t xml:space="preserve">Igénybe vett tartalékokkal korrigált költségvetési bevételek és kiadások különbsége (47+44-22)
[korrigált költségvetési hiány (-), korrigált költségvetési többlet (+)]  </t>
  </si>
  <si>
    <t>Parkoltatás</t>
  </si>
  <si>
    <t>Egyéb jogi tevékenység</t>
  </si>
  <si>
    <t>Önkormányzat</t>
  </si>
  <si>
    <t>feladatai összesen</t>
  </si>
  <si>
    <t>II. Kerületi Kulturális Közhasznú Nonprofit Kft. műk.tám.</t>
  </si>
  <si>
    <t xml:space="preserve">Kiegészítő gyermekvédelmi támogatás és pótlék </t>
  </si>
  <si>
    <t>Közvilágítás fejlesztése</t>
  </si>
  <si>
    <t>ÁHT-n kívülre végleges felhalmozási pénzeszközátadások</t>
  </si>
  <si>
    <t>Hosszú lejáratú kölcsönök nyújtása</t>
  </si>
  <si>
    <t>Rövid lejáratú kölcsönök nyújtása</t>
  </si>
  <si>
    <t>Költségvetési pénzforgalmi kiadások összesen: (01+…+12)</t>
  </si>
  <si>
    <t>Tartós hitelviszonyt megtestesítő értékpapírok kiadásai</t>
  </si>
  <si>
    <t>Forgatási célú hitelviszonyt megtestesítő értékpapírok kiadásai</t>
  </si>
  <si>
    <t xml:space="preserve">Kiegyenlítő, függő, átfutó kiadások </t>
  </si>
  <si>
    <t>Működési célú támogatásértékű bevételek, egyéb támogatások</t>
  </si>
  <si>
    <t>ÁHT-n kívülről végleges működési pénzeszközátvételek</t>
  </si>
  <si>
    <t>Felhalmozási célú támogatásértékű bevételek, egyéb támogatások</t>
  </si>
  <si>
    <t>ÁHT-n kívülről végleges felhalmozási pénzeszközátvételek</t>
  </si>
  <si>
    <t>Támogatások, kiegészítések</t>
  </si>
  <si>
    <t>32-ből Önkormányzatok költségvetési támogatása</t>
  </si>
  <si>
    <t>Hosszú lejáratú kölcsönök visszatérülése</t>
  </si>
  <si>
    <t>Rövid lejáratú kölcsönök visszatérülése</t>
  </si>
  <si>
    <t>Hosszú lejáratú hitelek felvétele</t>
  </si>
  <si>
    <t>Rövid lejáratú hitelek felvétele</t>
  </si>
  <si>
    <t>11. sz. melléklet</t>
  </si>
  <si>
    <t>Tartós hitelviszonyt megtestesítő értékpapírok bevételei</t>
  </si>
  <si>
    <t>Forgatási célú hitelviszonyt megtestesítő értékpapírok bevételei</t>
  </si>
  <si>
    <t>Kiegyenlítő, függő, átfutó bevételek</t>
  </si>
  <si>
    <t xml:space="preserve">      </t>
  </si>
  <si>
    <t xml:space="preserve">dec.31-ig </t>
  </si>
  <si>
    <t>felhasznált</t>
  </si>
  <si>
    <t>feladattal</t>
  </si>
  <si>
    <t>terhelt, de fel</t>
  </si>
  <si>
    <t>nem használt</t>
  </si>
  <si>
    <t>Forgatási célú pénzügyi műveletek egyenlege</t>
  </si>
  <si>
    <t>Vállalkozási tevékenység pénzforgalmi vállalkozási
maradványa (-)</t>
  </si>
  <si>
    <t>Tárgyévi helyesbített pénzmaradvány (1+ 2 ± 3 - 4 - 5)</t>
  </si>
  <si>
    <t>Finanszírozásból származó korrekciók ( + )</t>
  </si>
  <si>
    <t>Költségvetési pénzmaradvány (6 ± 7 ± 8)</t>
  </si>
  <si>
    <t>A vállalkozási maradványból az alaptevékenység
ellátására felhasznált összeg</t>
  </si>
  <si>
    <t>Módosított pénzmaradvány (3 ± 10 ± 11)</t>
  </si>
  <si>
    <t xml:space="preserve">A 12. sorból </t>
  </si>
  <si>
    <t>14.</t>
  </si>
  <si>
    <t>- Kötelezettségvállalással terhelt pénzmaradvány</t>
  </si>
  <si>
    <t>15.</t>
  </si>
  <si>
    <t>Az állami hozzájárulás jogcíme</t>
  </si>
  <si>
    <t>(az éves költségvetési törvény szerint)</t>
  </si>
  <si>
    <t>törvényben megállapított,</t>
  </si>
  <si>
    <t xml:space="preserve">Az éves költségvetési </t>
  </si>
  <si>
    <t>Eltérés a költségvetési</t>
  </si>
  <si>
    <t>visszafizetés (-),</t>
  </si>
  <si>
    <t>igény (+)</t>
  </si>
  <si>
    <t>törvény és a tényleges</t>
  </si>
  <si>
    <t>II.</t>
  </si>
  <si>
    <t>22.sz tábla a     /2008. (        )</t>
  </si>
  <si>
    <t>Képviselő-testülethez rendelt tartalék</t>
  </si>
  <si>
    <t>Támogatás mindösszesen</t>
  </si>
  <si>
    <t>Beruházás</t>
  </si>
  <si>
    <t>Előző időszak</t>
  </si>
  <si>
    <t>Tárgyévi</t>
  </si>
  <si>
    <t>tervezett összes költsége</t>
  </si>
  <si>
    <t>ebből a támog.össz.</t>
  </si>
  <si>
    <t>beruházás összes ráford.</t>
  </si>
  <si>
    <t>beruházás tervezett ráfordítása</t>
  </si>
  <si>
    <t>beruházás tényleges ráfordítása</t>
  </si>
  <si>
    <t>igénybe vett támogatás</t>
  </si>
  <si>
    <t>módosított</t>
  </si>
  <si>
    <t>időarányos előirányzat</t>
  </si>
  <si>
    <t>igénybe vett összeg</t>
  </si>
  <si>
    <t>áthúzódó</t>
  </si>
  <si>
    <t>tárgyévi</t>
  </si>
  <si>
    <t>összes</t>
  </si>
  <si>
    <t>előirányzata</t>
  </si>
  <si>
    <t>Sarepta Budai Evangélikus Szeretetotthon</t>
  </si>
  <si>
    <t>1.</t>
  </si>
  <si>
    <t>Személyi juttatások</t>
  </si>
  <si>
    <t>Tartalékok mindösszesen ( I+II)</t>
  </si>
  <si>
    <t>Non-profit szervezeteknek</t>
  </si>
  <si>
    <t>Társadalmi szervezetek támogatása</t>
  </si>
  <si>
    <t>Nyugdíjas klubok támogatása</t>
  </si>
  <si>
    <t>érvényes</t>
  </si>
  <si>
    <t>Feladattal nem terhelt tartalék</t>
  </si>
  <si>
    <t>Jogcím</t>
  </si>
  <si>
    <t>Befektetett eszközök összesen</t>
  </si>
  <si>
    <t>B/ Forgóeszközök</t>
  </si>
  <si>
    <t>Tartalékok összesen</t>
  </si>
  <si>
    <t>F/ Kötelezettségek</t>
  </si>
  <si>
    <t>Előző</t>
  </si>
  <si>
    <t>Tárgy</t>
  </si>
  <si>
    <t>évi</t>
  </si>
  <si>
    <t>E S Z K Ö Z Ö K</t>
  </si>
  <si>
    <t>auditált</t>
  </si>
  <si>
    <t>F O R R Á S O K</t>
  </si>
  <si>
    <t>költség-</t>
  </si>
  <si>
    <t>Auditá-</t>
  </si>
  <si>
    <t>egysze-</t>
  </si>
  <si>
    <t>vetési</t>
  </si>
  <si>
    <t>lási</t>
  </si>
  <si>
    <t>rűsített</t>
  </si>
  <si>
    <t>beszá-</t>
  </si>
  <si>
    <t>eltéré-</t>
  </si>
  <si>
    <t>moló</t>
  </si>
  <si>
    <t>sek*</t>
  </si>
  <si>
    <t>sek**</t>
  </si>
  <si>
    <t>záró</t>
  </si>
  <si>
    <t>(+,-)</t>
  </si>
  <si>
    <t>adatai</t>
  </si>
  <si>
    <t>D/Saját tőke</t>
  </si>
  <si>
    <t>Saját tőke összesen</t>
  </si>
  <si>
    <t>Egyéb non-profit szervezetek:</t>
  </si>
  <si>
    <t xml:space="preserve">Céltartalékok </t>
  </si>
  <si>
    <t>Magánszemélyek kommunális adója</t>
  </si>
  <si>
    <t>Havaria keret</t>
  </si>
  <si>
    <t>Polgármesteri Hivatal</t>
  </si>
  <si>
    <t xml:space="preserve"> Kiadás</t>
  </si>
  <si>
    <t>b</t>
  </si>
  <si>
    <t>Ssz.</t>
  </si>
  <si>
    <t>Előző év</t>
  </si>
  <si>
    <t>költségve-</t>
  </si>
  <si>
    <t>Auditálá-</t>
  </si>
  <si>
    <t>tési beszá-</t>
  </si>
  <si>
    <t>si eltéré</t>
  </si>
  <si>
    <t>egyszerűsí-</t>
  </si>
  <si>
    <t>moló záró</t>
  </si>
  <si>
    <t>tett beszá-</t>
  </si>
  <si>
    <t>e)</t>
  </si>
  <si>
    <t>Vállalkozásoknak</t>
  </si>
  <si>
    <t>IV.</t>
  </si>
  <si>
    <t>V.</t>
  </si>
  <si>
    <t>Budenz</t>
  </si>
  <si>
    <t>Rákóczi</t>
  </si>
  <si>
    <t>Móricz</t>
  </si>
  <si>
    <t>Intézmények</t>
  </si>
  <si>
    <t>Kerület</t>
  </si>
  <si>
    <t>Gimnázium</t>
  </si>
  <si>
    <t>Szolgálat</t>
  </si>
  <si>
    <t>( ezer forintban )</t>
  </si>
  <si>
    <t xml:space="preserve">Kiadási előirányzat-csoport </t>
  </si>
  <si>
    <t xml:space="preserve">Bevételi előirányzat-csoport </t>
  </si>
  <si>
    <t>Működési forráshiány/többlet</t>
  </si>
  <si>
    <t>Hosszú lejáratú hitel felvétele</t>
  </si>
  <si>
    <t>Beruházások</t>
  </si>
  <si>
    <t>Felújítások</t>
  </si>
  <si>
    <t>teljesítése</t>
  </si>
  <si>
    <t>Bolyai Utcai Óvoda</t>
  </si>
  <si>
    <t>Budakeszi Úti Óvoda</t>
  </si>
  <si>
    <t>Hűvösvölgyi Gesztenyéskert Óvoda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</si>
  <si>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</si>
  <si>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</si>
  <si>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</si>
  <si>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</si>
  <si>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</si>
  <si>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</si>
  <si>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</si>
  <si>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államháztartáson</t>
  </si>
  <si>
    <t xml:space="preserve">működési </t>
  </si>
  <si>
    <t>belülről</t>
  </si>
  <si>
    <t>Egyéb célljelegű kiadások</t>
  </si>
  <si>
    <t>Víz és csatorna díj</t>
  </si>
  <si>
    <t>Szemét szállítás és szelektív hulladék gyűjtés</t>
  </si>
  <si>
    <t xml:space="preserve">Rezsi költségek összesen </t>
  </si>
  <si>
    <t>Takarítás, porta szolgálat</t>
  </si>
  <si>
    <t>Munkaruha, védőruha</t>
  </si>
  <si>
    <t>Virág árok Óvoda</t>
  </si>
  <si>
    <t>MINDÖSSZESEN:</t>
  </si>
  <si>
    <t>Budagyöngye Bölcsőde összesen:</t>
  </si>
  <si>
    <t>Hidegkúti Bölcsőde összesen:</t>
  </si>
  <si>
    <t>Pasaréti Úti Bölcsőde összesen:</t>
  </si>
  <si>
    <t>Varsányi Úti Bölcsőde összesen:</t>
  </si>
  <si>
    <t>Mobil Bölcsőde összesen:</t>
  </si>
  <si>
    <t>Bölcsődék  összesen (a+…+f) :</t>
  </si>
  <si>
    <t>Bólyai Utcai Óvoda összesen:</t>
  </si>
  <si>
    <t>Budakeszi Úti Óvoda összesen:</t>
  </si>
  <si>
    <t>Hűvösvölgyi Gesztenyéskert Óvoda összesen:</t>
  </si>
  <si>
    <t>Kolozsvár Utcai Óvoda összesen:</t>
  </si>
  <si>
    <t>Községház Utcai Óvoda összesen:</t>
  </si>
  <si>
    <t>Pitypang Utcai Óvoda összesen:</t>
  </si>
  <si>
    <t>Százszorszép Óvoda összesen:</t>
  </si>
  <si>
    <t>Szemlőhegy Utcai Óvoda összesen:</t>
  </si>
  <si>
    <t>Törökvész Úti Óvoda összesen:</t>
  </si>
  <si>
    <t>III. sz. Gondozási Központ összesen:</t>
  </si>
  <si>
    <t>II. KERÜLET MINDÖSSZESEN:</t>
  </si>
  <si>
    <t>Bútor, kötelező eszköz, gép, berendezés, informatikai eszköz beszerzés</t>
  </si>
  <si>
    <t>Központi költségvetési szervnek</t>
  </si>
  <si>
    <t>Önkormányzatoknak és költségvetési szerveinek</t>
  </si>
  <si>
    <t>Pesthidegkúti VÖK területén lévő szervezetek</t>
  </si>
  <si>
    <t>Civitan Help Club működési támogatása</t>
  </si>
  <si>
    <t>Magyarok Nagyasszonya Ferences Rendtartomány</t>
  </si>
  <si>
    <t>Központi költségvetési szervtől</t>
  </si>
  <si>
    <t>4. sz. melléklet 4. oldal</t>
  </si>
  <si>
    <t>28-ból Önkormányzatok sajátos felhalmozási és tőkebevételei</t>
  </si>
  <si>
    <t>20. sz. tábla a     /2010. (        )</t>
  </si>
  <si>
    <t>Belterületi utak szilárd burkolattal való ellátása</t>
  </si>
  <si>
    <t>Lehívás vagy</t>
  </si>
  <si>
    <t>tényleges</t>
  </si>
  <si>
    <t xml:space="preserve">Kötelező feladatok </t>
  </si>
  <si>
    <t>Helyi közutak, közterek és parkok</t>
  </si>
  <si>
    <t>Településrendezés, településfejlesztés</t>
  </si>
  <si>
    <t>Turizmussal kapcsolatos feladatok</t>
  </si>
  <si>
    <t>Szociális, gyermekjóléti szolg.és ell.</t>
  </si>
  <si>
    <t>Helyi közművelődési tevékenység</t>
  </si>
  <si>
    <t>Saját tul.lakás- és helyiséggazdálkodás összesen:</t>
  </si>
  <si>
    <t>Helyi adóval kapcsolatos feladatok</t>
  </si>
  <si>
    <t>Oktatási intézmények működtetése, fejlesztése összesen:</t>
  </si>
  <si>
    <t>Egyéb, jogszab.alapján kötelező feladat</t>
  </si>
  <si>
    <t>Önk-i egyéb vagyonnal való gazdálkodás</t>
  </si>
  <si>
    <t>Kötelező feladatok összesen ( A ):</t>
  </si>
  <si>
    <t xml:space="preserve">Önként vállalt feladatok </t>
  </si>
  <si>
    <t>Állateü.tevékenység</t>
  </si>
  <si>
    <t>Hulladékgazdálkodás és környezetvédelem</t>
  </si>
  <si>
    <t>Média tevékenység (újság, honlap)</t>
  </si>
  <si>
    <t>Szennyvízelvezetés és -kezelés</t>
  </si>
  <si>
    <t>Önk-i egyéb önként vállalt feladatok</t>
  </si>
  <si>
    <t>Járóbeteg ellátás (ROTA vírus)</t>
  </si>
  <si>
    <t>Önként vállalt feladatok összesen ( B ):</t>
  </si>
  <si>
    <t xml:space="preserve">Önkormányzati feladatok összesen </t>
  </si>
  <si>
    <t xml:space="preserve">Polgármesteri Hivatal </t>
  </si>
  <si>
    <t>Önk.össz.</t>
  </si>
  <si>
    <t>14. sz. melléklet</t>
  </si>
  <si>
    <t>n</t>
  </si>
  <si>
    <t>o</t>
  </si>
  <si>
    <t>p</t>
  </si>
  <si>
    <t>q</t>
  </si>
  <si>
    <t>r</t>
  </si>
  <si>
    <t>s</t>
  </si>
  <si>
    <t>t</t>
  </si>
  <si>
    <t>u</t>
  </si>
  <si>
    <t>v</t>
  </si>
  <si>
    <t>Helyi közutak, közterek és parkok összesen:</t>
  </si>
  <si>
    <t>Parkoltatás összesen:</t>
  </si>
  <si>
    <t>Mobil kamerás rendszer beszerzése Városrendészet részére</t>
  </si>
  <si>
    <t>Közterület-felügyelet összesen:</t>
  </si>
  <si>
    <t>Egészségügyi alapellátás összesen:</t>
  </si>
  <si>
    <t>Völgy u. 1-3. Óvoda beruházása</t>
  </si>
  <si>
    <t>Óvodai ellátás összesen:</t>
  </si>
  <si>
    <t>Törökvész út 18. - bölcsődei kapacitásbővítés III. ütem</t>
  </si>
  <si>
    <t>Varsányi I. u. 32. - bölcsődei kapacitásbővítés / terv</t>
  </si>
  <si>
    <t>Szociális, gyermekjóléti szolg.és ellátás összesen:</t>
  </si>
  <si>
    <t>Ügyfélszolgálati Központ beruházása / kommunikációs akadálymentesítés</t>
  </si>
  <si>
    <t>Egyéb, jogszab.alapján kötelező feladat összesen:</t>
  </si>
  <si>
    <t>Önk-i egyéb vagyonnal való gazdálkodás összesen:</t>
  </si>
  <si>
    <t>Közvilágítás összesen:</t>
  </si>
  <si>
    <t>Települési vízellátás összesen:</t>
  </si>
  <si>
    <t>Önkormányzati egyéb önként vállalt feladatok összesen:</t>
  </si>
  <si>
    <t>Önkormányzati feladatok összesen ( A + B )</t>
  </si>
  <si>
    <t>Szünetmentes tápegység vásárlás</t>
  </si>
  <si>
    <t xml:space="preserve">II. </t>
  </si>
  <si>
    <t>4.tábla feladatok összesenhez</t>
  </si>
  <si>
    <t>15. sz. melléklet</t>
  </si>
  <si>
    <t>Pályázati önrész</t>
  </si>
  <si>
    <t>felhasználás</t>
  </si>
  <si>
    <t>XII. 31-ig</t>
  </si>
  <si>
    <t>Feladattal terhelt,</t>
  </si>
  <si>
    <t>de fel nem</t>
  </si>
  <si>
    <t xml:space="preserve"> használt összeg</t>
  </si>
  <si>
    <t>Visszafizetendő</t>
  </si>
  <si>
    <t>sek</t>
  </si>
  <si>
    <t>Helyi nemzetiségi önkormányzatok támogatása</t>
  </si>
  <si>
    <t>eltérések</t>
  </si>
  <si>
    <t>érv.</t>
  </si>
  <si>
    <t>telj.</t>
  </si>
  <si>
    <t>Közterületek szépítése lakossági pályázat</t>
  </si>
  <si>
    <t>tevezett kölcsön nyújtások és visszatérülésük</t>
  </si>
  <si>
    <t xml:space="preserve"> Működési célú kölcsönök:</t>
  </si>
  <si>
    <t xml:space="preserve"> Felhalmozási célú kölcsönök:</t>
  </si>
  <si>
    <t>Kölcsönök nyújtása összesen:</t>
  </si>
  <si>
    <t>Működési célú kölcsönök visszatérülése:</t>
  </si>
  <si>
    <t>Felhalmozási célú kölcsönök visszatérülése:</t>
  </si>
  <si>
    <t>Elsõ lakáshoz jutók kölcsöne</t>
  </si>
  <si>
    <t>Kölcsönök visszatérülése összesen:</t>
  </si>
  <si>
    <t>13. sz. melléklet</t>
  </si>
  <si>
    <t>Kötelező feladatok</t>
  </si>
  <si>
    <t xml:space="preserve">Hulladékgazdálkodás és </t>
  </si>
  <si>
    <t>környezetvédelem</t>
  </si>
  <si>
    <t>Média tevékenység</t>
  </si>
  <si>
    <t>(újság, honlap)</t>
  </si>
  <si>
    <t xml:space="preserve">Közvilágítás </t>
  </si>
  <si>
    <t>és -kezelés</t>
  </si>
  <si>
    <t>Önk-i egyéb önként vállalt</t>
  </si>
  <si>
    <t>(ROTA vírus)</t>
  </si>
  <si>
    <t>Támogatások, ösztöndíjak</t>
  </si>
  <si>
    <t>Önként vállalt feladatok</t>
  </si>
  <si>
    <t>Szociális, gyermekjóléti</t>
  </si>
  <si>
    <t>szolg.és ell.</t>
  </si>
  <si>
    <t>Helyi közművelődési</t>
  </si>
  <si>
    <t>Polg.Hiv.</t>
  </si>
  <si>
    <t>államigazgatási feladatai</t>
  </si>
  <si>
    <t>Hivatali egyéb kötelező feladatok</t>
  </si>
  <si>
    <t>Közfoglalkoztatottak létszáma:</t>
  </si>
  <si>
    <t xml:space="preserve">Budapest Főváros II. kerületének Önkormányzata 2013. évi egyszerűsített pénzforgalmi jelentése         </t>
  </si>
  <si>
    <t>Egyéb működési célú kiadások</t>
  </si>
  <si>
    <t>Egyéb felhalmozási célú kiadások</t>
  </si>
  <si>
    <t>Közhatalmi bevételek</t>
  </si>
  <si>
    <t>( I.+II.)</t>
  </si>
  <si>
    <t>Finanszírozási célú pénzügyi műveletek kiadásai</t>
  </si>
  <si>
    <t>Finanszírozási célú pénzügyi műveletek bevételei</t>
  </si>
  <si>
    <t>Kvi egyenleg</t>
  </si>
  <si>
    <t>Mindösszesen</t>
  </si>
  <si>
    <t>Önkormányzati feladatok</t>
  </si>
  <si>
    <t>Játszóeszközök kihelyezése</t>
  </si>
  <si>
    <t>Forgalomtechnikai eszközök láthatóságának fejlesztése</t>
  </si>
  <si>
    <t>Közlekedési csomópontok áteresztőképességének növelése</t>
  </si>
  <si>
    <t>Korlátozott várakozási övezet forgalomtechnikai beavatkozások</t>
  </si>
  <si>
    <t>Önkormányzatoktól és költségvetési szerveitől</t>
  </si>
  <si>
    <t>Bursa Hungarica visszautalása (nem folyósított ösztöndíjak)</t>
  </si>
  <si>
    <t xml:space="preserve">Önk.helyi lakásépítési kölcsön </t>
  </si>
  <si>
    <t xml:space="preserve">IV. Üzemeltetésre, kezelésre átadott, koncesszióba, </t>
  </si>
  <si>
    <t xml:space="preserve">     vagyonkezelésbe vett eszközök</t>
  </si>
  <si>
    <t xml:space="preserve">     vagyonkezelésbe adott, illetve </t>
  </si>
  <si>
    <t>eredeti bevételi</t>
  </si>
  <si>
    <t>érvényes bevételi</t>
  </si>
  <si>
    <t>Felhalmozási célú pénzeszközátvételek:</t>
  </si>
  <si>
    <t>Helyi támogatás visszafizetése</t>
  </si>
  <si>
    <t>Tagi kölcsön visszatérülése</t>
  </si>
  <si>
    <t xml:space="preserve">Önkorm.tul.bérbeadandó lakások felújítása </t>
  </si>
  <si>
    <t xml:space="preserve">BUDÉP KFT.  Címjegyzékes felúj. munkák bonyolítási díja </t>
  </si>
  <si>
    <t xml:space="preserve">BUDÉP KFT.  Társasház felújítás </t>
  </si>
  <si>
    <t xml:space="preserve">BUDÉP KFT.  Társasház felújítás bonyolítási díj </t>
  </si>
  <si>
    <t xml:space="preserve"> </t>
  </si>
  <si>
    <t>összesen</t>
  </si>
  <si>
    <r>
      <t xml:space="preserve">Budapest Főváros II. kerületének Önkormányzat </t>
    </r>
    <r>
      <rPr>
        <b/>
        <u/>
        <sz val="12"/>
        <rFont val="Times New Roman CE"/>
        <charset val="238"/>
      </rPr>
      <t>Intézményeinek</t>
    </r>
    <r>
      <rPr>
        <b/>
        <sz val="12"/>
        <rFont val="Times New Roman CE"/>
        <family val="1"/>
        <charset val="238"/>
      </rPr>
      <t xml:space="preserve"> 2012.évi egyszerűsített pénzmaradvány kimutatása</t>
    </r>
  </si>
  <si>
    <t>Önkor-</t>
  </si>
  <si>
    <t>mányzat</t>
  </si>
  <si>
    <t>Polgár-</t>
  </si>
  <si>
    <t>mesteri</t>
  </si>
  <si>
    <t>ügyi</t>
  </si>
  <si>
    <t>Egészség-</t>
  </si>
  <si>
    <t>19. sz. tábla 2. oldal a   /2013. (     )</t>
  </si>
  <si>
    <t>Pénzforgalom nélküli bevételek</t>
  </si>
  <si>
    <t>2. sz. melléklet</t>
  </si>
  <si>
    <t>1. sz. melléklet</t>
  </si>
  <si>
    <t>20. sz. tábla a     /2013. (        )</t>
  </si>
  <si>
    <t>7. sz. tábla 2. oldal</t>
  </si>
  <si>
    <t>7. sz. tábla 3. oldal</t>
  </si>
  <si>
    <t>7. sz. tábla 5. oldal</t>
  </si>
  <si>
    <t>VI.</t>
  </si>
  <si>
    <t xml:space="preserve">Kiadások összesen </t>
  </si>
  <si>
    <t xml:space="preserve">Bevételek összesen </t>
  </si>
  <si>
    <t xml:space="preserve"> Kiadás jogcíme</t>
  </si>
  <si>
    <t>1.1</t>
  </si>
  <si>
    <t>1.2</t>
  </si>
  <si>
    <t>1.3</t>
  </si>
  <si>
    <t>1.4</t>
  </si>
  <si>
    <t>Költségvetési pénzmaradványt külön jogszabály
alapján módosító tétel ( ± )</t>
  </si>
  <si>
    <t>- az Egészségbiztosítási Alapból folyósított pénzmaradványa</t>
  </si>
  <si>
    <t>- Szabad pénzmaradvány</t>
  </si>
  <si>
    <t>Klebelsberg</t>
  </si>
  <si>
    <t>Kuno</t>
  </si>
  <si>
    <t>Költségvetési bank-
számlák záróegyenlegei</t>
  </si>
  <si>
    <t>Pénztárak és betétköny-
vek záróegyenlegei</t>
  </si>
  <si>
    <t>Záró pénzkészlet  ( 1 + 2 )</t>
  </si>
  <si>
    <t>Költségvetési aktív kiegyenlítő
elszámolások záróegyenlege</t>
  </si>
  <si>
    <t>Költségvetési passzív kiegyenlítő
elszámolások záróegyenlegei (-)</t>
  </si>
  <si>
    <t>Költségvetési aktív átfutó
elszámolások záróegyenlege</t>
  </si>
  <si>
    <t>Rezsi költségek</t>
  </si>
  <si>
    <t>Villamos energia díj</t>
  </si>
  <si>
    <t xml:space="preserve">I. Gondozási Központ </t>
  </si>
  <si>
    <t xml:space="preserve">II. Gondozási Központ </t>
  </si>
  <si>
    <t xml:space="preserve">III. Gondozási Központ </t>
  </si>
  <si>
    <t>Szolgálati garázsok vételár része</t>
  </si>
  <si>
    <t>Költségvetési passzív átfutó
elszámolások záróegyenlege (-)</t>
  </si>
  <si>
    <t>Költségvetési aktív függő
elszámolások záróegyenlege</t>
  </si>
  <si>
    <t>Költségvetési passzív függő
elszámolások záróegyenlege (-)</t>
  </si>
  <si>
    <t>Egyéb aktív és passzív pénzügyi
elszámolások össz.( 4-5+6-7+8-9)</t>
  </si>
  <si>
    <t>Előző évben (években) képzett
tartalékok maradványa (-)</t>
  </si>
  <si>
    <t>Vállalkozási tevékenység
pénzforgalmi eredménye (-)</t>
  </si>
  <si>
    <t>Tárgyévi helyesbített
pénzmaradvány (3 ± 10-11-12)</t>
  </si>
  <si>
    <t>Intézményi költségvetési befizetés
többlettámogatás miatt</t>
  </si>
  <si>
    <t>Költségvetési befizetés
többlettámogatás miatt</t>
  </si>
  <si>
    <t>Költségvetési kiutalás - (int.fin)
kiutalatlan intézményi támogatás miatt</t>
  </si>
  <si>
    <t>Költségvetési kiutalás - (közp.tám.)
kiutalatlan támogatás miatt</t>
  </si>
  <si>
    <t>Pénzmaradványt terhelő elvonások</t>
  </si>
  <si>
    <t>Költségvetési pénzmaradvány
(13 ± 14 ± 15 ± 16 ± 17 ± 18)</t>
  </si>
  <si>
    <t>A vállalk.tev.eredményéből alaptev.
ellátására felhasznált összeg</t>
  </si>
  <si>
    <t>Költségvetési pénzm-t külön jogszab.
alapján módosító tétel  ( ± )</t>
  </si>
  <si>
    <t>Módosított pénzmaradvány
(19+20 ± 21)</t>
  </si>
  <si>
    <t>A 19. sorból:</t>
  </si>
  <si>
    <t xml:space="preserve"> Személyi juttatások </t>
  </si>
  <si>
    <t xml:space="preserve"> Munkaadókat terhelő járulékok </t>
  </si>
  <si>
    <t xml:space="preserve"> Dologi  kiadások összesen </t>
  </si>
  <si>
    <t>Társadalombiztosítási alapoktól és kezelőitől</t>
  </si>
  <si>
    <t>Előző évi fel nem használt pályázati tám. visszafiz. non-profit szervektől</t>
  </si>
  <si>
    <t>Munkaadókat</t>
  </si>
  <si>
    <t>Egyéb</t>
  </si>
  <si>
    <t>Ellátottak</t>
  </si>
  <si>
    <t>kiadások</t>
  </si>
  <si>
    <t>4. sz. melléklet 2. oldal</t>
  </si>
  <si>
    <t>4. sz. tábla 2. oldal</t>
  </si>
  <si>
    <t>4. sz. melléklet 3. oldal</t>
  </si>
  <si>
    <t>4. sz. tábla 3. oldal</t>
  </si>
  <si>
    <t>4. sz. tábla 5. oldal</t>
  </si>
  <si>
    <t>4. sz. melléklet 6. oldal</t>
  </si>
  <si>
    <t>12. sz. melléklet</t>
  </si>
  <si>
    <t>Ssz</t>
  </si>
  <si>
    <t>Képződés</t>
  </si>
  <si>
    <t>Felhasználás</t>
  </si>
  <si>
    <t xml:space="preserve"> előirányzat</t>
  </si>
  <si>
    <t>Működési költségvetési bevételek</t>
  </si>
  <si>
    <t>Számítógépek vásárlása</t>
  </si>
  <si>
    <t>3.2</t>
  </si>
  <si>
    <t>2.3</t>
  </si>
  <si>
    <t xml:space="preserve">  Nem lakáscélú helyiségek értékesítése </t>
  </si>
  <si>
    <t xml:space="preserve">  Üres, nem lakáscélú helyiségek értékesítése </t>
  </si>
  <si>
    <t>I. sz. Gondozási Központ összesen:</t>
  </si>
  <si>
    <t>eredeti kiadási</t>
  </si>
  <si>
    <t>érvényes kiadási</t>
  </si>
  <si>
    <t xml:space="preserve"> Bevétel jogcíme</t>
  </si>
  <si>
    <t>3. sz. melléklet</t>
  </si>
  <si>
    <t>Pedagógiai szakszolgálat - 8 hó</t>
  </si>
  <si>
    <t>Pedagógiai szakszolgálat - 4 hó</t>
  </si>
  <si>
    <t>ezer Ft-ban</t>
  </si>
  <si>
    <t>Gáz és távhő díj</t>
  </si>
  <si>
    <t>Szociális továbbképzés és szakvizsga támogatása</t>
  </si>
  <si>
    <t>7. sz. melléklet</t>
  </si>
  <si>
    <t>9. sz. melléklet</t>
  </si>
  <si>
    <t>10. sz. melléklet</t>
  </si>
  <si>
    <t>Budapest Főváros II. Kerületi Önkormányzat</t>
  </si>
  <si>
    <t>17. sz. melléklet</t>
  </si>
  <si>
    <t>Bevétel jogcíme</t>
  </si>
  <si>
    <t>II. sz. Gondozási Központ összesen:</t>
  </si>
  <si>
    <t>Mindössz.</t>
  </si>
  <si>
    <t>Központ</t>
  </si>
  <si>
    <t>Záró pénzkészlet</t>
  </si>
  <si>
    <t>Forgóeszközök összesen</t>
  </si>
  <si>
    <t>Kötelezettségek összesen</t>
  </si>
  <si>
    <t xml:space="preserve">Eszközök összesen </t>
  </si>
  <si>
    <t>Források összesen</t>
  </si>
  <si>
    <t>Sor</t>
  </si>
  <si>
    <t>M e g n e v e z é s</t>
  </si>
  <si>
    <t>Dologi és egyéb folyó kiadások</t>
  </si>
  <si>
    <t>Érvényes eir.</t>
  </si>
  <si>
    <t>l</t>
  </si>
  <si>
    <t>m</t>
  </si>
  <si>
    <t>Céltámogatás összesen:</t>
  </si>
  <si>
    <t>Polgármesteri Hivatal összesen</t>
  </si>
  <si>
    <t>Működési céltartalék</t>
  </si>
  <si>
    <t>Srsz</t>
  </si>
  <si>
    <t>Szennyvízelvezetés és kezelés összesen:</t>
  </si>
  <si>
    <t>Sorsz.</t>
  </si>
  <si>
    <t>A</t>
  </si>
  <si>
    <t>B</t>
  </si>
  <si>
    <t>Kisebb csatornák</t>
  </si>
  <si>
    <t>16-os űrlap 47. sora</t>
  </si>
  <si>
    <t>19. sz. tábla 1. oldal a    /2013.(      )</t>
  </si>
  <si>
    <t xml:space="preserve">I. Immateriális javak </t>
  </si>
  <si>
    <t xml:space="preserve">II. Tárgyi eszközök </t>
  </si>
  <si>
    <t>III. Befektetett pü-i eszközök</t>
  </si>
  <si>
    <t>I. Költségvetési tartalékok</t>
  </si>
  <si>
    <t>II. Vállalkozási tartalékok</t>
  </si>
  <si>
    <t xml:space="preserve">I. Készletek </t>
  </si>
  <si>
    <t xml:space="preserve">II. Követelések </t>
  </si>
  <si>
    <t xml:space="preserve">III. Értékpapírok </t>
  </si>
  <si>
    <t>I. Hosszú lejáratú kötelezettségek</t>
  </si>
  <si>
    <t xml:space="preserve">IV. Pénzeszközök </t>
  </si>
  <si>
    <t>II. Rövid lejáratú kötelezettségek</t>
  </si>
  <si>
    <t>III. Egyéb passzív pü-i elszámolások</t>
  </si>
  <si>
    <t>17. sz. tábla a     /2013. (        )</t>
  </si>
  <si>
    <t>18. sz. tábla a     /2013. (         )</t>
  </si>
  <si>
    <t>Budapest Főváros II. kerületi Önkormányzatának 2012.évi egyszerűsített mérlege</t>
  </si>
  <si>
    <t>Önkormányzat feladatai összesen</t>
  </si>
  <si>
    <t>7. sz. tábla a     /2013. (        )</t>
  </si>
  <si>
    <t>II. kerület mindöszesen</t>
  </si>
  <si>
    <t>Működési költségvetési kiadások</t>
  </si>
  <si>
    <t xml:space="preserve">Helyi közutak, </t>
  </si>
  <si>
    <t>közterek és parkok</t>
  </si>
  <si>
    <t>Közterület-felügyelet</t>
  </si>
  <si>
    <t xml:space="preserve">Településrendezés, </t>
  </si>
  <si>
    <t>településfejlesztés</t>
  </si>
  <si>
    <t xml:space="preserve">Turizmussal kapcsolatos </t>
  </si>
  <si>
    <t>Egészségügyi alapellátás</t>
  </si>
  <si>
    <t>Óvodai ellátás</t>
  </si>
  <si>
    <t>Hajléktalan ellátás</t>
  </si>
  <si>
    <t>Saját tul.lakás- és helyiséggazdálkodás</t>
  </si>
  <si>
    <t xml:space="preserve">Helyi adóval kapcsolatos </t>
  </si>
  <si>
    <t>Sport és szabadidő tevékenység</t>
  </si>
  <si>
    <t>Helyi közbiztonság</t>
  </si>
  <si>
    <t>Nemzetiségek támogatása</t>
  </si>
  <si>
    <t xml:space="preserve">Egyéb, jogszab.alapján </t>
  </si>
  <si>
    <t>kötelező feladat</t>
  </si>
  <si>
    <t>Önk-i egyéb vagyonnal</t>
  </si>
  <si>
    <t>való gazdálkodás</t>
  </si>
  <si>
    <t>Könyvtári és közművelődési érdekeltségnövelő támogatás</t>
  </si>
  <si>
    <t>Központosított támogatás összesen</t>
  </si>
  <si>
    <t>Egyes jövedelempótló támogatások kiegészítése</t>
  </si>
  <si>
    <t>d</t>
  </si>
  <si>
    <t>Intézményi működési kiadások</t>
  </si>
  <si>
    <t xml:space="preserve">  Oktatásfejlesztési Keret</t>
  </si>
  <si>
    <t xml:space="preserve">  Közművelődési Keret</t>
  </si>
  <si>
    <t xml:space="preserve">  Sport- és Tömegsport Keret</t>
  </si>
  <si>
    <t xml:space="preserve">  Szociálpolitikai Keret</t>
  </si>
  <si>
    <t xml:space="preserve">  Környezetvédelmi Keret</t>
  </si>
  <si>
    <t>Adójutalék</t>
  </si>
  <si>
    <t>Várakozóhelyek megváltása</t>
  </si>
  <si>
    <t>Építményadó</t>
  </si>
  <si>
    <t>Polgármester saját kerete</t>
  </si>
  <si>
    <t>jogcíme</t>
  </si>
  <si>
    <t>Don Bosco Nővérek Szent Család Óvodája</t>
  </si>
  <si>
    <t>c</t>
  </si>
  <si>
    <t xml:space="preserve">Helyi támogatás </t>
  </si>
  <si>
    <t>V. Egyéb aktív pénzügyi elszámolások</t>
  </si>
  <si>
    <t>A/ Befektetett eszközök</t>
  </si>
  <si>
    <t>I. Tartós tőke</t>
  </si>
  <si>
    <t>II. Tőkeváltozások</t>
  </si>
  <si>
    <t>III. Értékelési tartalék</t>
  </si>
  <si>
    <t>Hosszú lejáratú hitelek törlesztése</t>
  </si>
  <si>
    <t>Rövid lejáratú hitelek törlesztése</t>
  </si>
  <si>
    <t>15-ből likvidhitelek kiadása</t>
  </si>
  <si>
    <t>38-ből likvid hitelek bevétele</t>
  </si>
  <si>
    <t>Finanszírozási bevételek összesen: (37+38+ 40+41)</t>
  </si>
  <si>
    <t>Pénzforgalmi bevételek (36+42)</t>
  </si>
  <si>
    <t>Budapest Főváros II. kerületének Önkormányzata - 2012. évi központosított támogatások elszámolása</t>
  </si>
  <si>
    <t>Kieg.tám.nemzetiségi nevelési, oktatási feladatokhoz</t>
  </si>
  <si>
    <t>A 2011. évről áthúzódó bérkompenzáció támogatása</t>
  </si>
  <si>
    <t>Színházak költségvetési támogatása</t>
  </si>
  <si>
    <t>A kv-i szerveknél foglalkoztatottak 2012. évi kompenzációja</t>
  </si>
  <si>
    <t>Egyéb központi támogatások</t>
  </si>
  <si>
    <t xml:space="preserve">Budapest Főváros II. kerületének Önkormányzata 2012. évi normativ, kötött felhasználású támogatások </t>
  </si>
  <si>
    <t>Pedagógus továbbképzés támogatása - 8 hó</t>
  </si>
  <si>
    <t>Pedagógus továbbképzés támogatása - 4 hó</t>
  </si>
  <si>
    <t>Osztályfőnöki pótlék kiegészítése - 8 hó</t>
  </si>
  <si>
    <t>Osztályfőnöki pótlék kiegészítése - 4 hó</t>
  </si>
  <si>
    <t>Gyógypedagógiai pótlék kiegészítése - 8 hó</t>
  </si>
  <si>
    <t>Gyógypedagógiai pótlék kiegészítése - 4 hó</t>
  </si>
  <si>
    <t>Kedvezményes óvodai, iskolai, kollégiumi étkeztetés</t>
  </si>
  <si>
    <t>Szakmai, tanügyig-i informatikai feladatok tám. - 8 hó</t>
  </si>
  <si>
    <t>Szakmai, tanügyig-i informatikai feladatok tám. - 4 hó</t>
  </si>
  <si>
    <t>Ingyenes tankönyvellátás</t>
  </si>
  <si>
    <t>Ingyenes bölcsődei étkeztetés</t>
  </si>
  <si>
    <t>Önállóan</t>
  </si>
  <si>
    <t>működő</t>
  </si>
  <si>
    <t>intézmények</t>
  </si>
  <si>
    <t>Hvölgyi</t>
  </si>
  <si>
    <t>Szemlő-</t>
  </si>
  <si>
    <t>Törökvész</t>
  </si>
  <si>
    <t>Csik F.</t>
  </si>
  <si>
    <t>Kodály Z.</t>
  </si>
  <si>
    <t>Mremete-</t>
  </si>
  <si>
    <t>Remete-</t>
  </si>
  <si>
    <t>Szabó L.</t>
  </si>
  <si>
    <t>Pedagógiai</t>
  </si>
  <si>
    <t>Egyesített</t>
  </si>
  <si>
    <t xml:space="preserve">Budakeszi </t>
  </si>
  <si>
    <t>Gesztenyés-</t>
  </si>
  <si>
    <t>Kitaibel</t>
  </si>
  <si>
    <t>Kolozsvár</t>
  </si>
  <si>
    <t>Községház</t>
  </si>
  <si>
    <t xml:space="preserve">Pitypang </t>
  </si>
  <si>
    <t>Százszorszép</t>
  </si>
  <si>
    <t>hegy</t>
  </si>
  <si>
    <t>úti</t>
  </si>
  <si>
    <t>Virág</t>
  </si>
  <si>
    <t>Áldás</t>
  </si>
  <si>
    <t>Fillér</t>
  </si>
  <si>
    <t xml:space="preserve">Járdányi </t>
  </si>
  <si>
    <t>Ének-Zenei</t>
  </si>
  <si>
    <t>Hkúti</t>
  </si>
  <si>
    <t>kertvárosi</t>
  </si>
  <si>
    <t>Újlaki</t>
  </si>
  <si>
    <t>Család-</t>
  </si>
  <si>
    <t>I. sz.</t>
  </si>
  <si>
    <t>II. sz.</t>
  </si>
  <si>
    <t>III. sz.</t>
  </si>
  <si>
    <t>Bölcsődék</t>
  </si>
  <si>
    <t>Óvoda</t>
  </si>
  <si>
    <t>kert</t>
  </si>
  <si>
    <t>u-i</t>
  </si>
  <si>
    <t>Kézműves</t>
  </si>
  <si>
    <t>Árok</t>
  </si>
  <si>
    <t>és</t>
  </si>
  <si>
    <t>Pál</t>
  </si>
  <si>
    <t>Ált. Isk. és</t>
  </si>
  <si>
    <t>Ökumenikus</t>
  </si>
  <si>
    <t xml:space="preserve">és </t>
  </si>
  <si>
    <t>segítő</t>
  </si>
  <si>
    <t>Gondozási</t>
  </si>
  <si>
    <t>Szolgáltató</t>
  </si>
  <si>
    <t>Szak-</t>
  </si>
  <si>
    <t>Gimn.</t>
  </si>
  <si>
    <t>Zeneisk.</t>
  </si>
  <si>
    <t>Gomn.</t>
  </si>
  <si>
    <t>Kp.</t>
  </si>
  <si>
    <t>Működési kiadások összesen:</t>
  </si>
  <si>
    <t xml:space="preserve">   ebből: kamatkiadások</t>
  </si>
  <si>
    <t>1.5.1</t>
  </si>
  <si>
    <t>Nemzetközi kötelezettségek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</si>
  <si>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</si>
  <si>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</si>
  <si>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</si>
  <si>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</si>
  <si>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</si>
  <si>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</si>
  <si>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</si>
  <si>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</si>
  <si>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</si>
  <si>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Felhalmozási kiadások összesen: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</si>
  <si>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</si>
  <si>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</si>
  <si>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</si>
  <si>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</si>
  <si>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</si>
  <si>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</si>
  <si>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</si>
  <si>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</si>
  <si>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Költségvetési kiadások  (1 + 2)</t>
  </si>
  <si>
    <t>Belföldi finanszírozás kiadásai</t>
  </si>
  <si>
    <t>3.1.1</t>
  </si>
  <si>
    <t>Hitel-, kölcsöntörlesztés államháztartáson kívülre</t>
  </si>
  <si>
    <t>3.1.1.1</t>
  </si>
  <si>
    <t>3.1.1.2</t>
  </si>
  <si>
    <t>3.1.1.3</t>
  </si>
  <si>
    <t xml:space="preserve">Rövid lejáratú hitelek, kölcsönök törlesztése </t>
  </si>
  <si>
    <t>3.1.2</t>
  </si>
  <si>
    <t>3.1.3</t>
  </si>
  <si>
    <t>3.1.4</t>
  </si>
  <si>
    <t>Külföldi finanszírozás kiadásai</t>
  </si>
  <si>
    <t>3.3</t>
  </si>
  <si>
    <t>Adóssághoz nem kapcsolódó származékos ügyletek kiadásai</t>
  </si>
  <si>
    <t>K I A D Á S O K   Ö S S Z E S E N   (1 + 2 + 3)</t>
  </si>
  <si>
    <t xml:space="preserve"> Személyi juttatások</t>
  </si>
  <si>
    <t xml:space="preserve"> Dologi  kiadások összesen</t>
  </si>
  <si>
    <t>Egyéb felhalmozási célú támogatások áht-n kívülre</t>
  </si>
  <si>
    <t>Felh.c.visszatérítendő tám., kölcsön nyújtása áht-n kívülre</t>
  </si>
  <si>
    <t>Felh.c.garancia- és kezességváll-ból szárm.kif. áht-n kívülre</t>
  </si>
  <si>
    <t>Egyéb felhalmozási célú támogatások áht-n belülre</t>
  </si>
  <si>
    <t>Felh.c.visszatérítendő tám., kölcsön törlesztése áht-n belülre</t>
  </si>
  <si>
    <t>Felh.c.visszatérítendő tám., kölcsön nyújtása áht-n belülre</t>
  </si>
  <si>
    <t>Felh.c.garancia- és kezességváll-ból szárm.kif.áht-n belülre</t>
  </si>
  <si>
    <t>Elvonások és befizetések</t>
  </si>
  <si>
    <t>Műk.c.garancia- és kezességváll-ból szárm.kif.áht-n belülre</t>
  </si>
  <si>
    <t>Műk.c.visszatérítendő tám., kölcsön nyújtása áht-n belülre</t>
  </si>
  <si>
    <t>Műk.c.visszatérítendő tám., kölcsön törlesztése áht-n belülre</t>
  </si>
  <si>
    <t>Egyéb működési célú támogatások áht-n belülre</t>
  </si>
  <si>
    <t>Műk.c.garancia- és kezességváll-ból szárm.kif. áht-n kívülre</t>
  </si>
  <si>
    <t>Műk.c.visszatérítendő tám., kölcsön nyújtása áht-n kívülre</t>
  </si>
  <si>
    <t>Egyéb működési célú támogatások áht-n kívülre</t>
  </si>
  <si>
    <t>Tartalékok</t>
  </si>
  <si>
    <t>Hosszú lejáratú hitelek, kölcsönök törlesztése</t>
  </si>
  <si>
    <t>Likviditási c.hitelek, kölcsönök törlesztése pénzügyi váll-nak</t>
  </si>
  <si>
    <t>Belföldi értékpapírok kiadásai</t>
  </si>
  <si>
    <t>Pénzeszközök betétként elhelyezése</t>
  </si>
  <si>
    <t xml:space="preserve"> Munkaadókat terh.járulékok, szoc.hozzájárulási adó</t>
  </si>
  <si>
    <t>Lakástámogatás</t>
  </si>
  <si>
    <t>Gazdasági szervezettel nem</t>
  </si>
  <si>
    <t>rendelkező költségvetési szervek</t>
  </si>
  <si>
    <t>Műk.c.garancia- és kezességváll-ból származó kifizetés áht-n belülre</t>
  </si>
  <si>
    <t>Műk.c.visszatérítendő támogatások, kölcsönök nyújtása áht-n belülre</t>
  </si>
  <si>
    <t>Műk.c.visszatérítendő támogatások, kölcsönök törlesztése áht-n belülre</t>
  </si>
  <si>
    <t>Műk.c.garancia- és kezességváll-ból származó kifizetés áht-n kívülre</t>
  </si>
  <si>
    <t>Műk.c.visszatérítendő támogatások, kölcsönök nyújtása áht-n kívülre</t>
  </si>
  <si>
    <t>Felh.c.garancia- és kezességváll-ból származó kifizetés áht-n belülre</t>
  </si>
  <si>
    <t>Felh.c.visszatérítendő támogatások, kölcsönök nyújtása áht-n belülre</t>
  </si>
  <si>
    <t>Felh.c.visszatérítendő támogatások, kölcsönök törlesztése áht-n belülre</t>
  </si>
  <si>
    <t>Felh.c.garancia- és kezességváll-ból származó kifizetés áht-n kívülre</t>
  </si>
  <si>
    <t>Likviditási célú hitelek, kölcsönök törlesztése pénzügyi vállalkozásnak</t>
  </si>
  <si>
    <t>Felh.c.visszatérítendő támogatások, kölcsönök nyújtása áht-n kívülre</t>
  </si>
  <si>
    <t xml:space="preserve">Lakástámogatás </t>
  </si>
  <si>
    <t>Önkormányzat működési támogatása</t>
  </si>
  <si>
    <t>Elvonások és befizetések bevételei</t>
  </si>
  <si>
    <t>Egyéb működési célú támogatások bevételei áht-n belülről</t>
  </si>
  <si>
    <t>Egyéb működési célú átvett pénzeszközök</t>
  </si>
  <si>
    <t>Felh.c.vtér.támogatások, kölcsönök nyújtása áht-n kívülre</t>
  </si>
  <si>
    <t>Előző év ktgvetési maradványának igénybevétele működésre</t>
  </si>
  <si>
    <t xml:space="preserve">Működési finanszírozási kiadások </t>
  </si>
  <si>
    <t>Működési finanszírozási bevételek</t>
  </si>
  <si>
    <t>Hosszú lejáratú hitel tőkeösszegének törlesztése</t>
  </si>
  <si>
    <t>Irányító szervi támogatásként folyósított felhalmozási
támogatás kiutalása</t>
  </si>
  <si>
    <t>Irányító szervi támogatásként folyósított felhalmozási
támogatás fizetési számlán történő jóváírása</t>
  </si>
  <si>
    <t>Előző év ktgvetési maradvány igénybevétele felhalmozásra</t>
  </si>
  <si>
    <t xml:space="preserve">Felhalmozási finanszírozási kiadások </t>
  </si>
  <si>
    <t>Felhalmozási finanszírozási bevételek</t>
  </si>
  <si>
    <t>MŰKÖDÉSI BEVÉTELEK ÖSSZESEN</t>
  </si>
  <si>
    <t>Működési célú támogatások államháztartáson belülről</t>
  </si>
  <si>
    <t>1.1.1</t>
  </si>
  <si>
    <t>Helyi önkormányzatok működésének általános támogatása</t>
  </si>
  <si>
    <t>1.1.2</t>
  </si>
  <si>
    <t>1.1.3</t>
  </si>
  <si>
    <t>1.1.4</t>
  </si>
  <si>
    <t>Települési önkormányzatok kulturális feladatainak támogatása</t>
  </si>
  <si>
    <t>1.1.5</t>
  </si>
  <si>
    <t>1.1.6</t>
  </si>
  <si>
    <t>1.6</t>
  </si>
  <si>
    <t>Adók</t>
  </si>
  <si>
    <t xml:space="preserve">Iparűzési adó állandó jelleggel végzett iparűzési tevékenység után </t>
  </si>
  <si>
    <t>Gépjárműadó</t>
  </si>
  <si>
    <t>Idegenforgalmi adó tartózkodás után</t>
  </si>
  <si>
    <t>Bírságok</t>
  </si>
  <si>
    <t>Parkolási bírság</t>
  </si>
  <si>
    <t>Közterület-felügyeleti bírság</t>
  </si>
  <si>
    <t>Szabálysértési bírság</t>
  </si>
  <si>
    <t>Végrehajtási bírság</t>
  </si>
  <si>
    <t>Építésügyi bírsághoz kapcs. Eljárási bírság</t>
  </si>
  <si>
    <t>Egyéb bírság bevétel</t>
  </si>
  <si>
    <t>Egyéb közhatalmi bevételek</t>
  </si>
  <si>
    <t>Igazgatási szolgáltatási díj</t>
  </si>
  <si>
    <t>Helyi adók utáni pótlékok</t>
  </si>
  <si>
    <t>Készletértékesítés ellenértéke</t>
  </si>
  <si>
    <t>Szolgáltatások ellenértéke</t>
  </si>
  <si>
    <t>Közvetített szolgáltatások ellenértéke</t>
  </si>
  <si>
    <t>3.4</t>
  </si>
  <si>
    <t>3.5</t>
  </si>
  <si>
    <t>Ellátási díjak</t>
  </si>
  <si>
    <t>3.6</t>
  </si>
  <si>
    <t>Kiszámlázott általános forgalmi adó</t>
  </si>
  <si>
    <t>3.7</t>
  </si>
  <si>
    <t>Általános forgalmi adó visszatérítése</t>
  </si>
  <si>
    <t>3.8</t>
  </si>
  <si>
    <t>Kamatbevételek</t>
  </si>
  <si>
    <t>3.9</t>
  </si>
  <si>
    <t>Egyéb pénzügyi műveletek bevételei</t>
  </si>
  <si>
    <t>3.10</t>
  </si>
  <si>
    <t>Egyéb működési bevételek</t>
  </si>
  <si>
    <t>FELHALMOZÁSI BEVÉTELEK ÖSSZESEN</t>
  </si>
  <si>
    <t>Felhalmozási célú támogatások államháztartáson belülről</t>
  </si>
  <si>
    <t>Immateriális javak értékesítése</t>
  </si>
  <si>
    <t>Ingatlanok értékesítése</t>
  </si>
  <si>
    <t>Egyéb tárgyi eszközök értékesítése</t>
  </si>
  <si>
    <t>2.4</t>
  </si>
  <si>
    <t>Részesedések értékesítése</t>
  </si>
  <si>
    <t>Felhalmozási célú átvett pénzeszközök</t>
  </si>
  <si>
    <t>Költségvetési bevételek (I. + II.)</t>
  </si>
  <si>
    <t xml:space="preserve">FINANSZÍROZÁSI BEVÉTELEK </t>
  </si>
  <si>
    <t>Belföldi finanszírozás bevételei</t>
  </si>
  <si>
    <t>Hitel-, kölcsönfelvétel államháztartáson kívülről</t>
  </si>
  <si>
    <t>B E V É T E L E K   Ö S S Z E S E N (I. + II. + III.)</t>
  </si>
  <si>
    <t>Települési önk. egyes köznevelési feladatainak támogatása</t>
  </si>
  <si>
    <t>Települési önk.szociális, gyermekjóléti és gyermekétkeztetési fa.tám.</t>
  </si>
  <si>
    <t>Műk.c.garancia- és kezességvállalásból szárm.megtér.áht-n belülről</t>
  </si>
  <si>
    <t>Egyéb működési célú támogatások bevételei államháztartáson belülről</t>
  </si>
  <si>
    <t>Működési célú átvett pénzeszközök</t>
  </si>
  <si>
    <t>Felhalmozási célú önkormányzati támogatások</t>
  </si>
  <si>
    <t>Felh.c.garancia- és kezességvállalásból származó megtér.áht-n belülről</t>
  </si>
  <si>
    <t>Felh.c.visszatérítendő támogatások, kölcsönök visszatér.áht-n belülről</t>
  </si>
  <si>
    <t>Műk.c.visszatérítendő támogatások, kölcsönök visszatér.áht-n belülről</t>
  </si>
  <si>
    <t>Műk.c.visszatérítendő támogatások, kölcsönök igénybevét.áht-n belülről</t>
  </si>
  <si>
    <t>Tulajdonosi bevételek-Önk-i többségi tulajdonú váll-tól kapott osztalék</t>
  </si>
  <si>
    <t>Felh.c.visszatérítendő támogatások, kölcsönök igénybev.áht-n belülről</t>
  </si>
  <si>
    <t>Felhalmozási bevételek</t>
  </si>
  <si>
    <t>Egyéb felhalmozási c.támogatások bevételei államháztartáson belülről</t>
  </si>
  <si>
    <t>Felh.c.garancia- és kezességvállalásból származó megtér.áht-n kívülről</t>
  </si>
  <si>
    <t>Felh.c.visszatérítendő támogatások, kölcsönök visszatér.áht-n kívülről</t>
  </si>
  <si>
    <t>Egyéb felhalmozási célú átvett pénzeszközök</t>
  </si>
  <si>
    <t>Belföldi értékpapírok bevételei</t>
  </si>
  <si>
    <t>Előző év költségvetési maradványának igénybevétele - működési</t>
  </si>
  <si>
    <t>Előző év költségvetési maradványának igénybevétele - felhalmozási</t>
  </si>
  <si>
    <t>Előző év költségvetési maradványának igénybevétele</t>
  </si>
  <si>
    <t>Egyéb felhalmozási célú támogatások bevételei áht-n belülről</t>
  </si>
  <si>
    <t>Felh.c.visszatér.támogatások, kölcsönök visszatérülése áht-n kívülről</t>
  </si>
  <si>
    <t>egyéb működési célú támogatások</t>
  </si>
  <si>
    <t xml:space="preserve">  Életvitel stratégia</t>
  </si>
  <si>
    <t>Gyermekek Háza Alapítvány</t>
  </si>
  <si>
    <t>Egyéb működési célú támogatások áht-n belülre:</t>
  </si>
  <si>
    <t>Egyéb működési célú támogatások áht-n kívülre:</t>
  </si>
  <si>
    <t>egyéb működési célú támogatások bevételei és átvett  pénzeszközök</t>
  </si>
  <si>
    <t>Egyéb működési célú támogatások áht-n belülről:</t>
  </si>
  <si>
    <t>Egyéb működési célú átvett  pénzeszközök:</t>
  </si>
  <si>
    <t xml:space="preserve"> egyéb felhalmozási célú támogatások</t>
  </si>
  <si>
    <t>Egyéb felhalmozási célú támogatások áht-n belülre:</t>
  </si>
  <si>
    <t>Egyéb felhalmozási célú támogatások áht-n kívülre:</t>
  </si>
  <si>
    <t>egyéb felhalmozási célú támogatások bevételei és átvett  pénzeszközök</t>
  </si>
  <si>
    <t>Egyéb felhalmozási célú támogatások bevételei áht-n belülről:</t>
  </si>
  <si>
    <t>5.tábla II.ker.mindösszesenhez</t>
  </si>
  <si>
    <t>4.tábla  II.ker.mindösszesenhez</t>
  </si>
  <si>
    <t>Fővárosi Önk-nak szennyvízelvezetésre</t>
  </si>
  <si>
    <t>Társasházak felújítási támogatása</t>
  </si>
  <si>
    <t>Társasházak felújítási támogatása – homlokzat felújításra</t>
  </si>
  <si>
    <t>Lakás bérleti jogviszony megváltása</t>
  </si>
  <si>
    <t xml:space="preserve">Gyalogátkelő helyek kialakítása </t>
  </si>
  <si>
    <t>x</t>
  </si>
  <si>
    <t>Pesthidegkúti gyalogos közlekedés fejlesztése</t>
  </si>
  <si>
    <t>Kommunikációs eszközök beszerzése</t>
  </si>
  <si>
    <t>Ingatlan vásárlás</t>
  </si>
  <si>
    <t>Hidegkúti sportpályák tervezése</t>
  </si>
  <si>
    <t>Sport és szabadidő tevékenység összesen:</t>
  </si>
  <si>
    <t>Szennyvízcsatorna gerincvezeték kiépítése</t>
  </si>
  <si>
    <t>Monitor és szkenner beszerzés</t>
  </si>
  <si>
    <t>Háziorvosi rendelők felújítása</t>
  </si>
  <si>
    <t>Lakásgazdálkodási  feladatokhoz</t>
  </si>
  <si>
    <t>Épületbontások és telekrendezések</t>
  </si>
  <si>
    <t>Közcélú foglalkoztatás támogatása</t>
  </si>
  <si>
    <t>HungaroControl Zrt. által meghirdetett pályázaton elnyert tám.</t>
  </si>
  <si>
    <t xml:space="preserve">Költségvetési szerv </t>
  </si>
  <si>
    <t>járulékok és</t>
  </si>
  <si>
    <t>Intézményeket Működtető Központ</t>
  </si>
  <si>
    <t>Költségvetési bevételek</t>
  </si>
  <si>
    <t>Finanszírozási bevételek</t>
  </si>
  <si>
    <t>költségvetési</t>
  </si>
  <si>
    <t>irányító szervi</t>
  </si>
  <si>
    <t>átvett</t>
  </si>
  <si>
    <t>maradvány</t>
  </si>
  <si>
    <t>igénybevétel</t>
  </si>
  <si>
    <t>Költségvetési szerv megnevezése</t>
  </si>
  <si>
    <t>Törökméz Bölcsőde összesen:</t>
  </si>
  <si>
    <t>Intézményeket Működtető Központ összesen:</t>
  </si>
  <si>
    <t xml:space="preserve">Bútor, kötelező eszköz, gép, berendezés, informatikai eszköz beszerzés </t>
  </si>
  <si>
    <t>Gazdasági szervezettel nem rendelkező költségvetési szervek</t>
  </si>
  <si>
    <r>
      <t xml:space="preserve">Belföldi finanszírozás bevételei  </t>
    </r>
    <r>
      <rPr>
        <sz val="10"/>
        <rFont val="Times New Roman CE"/>
        <charset val="238"/>
      </rPr>
      <t>(1.1 + 1.2 + 1.3)</t>
    </r>
  </si>
  <si>
    <t>4. sz. tábla 4. oldal</t>
  </si>
  <si>
    <r>
      <t xml:space="preserve">(ezer forintban)                                                                                  </t>
    </r>
    <r>
      <rPr>
        <sz val="10"/>
        <color indexed="9"/>
        <rFont val="Times New Roman"/>
        <family val="1"/>
        <charset val="238"/>
      </rPr>
      <t xml:space="preserve"> .</t>
    </r>
  </si>
  <si>
    <t>Polgármester támogatása egyéb vállalkozásoknak</t>
  </si>
  <si>
    <t>Társasházak felújítási támogatása – önk-i önrészből</t>
  </si>
  <si>
    <t>Kamatmentes szociális kölcsön</t>
  </si>
  <si>
    <t>z</t>
  </si>
  <si>
    <t>Lakásvásárlás</t>
  </si>
  <si>
    <t>Hulladékgazdálkodás és környezetvédelem összesen:</t>
  </si>
  <si>
    <t>Vonalas telefonközpont és készülékek beszerzése</t>
  </si>
  <si>
    <t>Völgy Utcai Óvoda összesen:</t>
  </si>
  <si>
    <t>Völgy Utcai Óvoda</t>
  </si>
  <si>
    <t>Kötelezettségvállalással terhelt maradvány</t>
  </si>
  <si>
    <t>Szabad maradvány</t>
  </si>
  <si>
    <t>(nem intézmények
által ellátott feladatok)</t>
  </si>
  <si>
    <t xml:space="preserve">Polgármesteri
</t>
  </si>
  <si>
    <t>Alaptevékenység 
költségvetési bevételei</t>
  </si>
  <si>
    <t>Alaptevékenység 
költségvetési kiadásai</t>
  </si>
  <si>
    <t>Alaptevékenység 
költségvetési egyenlege</t>
  </si>
  <si>
    <t>Alaptevékenység 
finanszírozási bevételei</t>
  </si>
  <si>
    <t>Alaptevékenység 
finanszírozási kiadásai</t>
  </si>
  <si>
    <t>Alaptevékenység 
finanszírozási egyenlege</t>
  </si>
  <si>
    <t>Összesen</t>
  </si>
  <si>
    <t>Bolyai Utcai</t>
  </si>
  <si>
    <t>Budakeszi Úti</t>
  </si>
  <si>
    <t xml:space="preserve"> Gesztenyékert</t>
  </si>
  <si>
    <t xml:space="preserve">Kitaibel Pál </t>
  </si>
  <si>
    <t>Utcai Óvoda</t>
  </si>
  <si>
    <t>Pitpang Utcai</t>
  </si>
  <si>
    <t xml:space="preserve">Szemlőhegy </t>
  </si>
  <si>
    <t>Törökvész Úti</t>
  </si>
  <si>
    <t>Virág árok</t>
  </si>
  <si>
    <t>Völgy Utcai</t>
  </si>
  <si>
    <t>I. Gondozási</t>
  </si>
  <si>
    <t>II. Gondozási</t>
  </si>
  <si>
    <t>III. Gondozási</t>
  </si>
  <si>
    <t>Családsegítő</t>
  </si>
  <si>
    <t>Intézmény</t>
  </si>
  <si>
    <t>Működtetési Központ</t>
  </si>
  <si>
    <t>Egészségügyi</t>
  </si>
  <si>
    <t>Egyéb finanszírozási kiadás</t>
  </si>
  <si>
    <t>Egyéb finanszírozási bevétel</t>
  </si>
  <si>
    <t>Egyéb finanszírozás kiadásai</t>
  </si>
  <si>
    <t>Működési célú költségvetési támogatások és kiegészítő támogatások</t>
  </si>
  <si>
    <t>Elszámolásból származó bevételek</t>
  </si>
  <si>
    <t>Helyi adók utáni bírságok</t>
  </si>
  <si>
    <t>Biztosító által fizetett kártérítés</t>
  </si>
  <si>
    <t>3.11</t>
  </si>
  <si>
    <t>Közbiztonsági feladatok támogatása</t>
  </si>
  <si>
    <t>Hidegkúti Családi Iránytű Egyesület</t>
  </si>
  <si>
    <t>II. Kerületi Sport és Szabadidősport Nonprofit Kft. műk.tám.</t>
  </si>
  <si>
    <t>Felhalmozási forráshiány/többlet</t>
  </si>
  <si>
    <t>Országúti Szent István Első Vértanú Plébánia</t>
  </si>
  <si>
    <t>Budapest Újlak Sarlós Boldogasszony Plébánia</t>
  </si>
  <si>
    <t>Pasaréti Református Egyházközség</t>
  </si>
  <si>
    <t>Bp. Hidegkút-Ófalu Sarlós Boldogasszony Plébánia</t>
  </si>
  <si>
    <t>Budavári Evangélikus Egyházközség</t>
  </si>
  <si>
    <t>Szent Angéla Ferences Ált.Iskola és Gimn.</t>
  </si>
  <si>
    <t>Baár-Madas Református Gimn., Ált.Iskola és Kollégium</t>
  </si>
  <si>
    <t>Gondviselés Háza Gondozási Központ és Idősek Klubja</t>
  </si>
  <si>
    <t>Segítő Szűz Mária Leányai Don Bosco Nővérek</t>
  </si>
  <si>
    <t>Polgármesteri keretből felhalmozási célú pe. átadás</t>
  </si>
  <si>
    <t>Munkáltatói lakásépítési kölcsön</t>
  </si>
  <si>
    <t>Munkáltatói kölcsön visszatérülése</t>
  </si>
  <si>
    <t>Szociális kölcsönök visszatérülése</t>
  </si>
  <si>
    <t>Frankel L. u. 1.  - padozat csere</t>
  </si>
  <si>
    <t>Frankel L. u. 5.  - padozat csere</t>
  </si>
  <si>
    <t>Járdatisztító gépek vásárlása</t>
  </si>
  <si>
    <t xml:space="preserve">Kerületünk az otthonunk Frakció beruházása </t>
  </si>
  <si>
    <t>Polgármesteri Hivatal - szerverklíma kiépítése</t>
  </si>
  <si>
    <t>2013. évi L. törvényből adódó feladatok</t>
  </si>
  <si>
    <t>Gépjármű flotta színvonal megőrzését szolgáló beszerzések cserével</t>
  </si>
  <si>
    <t>Házasságkötő terem futószőnyeg, dekoráció</t>
  </si>
  <si>
    <t>Informatikai eszközök beszerzése képviselők részére</t>
  </si>
  <si>
    <t>Iparűzési adó költségtérítése Főváros felé</t>
  </si>
  <si>
    <t>Iskolai csereprogramok</t>
  </si>
  <si>
    <t>Előző évi fel nem használt pályázati tám.visszafiz.helyi/nemzetiségi önk-tól</t>
  </si>
  <si>
    <t>II. Kerületi Sport és Szabadidősport Nonprofit Kft. felh.tám.</t>
  </si>
  <si>
    <t>Egyéb építmény létesítése</t>
  </si>
  <si>
    <t>Lámpateset sűrítés</t>
  </si>
  <si>
    <t>Pesthidegkúti kormányablak kialakítása</t>
  </si>
  <si>
    <t>Foglalkozta-</t>
  </si>
  <si>
    <t>tottak</t>
  </si>
  <si>
    <t>Kitaibel Utcai Óvoda összesen:</t>
  </si>
  <si>
    <t>Gazdasági szervezettel nem rendelkező költségvetési szervek összesen:(1+2+3+4)</t>
  </si>
  <si>
    <t>Kisértékű eszköz beszerzés</t>
  </si>
  <si>
    <t>Alaptevékenység maradványa (összes maradvány)</t>
  </si>
  <si>
    <t>2016. évi</t>
  </si>
  <si>
    <t xml:space="preserve">Parkoltatás Fővárosi </t>
  </si>
  <si>
    <t>tulajdonú területen</t>
  </si>
  <si>
    <t>Önk. talajterhelési díj</t>
  </si>
  <si>
    <t>Magánfőzött párlat adója</t>
  </si>
  <si>
    <t>(III.+ IV.+V.)</t>
  </si>
  <si>
    <t>(III.+IV.+V.)</t>
  </si>
  <si>
    <t xml:space="preserve">Család és Gyermekjóléti Központ </t>
  </si>
  <si>
    <t>Magyar Állatorvosok Világszervezete (Múzeum 1956 Emlékére)</t>
  </si>
  <si>
    <t>KDNP frakció támogatása non-profit szervezeteknek</t>
  </si>
  <si>
    <t>Fejezetnek</t>
  </si>
  <si>
    <t>Polgármester támogatása fejezetnek</t>
  </si>
  <si>
    <t>Alpolgármesteri keretből felhalmozási célú pe. átadás</t>
  </si>
  <si>
    <t>Fonódó villamoshálózat miatti lakásfelújítási tám. Felhévíz városrésznek
TÉR_KÖZ - Fővárosi Városrehabilitációs Keretből</t>
  </si>
  <si>
    <t xml:space="preserve">Városfejlesztő Zrt. címjegyzékes felújítási munkák </t>
  </si>
  <si>
    <t>KVSZ által előírt kötelező szabályozás miatti kártalanítás</t>
  </si>
  <si>
    <t xml:space="preserve">Kerékpárutak fejlesztése, kerékpártároló kihelyezése </t>
  </si>
  <si>
    <t>Parkoló automaták</t>
  </si>
  <si>
    <t>Jármű vásárlás</t>
  </si>
  <si>
    <t>Községház u. 4. Óvoda - belső felújítás</t>
  </si>
  <si>
    <t>Kadarka u. 1-3. Óvoda - engedélyezési tervek VEKOP-6.1.1-15. pályázathoz</t>
  </si>
  <si>
    <t>Hidegkúti út 31. Bölcsőde - külső épületenergetika  - terv</t>
  </si>
  <si>
    <t>Uszoda és tanmedence Pesthidegkút - hálózatfejlesztés</t>
  </si>
  <si>
    <t>Balatonfenyves, Balaton u. 4. gyermeküdülő modernizálása</t>
  </si>
  <si>
    <t>Uszoda és tanmedence Pesthidegkút - tervezés, előkészületi munkák</t>
  </si>
  <si>
    <t>Klebelsberg Kuno Ált. Isk. és Gimn. focipálya műszaki ellenőrzése</t>
  </si>
  <si>
    <t>Fillér u. 50/b. II. Gondozási Központ korszerűsítése</t>
  </si>
  <si>
    <t>Intézmények csapadékvíz elvezetése és kertfelújítás</t>
  </si>
  <si>
    <t>Parkoltatás Fővárosi tulajdonú területen</t>
  </si>
  <si>
    <t>Parkoltatás Fővárosi tulajdonú területen összesen:</t>
  </si>
  <si>
    <t>Polgármesteri Hivatal - Felvonó csere</t>
  </si>
  <si>
    <t>Polgármesteri Hivatal - Házasságkötő-terem folyadékhűtő csere</t>
  </si>
  <si>
    <t>Informatikai egyéb eszközök beszerzése</t>
  </si>
  <si>
    <t>Integrált Településfejlesztési Stratégia III. akcióterülete -Uszoda</t>
  </si>
  <si>
    <t xml:space="preserve">Energetikai pályázatok fedezete KEHOP-5.2.9 </t>
  </si>
  <si>
    <t xml:space="preserve">Óvodák  összesen (a+…+l) : </t>
  </si>
  <si>
    <t>ÉNO összesen:</t>
  </si>
  <si>
    <t>Család és Gyermekjóléti Központ összesen:</t>
  </si>
  <si>
    <t>Bútor, kötelező eszköz, gép, berendezés, informatikai eszköz beszerzés IMK</t>
  </si>
  <si>
    <t>Összes iskolában konyha technikai eszközök pótlása, cseréje</t>
  </si>
  <si>
    <t>Tüdőgondozó - direkt digitális átvilágító röntgen panel + szoftver</t>
  </si>
  <si>
    <t>Iskolai intézményi</t>
  </si>
  <si>
    <t>étkeztetés</t>
  </si>
  <si>
    <t>átmeneti időszakra</t>
  </si>
  <si>
    <t>Okt-i int-k műk., fejl.</t>
  </si>
  <si>
    <t>Államháztartáson belüli megelőlegezések visszafizetése</t>
  </si>
  <si>
    <t>2017. évi</t>
  </si>
  <si>
    <r>
      <t xml:space="preserve">Budapest Főváros II. Kerületi Önkormányzat 2017. évi kiadási előirányzatai és teljesítései feladatonkénti bontásban                                                                </t>
    </r>
    <r>
      <rPr>
        <b/>
        <sz val="13"/>
        <color indexed="9"/>
        <rFont val="Times New Roman"/>
        <family val="1"/>
        <charset val="238"/>
      </rPr>
      <t>.</t>
    </r>
  </si>
  <si>
    <t>4. sz. tábla a  / 2018.(         )</t>
  </si>
  <si>
    <r>
      <t xml:space="preserve"> </t>
    </r>
    <r>
      <rPr>
        <i/>
        <sz val="10"/>
        <rFont val="Times New Roman CE"/>
        <charset val="238"/>
      </rPr>
      <t>Kiürült önk-i építmények értékesítése</t>
    </r>
  </si>
  <si>
    <r>
      <t xml:space="preserve"> </t>
    </r>
    <r>
      <rPr>
        <i/>
        <sz val="10"/>
        <rFont val="Times New Roman CE"/>
        <charset val="238"/>
      </rPr>
      <t>Egyéb építmények értékesítése</t>
    </r>
  </si>
  <si>
    <t>Budapest Főváros II. Kerületi Önkormányzat  2017. évi költségvetésének bevételi előirányzatai és teljesítései</t>
  </si>
  <si>
    <t>3. sz. tábla a  / 2018. (         )</t>
  </si>
  <si>
    <t>Budapest Főváros II. kerületi Önkormányzat 2017.évi maradvány kimutatása</t>
  </si>
  <si>
    <t>Budapest Főváros II. kerületi Önkormányzat Költségvetési szerveinek 2017. évi maradvány kimutatása</t>
  </si>
  <si>
    <t>fejlesztése</t>
  </si>
  <si>
    <t>2. sz. tábla a    / 2018.(         )</t>
  </si>
  <si>
    <t>Budapest Főváros II. Kerületi Önkormányzat  2017. évi költségvetésének kiadási előirányzatai és teljesítései</t>
  </si>
  <si>
    <t>1. sz. tábla a   / 2018. (        )</t>
  </si>
  <si>
    <t>Budapest Főváros II. Kerületi Önkormányzat 2017. évi költségvetési mérlege</t>
  </si>
  <si>
    <t>Közép-Budai Tankerületi Központ</t>
  </si>
  <si>
    <t>Polgármester támogatásértékű működési kiadásai</t>
  </si>
  <si>
    <t>Jó Pásztor Nővérek Kongregációja - családok átmeneti éllátására</t>
  </si>
  <si>
    <t>SUPPORT Alapítvány - pszichiátriai betegek nappali ellátására</t>
  </si>
  <si>
    <t>Fogadj örökbe egy közterületet!</t>
  </si>
  <si>
    <t>Polgármester támogatása non-profit és civil szervezeteknek</t>
  </si>
  <si>
    <t>Alpolgármester támogatása non-profit és civil szervezeteknek</t>
  </si>
  <si>
    <t>Bursa Hungarica támogatáskezelő: felsőokt-ban tanulók ösztöndíja</t>
  </si>
  <si>
    <t>9. sz. tábla a     / 2018. (        )</t>
  </si>
  <si>
    <t>Budapest Főváros II.kerületi Önkormányzat 2017. évi költségvetésében tervezett</t>
  </si>
  <si>
    <t xml:space="preserve">Előző évi fel nem használt visszafizetett támogatás </t>
  </si>
  <si>
    <t>Család és Gyermekjóléti Központnál drogprevenciós, szabadidős programok tám.</t>
  </si>
  <si>
    <t>Bursa Hungarica támogatáskezelő visszautalása (nem folyósított ösztöndíjak)</t>
  </si>
  <si>
    <t>Nemzetiségi önkormányzattól kapott támogatás -  óvodáknak</t>
  </si>
  <si>
    <t>Támogatásértékű működési bevétel NEAK-tól - háziorvosi ügyeletre</t>
  </si>
  <si>
    <t>Támogatásértékű működési bevétel NEAK-tól - járóbeteg szakellátásra</t>
  </si>
  <si>
    <t>Lakás megváltáshoz kapcsolódó elmaradt karb-i munkálatok megtérítése</t>
  </si>
  <si>
    <t>10. sz. tábla a     / 2018. (        )</t>
  </si>
  <si>
    <t>Budai Irgalmasrendi Kórház</t>
  </si>
  <si>
    <t>Aprónép Alapítvány a Gyermekek Megsegítésére</t>
  </si>
  <si>
    <t>11. sz. tábla a     / 2018. (        )</t>
  </si>
  <si>
    <t>Budapest Főváros  II. Kerületi Önkormányzat  2017. évi költségvetésében tervezett</t>
  </si>
  <si>
    <t>Pályázaton elnyert beruh.c. támogatás 
KEHOP-5.2.9 Épületenergetikai pály.tám.</t>
  </si>
  <si>
    <t>Pályázaton elnyert beruh.c. támogatás 
GZR-D-Ö-2016 Elektromos autó vásárláshoz kapott pály.tám.</t>
  </si>
  <si>
    <t>Pályázaton elnyert beruh.c. támogatás 
Közlekedésbiztonsági és kerékpáros-barát fejlesztések Budapest II. kerületében - VEKOP-5.3.1-15-2016-00003</t>
  </si>
  <si>
    <t>Önk. által adott támogatás fel nem használt része
II. Kerületi Sport és Szabadidősport Nonprofit Kft-től</t>
  </si>
  <si>
    <t>12. sz. tábla a     / 2018. (        )</t>
  </si>
  <si>
    <t>Budapest Főváros II. Kerületi Önkormányzat  2017. évi költségvetésében tervezett</t>
  </si>
  <si>
    <t>13. sz. tábla a   / 2018. (        )</t>
  </si>
  <si>
    <t>Budapest Főváros II. Kerületi Önkormányzat  2017. évi költségvetésében</t>
  </si>
  <si>
    <t>Rét u. 3. felújítása</t>
  </si>
  <si>
    <t>Iskolai intézményi étkeztetés</t>
  </si>
  <si>
    <t>Margit krt 7. - klímaberendezés telepítése -tervezés</t>
  </si>
  <si>
    <t>Frankel L. u. 7-9. kazáncsere, fűtési rendszer korszerűsítése</t>
  </si>
  <si>
    <t>Közterület Felügyelet elhelyezése</t>
  </si>
  <si>
    <t>Margit krt 7. - nyílászáró csere</t>
  </si>
  <si>
    <t>Margit krt 7. - klímaberendezés telepítése - tervezés</t>
  </si>
  <si>
    <t>Okt-i int-k műk., fejl. - átmeneti időszakra</t>
  </si>
  <si>
    <t>Iskolák előző évi garanciális visszatartása</t>
  </si>
  <si>
    <t>Hangszerek felújítása</t>
  </si>
  <si>
    <t>Okt-i int-k műk., fejl. - átmeneti időszakra összesen:</t>
  </si>
  <si>
    <t>PH.Mechwart liget 1. - Ablak csere lépcsőház, mosdók</t>
  </si>
  <si>
    <t>PH.Mechwart liget 1. - ereszcsatorna felújítás tervezési díj</t>
  </si>
  <si>
    <t>PH.Mechwart liget 1. -Szerverszoba antisztatikus padlóburkolat készítése</t>
  </si>
  <si>
    <t>14. sz. tábla a   / 2018. (        )</t>
  </si>
  <si>
    <t>Budapest Főváros II.Kerületi Önkormányzat 2017. évi felújítási előirányzatai és teljesítései jogcímenként</t>
  </si>
  <si>
    <t>Margit park felújítása</t>
  </si>
  <si>
    <t xml:space="preserve">Vérhalom tér fejlesztése </t>
  </si>
  <si>
    <t>Cseppkő u.-Zöldkő u. játszótér rekonstrukció</t>
  </si>
  <si>
    <t>Zsigmond téri játszótér fejlesztése</t>
  </si>
  <si>
    <t>Zöldsávok fejlesztése utak mentén</t>
  </si>
  <si>
    <t xml:space="preserve">VEKOP-5.3.1 Közlekedésbizt.és kerékpáros-barát fejlesztések pályázat </t>
  </si>
  <si>
    <t>Tematikus játszótér kialakítása a Vérhalom téren</t>
  </si>
  <si>
    <t>Templom utcai parkoló</t>
  </si>
  <si>
    <t>Kolozsvár utcai parkoló</t>
  </si>
  <si>
    <t>TÉR-KÖZ_Adyliget Park fejlesztése</t>
  </si>
  <si>
    <t>Fenyves park fejlesztése</t>
  </si>
  <si>
    <t>II. Bécsi út 17-21.  szivattyú csere</t>
  </si>
  <si>
    <t>Rét utcai háziorvosi rendelő - várótermi székek</t>
  </si>
  <si>
    <t>Rét utcai háziorvosi rendelő - informatikai beruházás</t>
  </si>
  <si>
    <t>Egészségközpont</t>
  </si>
  <si>
    <t>Energetikai pályázatok KEHOP-5.2.9 -16-2016-00096</t>
  </si>
  <si>
    <t>Kadarka u. 1-3. Óvoda - kivitelezési tervek VEKOP-6.1.1-15. pályázathoz</t>
  </si>
  <si>
    <t>Bolyai Óvoda beruházása -műszaki ellenőrzés</t>
  </si>
  <si>
    <t>Uszoda és tanmedence Pesthidegkút - Közlekedés fejlesztése</t>
  </si>
  <si>
    <t>Uszoda és tanmedence Pesthidegkút - tájépítészeti koncepcióterv</t>
  </si>
  <si>
    <t>Eszközbeszerzés étkeztetés lebonyolításához</t>
  </si>
  <si>
    <t>IGI kezelésében lévő beruházási keret</t>
  </si>
  <si>
    <t>Margit krt 7. - szellőző rendszer kialakítása - szakvélemény</t>
  </si>
  <si>
    <t>Meglévő részesedések növelése (Sport Kft.)</t>
  </si>
  <si>
    <t>KDNP Frakció beruházása</t>
  </si>
  <si>
    <t>Véka utcai temető kocepcióterve</t>
  </si>
  <si>
    <t>Járóbeteg ellátás fejlesztése</t>
  </si>
  <si>
    <t>Frankel Leó út 80-82. Összevont Egészségügyi Szolgálat Rendelőintézet</t>
  </si>
  <si>
    <t>Járóbeteg ellátás fejlesztése összesen:</t>
  </si>
  <si>
    <t>Polgármesteri Hivatal klímaberendezés telepítése II. emelet - tervezés</t>
  </si>
  <si>
    <t>Fénymásoló és kieg. vásárlás</t>
  </si>
  <si>
    <t>Parkolási csoport bútor beszerzés</t>
  </si>
  <si>
    <t>Polgármesteri Hivatal -  Áramvételezési hely kiépítése - elosztó szekrény</t>
  </si>
  <si>
    <t>Polgármesteri Hivatal - klímaberendezés cseréje 409. szobában</t>
  </si>
  <si>
    <t>Polgármesteri Hivatal - tervezési munkák</t>
  </si>
  <si>
    <t>Polgármesteri Hivatal - új irodák kialakításának tervezése és kivitelezése</t>
  </si>
  <si>
    <t>Polgármesteri Hivatal -  új irodák kialakítását megelőző bontási munkálatok</t>
  </si>
  <si>
    <t>15. sz. tábla a   / 2018. (        )</t>
  </si>
  <si>
    <t>Budapest Főváros II.Kerületi Önkormányzat 2017. évi beruházási előirányzatai és teljesítései jogcímenként</t>
  </si>
  <si>
    <t>Polgármesteri Hiv. Főépülete mellett  elektromos töltőállomás beszerzése, telepitése</t>
  </si>
  <si>
    <t>Közcélú foglalkoztatás kiegészítő tartaléka</t>
  </si>
  <si>
    <t>16. sz. tábla a     /2018. (        )</t>
  </si>
  <si>
    <t xml:space="preserve"> 2017. évi tartalékainak előirányzatai</t>
  </si>
  <si>
    <t xml:space="preserve">2017. évi </t>
  </si>
  <si>
    <t>6. sz. tábla a    /2018. (         )</t>
  </si>
  <si>
    <t xml:space="preserve">Budapest Főváros II. Kerületi Önkormányzat irányítása alá tartozó gazdasági szervezettel nem rendelkező költségvetési szervek 2017. évi kiadási előirányzatai és létszámadatai </t>
  </si>
  <si>
    <t xml:space="preserve">Érvényes </t>
  </si>
  <si>
    <t>Család és Gyermekjóléti Központ</t>
  </si>
  <si>
    <t>7. sz. tábla a    /2018. (         )</t>
  </si>
  <si>
    <t xml:space="preserve">Budapest Főváros II. Kerületi Önkormányzat irányítása alá tartozó gazdasági szervezettel nem rendelkező költségvetési szervek 2017. évi bevételi előirányzatai </t>
  </si>
  <si>
    <t xml:space="preserve">Érványes </t>
  </si>
  <si>
    <t xml:space="preserve"> 8. sz. tábla a    /2018. (         )</t>
  </si>
  <si>
    <t>Budapest Főváros II. Kerületi Önkormányzat irányítása alá tartozó gazdasági szervezettel nem rendelkező költségvetési szervek 2017. évi céljellegű kiadási előirányzatai</t>
  </si>
  <si>
    <t>2017. évi céljellegű kiadások</t>
  </si>
  <si>
    <t>14. sz. tábla a   /2018. (             )</t>
  </si>
  <si>
    <t>2017.évi</t>
  </si>
  <si>
    <t>Dolgozói vizesblokk felújítása</t>
  </si>
  <si>
    <t>Bejárati járda teljes felújítása esővíz elvezetéssel</t>
  </si>
  <si>
    <t>Máriaremetei út 185. tagóvoda nyílászáró cseréjének garanciális visszatartása</t>
  </si>
  <si>
    <t>Érmelléki u.12. tagóvoda nyílászáró csere</t>
  </si>
  <si>
    <t>Mosogató bútorlap acéllemezre váltása</t>
  </si>
  <si>
    <t>Erőd utcai keleti épületrész felújításának garanciális visszatartása</t>
  </si>
  <si>
    <t>ÉNO, Gondozási központok, Család és Gyermekjóléti Központ összesen: (a+…+e)</t>
  </si>
  <si>
    <t>Balatonfenyvesi üdölő nyílászáró csere</t>
  </si>
  <si>
    <t>Balatonfenyvesi tábor nyílászárók cseréjének garanciális visszatartása</t>
  </si>
  <si>
    <t>15. sz. tábla a   /2018. (             )</t>
  </si>
  <si>
    <t>Radiátorvédők kialakítása</t>
  </si>
  <si>
    <t>Homlokzat hőszigetelése, padló csere, radiátorvédő, padlóvédő beszerzése</t>
  </si>
  <si>
    <t>Csapadékvíz elvezetés</t>
  </si>
  <si>
    <t>Udvari játszóeszközök, óriás homokozó kialakítása,udvari szemetesek beszerzése</t>
  </si>
  <si>
    <t>Udvarfejlesztés, udvari játékok beszerzése</t>
  </si>
  <si>
    <t>Fa tárolópolcok, gyerek asztalok, székek beszerzése</t>
  </si>
  <si>
    <t>Tag óvodában gumitéglázás, udvari játékok beszerzése</t>
  </si>
  <si>
    <t xml:space="preserve">Udvari játszóeszközök, csoportszoba bútorok, tároló faház kialakítása </t>
  </si>
  <si>
    <t>Gyerek asztalok, székek , udvari játékok beszerzése</t>
  </si>
  <si>
    <t>Gumiburkolat kialakítása, udvari mozgásfejlesztő eszközök beszerzése</t>
  </si>
  <si>
    <t>Logopédus speciális tükör, tárgyaló asztal, székek beszerzése</t>
  </si>
  <si>
    <t>Gumitéglázás, műfű kialakítása</t>
  </si>
  <si>
    <t>2 db Ipari mosógép, 1 db ipari vasaló, árnyékoló beszerzés</t>
  </si>
  <si>
    <t>Új szerver beszerzés</t>
  </si>
  <si>
    <t>Óvodai, Bölcsődei játszóeszközök, udvari bútorok, támfalak pótlása</t>
  </si>
  <si>
    <t>Bolyai Utcai Óvoda - játszóudvar kialakítása, pormentesítése</t>
  </si>
  <si>
    <t>Gesztenyéskert Óvoda -műfűves tornapálya kialakítása</t>
  </si>
  <si>
    <t>Közsségház Utcai tagóvoda- radiátor takaró elemek készítése</t>
  </si>
  <si>
    <t>Szemlőhegy Utcai Óvoda- kazán csere</t>
  </si>
  <si>
    <t>Törökvész Óvoda- folyósó burkolása, tároló faház kialakítása</t>
  </si>
  <si>
    <t>Virág árok Óvoda-biztonsági korlát, kézmosó kialakítása</t>
  </si>
  <si>
    <t>Csapadékvíz elvezetés és játszókert kialakítása intézményeknél</t>
  </si>
  <si>
    <t>Óvodáknak - hulladék tároló beszerzése</t>
  </si>
  <si>
    <t>Virág árok Óvoda-tetőszigetelés</t>
  </si>
  <si>
    <t>Szemlőhegy Utcai Óvoda- játszóeszközök beszerzése</t>
  </si>
  <si>
    <t>Krause-kompakt kombinált biztonsági doboz</t>
  </si>
  <si>
    <t>Teleajtós hűtő</t>
  </si>
  <si>
    <t>Személygépkocsi beszerzés</t>
  </si>
  <si>
    <t>SA-7 Hordozható szűrőaudiométer beszerzés 3 db</t>
  </si>
  <si>
    <t>Fül-orr-gégészet - orvosi lámpa beszerzése</t>
  </si>
  <si>
    <t>BEMER készülék - Henger utcai Fizikoterápia</t>
  </si>
  <si>
    <t>Olympus videoendoszkóp-Gasztroenteorológia</t>
  </si>
  <si>
    <t>Radiológiai rendszer korszerűsítése - Tölgyfa u Tüdőgondozó</t>
  </si>
  <si>
    <t>Nagyfrekvenciás sebészeti vágó, koagulátor - Tölgyfa utcai Bőrgondozó</t>
  </si>
  <si>
    <t>4 db magzati szívhang vizsgáló berendezés védőnők részére</t>
  </si>
  <si>
    <t>Pszichiátriai rendelő kialakítás - Ürömi utca</t>
  </si>
  <si>
    <t>17. sz. tábla a     /2018. (        )</t>
  </si>
  <si>
    <t>Államháztartáson belüli megelőlegezés</t>
  </si>
  <si>
    <t>Államháztartáson belüli megelőlegezés visszafizetése</t>
  </si>
  <si>
    <t>FIDESZ frakció támogatása non-profit szervezeteknek</t>
  </si>
  <si>
    <t>4. sz. tábla 7. oldal</t>
  </si>
  <si>
    <t>ÉNO, Gondozási központok, Család és Gyermekjóléti Központ összesen: 
(a+…+e)</t>
  </si>
  <si>
    <t>Gazdasági szervezettel nem rendelkező költségvetési szervek összesen: 
(1+2+3+4)</t>
  </si>
  <si>
    <t>Községház Utcai óvoda külső gázszerelés</t>
  </si>
  <si>
    <t>17. sz. tábla 2. oldal a     /2018. (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</si>
</sst>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H_U_F_-;\-* #,##0.00\ _H_U_F_-;_-* &quot;-&quot;??\ _H_U_F_-;_-@_-"/>
    <numFmt numFmtId="164" formatCode="0.0"/>
    <numFmt numFmtId="165" formatCode="#,##0.0"/>
    <numFmt numFmtId="166" formatCode="yyyy/mm/dd;@"/>
    <numFmt numFmtId="167" formatCode="#,##0.000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Arial CE"/>
      <charset val="238"/>
    </font>
    <font>
      <b/>
      <sz val="9"/>
      <name val="Times New Roman CE"/>
      <family val="1"/>
      <charset val="238"/>
    </font>
    <font>
      <u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8.5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family val="1"/>
      <charset val="238"/>
    </font>
    <font>
      <i/>
      <sz val="12"/>
      <name val="Arial CE"/>
      <charset val="238"/>
    </font>
    <font>
      <sz val="9"/>
      <name val="Arial CE"/>
      <charset val="238"/>
    </font>
    <font>
      <sz val="9"/>
      <name val="MS Sans Serif"/>
      <family val="2"/>
      <charset val="238"/>
    </font>
    <font>
      <b/>
      <u/>
      <sz val="12"/>
      <name val="Times New Roman CE"/>
      <family val="1"/>
      <charset val="238"/>
    </font>
    <font>
      <i/>
      <sz val="12"/>
      <name val="MS Sans Serif"/>
      <charset val="238"/>
    </font>
    <font>
      <b/>
      <i/>
      <sz val="12"/>
      <name val="MS Sans Serif"/>
      <charset val="238"/>
    </font>
    <font>
      <sz val="11"/>
      <name val="Times New Roman CE"/>
      <charset val="238"/>
    </font>
    <font>
      <sz val="14"/>
      <name val="Times New Roman CE"/>
      <charset val="238"/>
    </font>
    <font>
      <i/>
      <u/>
      <sz val="10"/>
      <name val="Times New Roman CE"/>
      <charset val="238"/>
    </font>
    <font>
      <i/>
      <sz val="12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i/>
      <sz val="11"/>
      <name val="Times New Roman CE"/>
      <family val="1"/>
      <charset val="238"/>
    </font>
    <font>
      <sz val="9"/>
      <name val="Times New Roman CE"/>
      <charset val="238"/>
    </font>
    <font>
      <b/>
      <u/>
      <sz val="12"/>
      <name val="Times New Roman CE"/>
      <charset val="238"/>
    </font>
    <font>
      <sz val="9"/>
      <name val="Arial"/>
      <family val="2"/>
      <charset val="238"/>
    </font>
    <font>
      <b/>
      <i/>
      <sz val="9"/>
      <name val="Times New Roman CE"/>
      <charset val="238"/>
    </font>
    <font>
      <b/>
      <i/>
      <sz val="11"/>
      <name val="Times New Roman CE"/>
      <charset val="238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Times New Roman CE"/>
      <charset val="238"/>
    </font>
    <font>
      <sz val="8"/>
      <color indexed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</font>
    <font>
      <b/>
      <sz val="13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color indexed="8"/>
      <name val="Times New Roman CE"/>
      <charset val="238"/>
    </font>
    <font>
      <i/>
      <sz val="9"/>
      <name val="Times New Roman CE"/>
      <family val="1"/>
      <charset val="238"/>
    </font>
    <font>
      <b/>
      <i/>
      <u/>
      <sz val="10"/>
      <name val="Times New Roman CE"/>
      <charset val="238"/>
    </font>
    <font>
      <b/>
      <sz val="13"/>
      <name val="Times New Roman CE"/>
      <charset val="238"/>
    </font>
    <font>
      <b/>
      <i/>
      <sz val="13"/>
      <name val="Times New Roman CE"/>
      <charset val="238"/>
    </font>
    <font>
      <sz val="13"/>
      <name val="Times New Roman CE"/>
      <charset val="238"/>
    </font>
    <font>
      <b/>
      <sz val="10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color indexed="10"/>
      <name val="Times New Roman"/>
      <family val="1"/>
    </font>
    <font>
      <b/>
      <sz val="14"/>
      <name val="Times New Roman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MS Sans Serif"/>
      <charset val="238"/>
    </font>
    <font>
      <i/>
      <sz val="13"/>
      <name val="Times New Roman CE"/>
      <family val="1"/>
      <charset val="238"/>
    </font>
    <font>
      <i/>
      <sz val="13"/>
      <name val="MS Sans Serif"/>
      <charset val="238"/>
    </font>
    <font>
      <i/>
      <sz val="11"/>
      <name val="Times New Roman CE"/>
      <charset val="238"/>
    </font>
    <font>
      <b/>
      <sz val="14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i/>
      <sz val="10"/>
      <name val="Arial Unicode MS"/>
      <family val="2"/>
      <charset val="238"/>
    </font>
    <font>
      <sz val="8"/>
      <color indexed="10"/>
      <name val="Times New Roman"/>
      <family val="1"/>
      <charset val="238"/>
    </font>
    <font>
      <b/>
      <sz val="13"/>
      <color indexed="9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3"/>
      <name val="Times New Roman"/>
      <family val="1"/>
      <charset val="238"/>
    </font>
    <font>
      <sz val="12"/>
      <color rgb="FFFF0000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</borders>
  <cellStyleXfs count="40">
    <xf numFmtId="0" fontId="0" fillId="0" borderId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5" borderId="0" applyNumberFormat="0" applyBorder="0" applyAlignment="0" applyProtection="0"/>
    <xf numFmtId="0" fontId="61" fillId="9" borderId="0" applyNumberFormat="0" applyBorder="0" applyAlignment="0" applyProtection="0"/>
    <xf numFmtId="0" fontId="61" fillId="12" borderId="0" applyNumberFormat="0" applyBorder="0" applyAlignment="0" applyProtection="0"/>
    <xf numFmtId="0" fontId="62" fillId="14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8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63" fillId="7" borderId="1" applyNumberFormat="0" applyAlignment="0" applyProtection="0"/>
    <xf numFmtId="0" fontId="64" fillId="0" borderId="0" applyNumberFormat="0" applyFill="0" applyBorder="0" applyAlignment="0" applyProtection="0"/>
    <xf numFmtId="0" fontId="65" fillId="0" borderId="2" applyNumberFormat="0" applyFill="0" applyAlignment="0" applyProtection="0"/>
    <xf numFmtId="0" fontId="66" fillId="0" borderId="3" applyNumberFormat="0" applyFill="0" applyAlignment="0" applyProtection="0"/>
    <xf numFmtId="0" fontId="67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8" fillId="16" borderId="5" applyNumberFormat="0" applyAlignment="0" applyProtection="0"/>
    <xf numFmtId="0" fontId="69" fillId="0" borderId="0" applyNumberFormat="0" applyFill="0" applyBorder="0" applyAlignment="0" applyProtection="0"/>
    <xf numFmtId="0" fontId="70" fillId="0" borderId="6" applyNumberFormat="0" applyFill="0" applyAlignment="0" applyProtection="0"/>
    <xf numFmtId="0" fontId="1" fillId="17" borderId="7" applyNumberFormat="0" applyFont="0" applyAlignment="0" applyProtection="0"/>
    <xf numFmtId="0" fontId="71" fillId="4" borderId="0" applyNumberFormat="0" applyBorder="0" applyAlignment="0" applyProtection="0"/>
    <xf numFmtId="0" fontId="72" fillId="18" borderId="8" applyNumberFormat="0" applyAlignment="0" applyProtection="0"/>
    <xf numFmtId="0" fontId="73" fillId="0" borderId="0" applyNumberFormat="0" applyFill="0" applyBorder="0" applyAlignment="0" applyProtection="0"/>
    <xf numFmtId="0" fontId="84" fillId="0" borderId="0"/>
    <xf numFmtId="0" fontId="1" fillId="0" borderId="0"/>
    <xf numFmtId="0" fontId="84" fillId="0" borderId="0"/>
    <xf numFmtId="0" fontId="74" fillId="0" borderId="9" applyNumberFormat="0" applyFill="0" applyAlignment="0" applyProtection="0"/>
    <xf numFmtId="0" fontId="75" fillId="3" borderId="0" applyNumberFormat="0" applyBorder="0" applyAlignment="0" applyProtection="0"/>
    <xf numFmtId="0" fontId="76" fillId="19" borderId="0" applyNumberFormat="0" applyBorder="0" applyAlignment="0" applyProtection="0"/>
    <xf numFmtId="0" fontId="77" fillId="18" borderId="1" applyNumberFormat="0" applyAlignment="0" applyProtection="0"/>
    <xf numFmtId="43" fontId="1" fillId="0" borderId="0" applyFont="0" applyFill="0" applyBorder="0" applyAlignment="0" applyProtection="0"/>
  </cellStyleXfs>
  <cellXfs count="2444">
    <xf numFmtId="0" fontId="0" fillId="0" borderId="0" xfId="0"/>
    <xf numFmtId="0" fontId="4" fillId="2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2" fillId="21" borderId="10" xfId="0" applyFont="1" applyFill="1" applyBorder="1"/>
    <xf numFmtId="3" fontId="2" fillId="21" borderId="0" xfId="0" applyNumberFormat="1" applyFont="1" applyFill="1"/>
    <xf numFmtId="0" fontId="2" fillId="21" borderId="11" xfId="0" applyFont="1" applyFill="1" applyBorder="1"/>
    <xf numFmtId="3" fontId="3" fillId="0" borderId="0" xfId="0" applyNumberFormat="1" applyFont="1" applyFill="1" applyBorder="1"/>
    <xf numFmtId="0" fontId="2" fillId="21" borderId="0" xfId="0" applyFont="1" applyFill="1"/>
    <xf numFmtId="0" fontId="4" fillId="21" borderId="0" xfId="0" applyFont="1" applyFill="1"/>
    <xf numFmtId="0" fontId="2" fillId="21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3" fillId="21" borderId="0" xfId="0" applyFont="1" applyFill="1"/>
    <xf numFmtId="0" fontId="2" fillId="21" borderId="12" xfId="0" applyFont="1" applyFill="1" applyBorder="1"/>
    <xf numFmtId="0" fontId="2" fillId="21" borderId="0" xfId="0" applyFont="1" applyFill="1" applyAlignment="1">
      <alignment horizontal="centerContinuous"/>
    </xf>
    <xf numFmtId="0" fontId="2" fillId="21" borderId="0" xfId="0" applyFont="1" applyFill="1" applyAlignment="1">
      <alignment wrapText="1"/>
    </xf>
    <xf numFmtId="0" fontId="2" fillId="21" borderId="13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0" fontId="2" fillId="21" borderId="14" xfId="0" applyFont="1" applyFill="1" applyBorder="1" applyAlignment="1">
      <alignment horizontal="center"/>
    </xf>
    <xf numFmtId="0" fontId="2" fillId="21" borderId="12" xfId="0" applyFont="1" applyFill="1" applyBorder="1" applyAlignment="1">
      <alignment horizontal="center"/>
    </xf>
    <xf numFmtId="0" fontId="5" fillId="21" borderId="15" xfId="0" applyFont="1" applyFill="1" applyBorder="1" applyAlignment="1">
      <alignment horizontal="left"/>
    </xf>
    <xf numFmtId="0" fontId="3" fillId="21" borderId="12" xfId="0" applyFont="1" applyFill="1" applyBorder="1" applyAlignment="1">
      <alignment horizontal="center"/>
    </xf>
    <xf numFmtId="0" fontId="2" fillId="21" borderId="16" xfId="0" applyFont="1" applyFill="1" applyBorder="1" applyAlignment="1">
      <alignment horizontal="center"/>
    </xf>
    <xf numFmtId="0" fontId="2" fillId="21" borderId="17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21" borderId="0" xfId="0" applyFont="1" applyFill="1" applyBorder="1" applyAlignment="1">
      <alignment horizontal="center"/>
    </xf>
    <xf numFmtId="0" fontId="2" fillId="21" borderId="0" xfId="0" applyFont="1" applyFill="1" applyBorder="1" applyAlignment="1">
      <alignment horizontal="left"/>
    </xf>
    <xf numFmtId="0" fontId="2" fillId="0" borderId="0" xfId="0" applyFont="1" applyAlignment="1"/>
    <xf numFmtId="0" fontId="19" fillId="21" borderId="18" xfId="0" applyFont="1" applyFill="1" applyBorder="1" applyAlignment="1">
      <alignment horizontal="center"/>
    </xf>
    <xf numFmtId="0" fontId="19" fillId="21" borderId="12" xfId="0" applyFont="1" applyFill="1" applyBorder="1" applyAlignment="1">
      <alignment horizontal="center"/>
    </xf>
    <xf numFmtId="0" fontId="4" fillId="21" borderId="16" xfId="0" applyFont="1" applyFill="1" applyBorder="1" applyAlignment="1">
      <alignment horizontal="center"/>
    </xf>
    <xf numFmtId="0" fontId="4" fillId="21" borderId="18" xfId="0" applyFont="1" applyFill="1" applyBorder="1" applyAlignment="1">
      <alignment horizontal="center"/>
    </xf>
    <xf numFmtId="0" fontId="19" fillId="21" borderId="19" xfId="0" applyFont="1" applyFill="1" applyBorder="1" applyAlignment="1">
      <alignment horizontal="center"/>
    </xf>
    <xf numFmtId="0" fontId="19" fillId="21" borderId="20" xfId="0" applyFont="1" applyFill="1" applyBorder="1" applyAlignment="1">
      <alignment vertical="center"/>
    </xf>
    <xf numFmtId="0" fontId="4" fillId="21" borderId="10" xfId="0" applyFont="1" applyFill="1" applyBorder="1"/>
    <xf numFmtId="0" fontId="4" fillId="21" borderId="13" xfId="0" applyFont="1" applyFill="1" applyBorder="1" applyAlignment="1">
      <alignment horizontal="center"/>
    </xf>
    <xf numFmtId="0" fontId="4" fillId="21" borderId="11" xfId="0" applyFont="1" applyFill="1" applyBorder="1"/>
    <xf numFmtId="0" fontId="4" fillId="21" borderId="0" xfId="0" applyFont="1" applyFill="1" applyBorder="1" applyAlignment="1">
      <alignment horizontal="left"/>
    </xf>
    <xf numFmtId="0" fontId="4" fillId="21" borderId="21" xfId="0" applyFont="1" applyFill="1" applyBorder="1" applyAlignment="1">
      <alignment horizontal="left"/>
    </xf>
    <xf numFmtId="0" fontId="4" fillId="21" borderId="0" xfId="0" applyFont="1" applyFill="1" applyAlignment="1">
      <alignment horizontal="center"/>
    </xf>
    <xf numFmtId="0" fontId="20" fillId="21" borderId="0" xfId="0" applyFont="1" applyFill="1"/>
    <xf numFmtId="0" fontId="19" fillId="21" borderId="0" xfId="0" applyFont="1" applyFill="1" applyAlignment="1">
      <alignment horizontal="centerContinuous"/>
    </xf>
    <xf numFmtId="0" fontId="19" fillId="21" borderId="0" xfId="0" applyFont="1" applyFill="1" applyBorder="1" applyAlignment="1">
      <alignment horizontal="centerContinuous"/>
    </xf>
    <xf numFmtId="0" fontId="4" fillId="21" borderId="0" xfId="0" applyFont="1" applyFill="1" applyAlignment="1"/>
    <xf numFmtId="0" fontId="4" fillId="21" borderId="0" xfId="0" applyFont="1" applyFill="1" applyBorder="1"/>
    <xf numFmtId="0" fontId="13" fillId="0" borderId="0" xfId="0" applyFont="1"/>
    <xf numFmtId="0" fontId="2" fillId="21" borderId="0" xfId="0" applyFont="1" applyFill="1" applyBorder="1" applyAlignment="1">
      <alignment wrapText="1"/>
    </xf>
    <xf numFmtId="0" fontId="11" fillId="21" borderId="0" xfId="0" applyFont="1" applyFill="1"/>
    <xf numFmtId="0" fontId="3" fillId="21" borderId="22" xfId="0" applyFont="1" applyFill="1" applyBorder="1" applyAlignment="1">
      <alignment wrapText="1"/>
    </xf>
    <xf numFmtId="0" fontId="2" fillId="21" borderId="0" xfId="0" applyFont="1" applyFill="1" applyBorder="1" applyAlignment="1"/>
    <xf numFmtId="0" fontId="2" fillId="0" borderId="21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center"/>
    </xf>
    <xf numFmtId="3" fontId="2" fillId="20" borderId="17" xfId="0" applyNumberFormat="1" applyFont="1" applyFill="1" applyBorder="1" applyAlignment="1">
      <alignment horizontal="right"/>
    </xf>
    <xf numFmtId="0" fontId="5" fillId="21" borderId="0" xfId="0" applyFont="1" applyFill="1" applyBorder="1" applyAlignment="1">
      <alignment horizontal="left"/>
    </xf>
    <xf numFmtId="0" fontId="12" fillId="21" borderId="0" xfId="0" applyFont="1" applyFill="1" applyBorder="1" applyAlignment="1">
      <alignment horizontal="left"/>
    </xf>
    <xf numFmtId="0" fontId="11" fillId="21" borderId="17" xfId="0" applyFont="1" applyFill="1" applyBorder="1"/>
    <xf numFmtId="3" fontId="2" fillId="21" borderId="21" xfId="0" applyNumberFormat="1" applyFont="1" applyFill="1" applyBorder="1" applyAlignment="1">
      <alignment horizontal="right"/>
    </xf>
    <xf numFmtId="3" fontId="2" fillId="20" borderId="21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3" fontId="2" fillId="21" borderId="21" xfId="0" applyNumberFormat="1" applyFont="1" applyFill="1" applyBorder="1" applyAlignment="1">
      <alignment horizontal="right" wrapText="1"/>
    </xf>
    <xf numFmtId="0" fontId="4" fillId="21" borderId="23" xfId="0" applyFont="1" applyFill="1" applyBorder="1" applyAlignment="1">
      <alignment horizontal="center"/>
    </xf>
    <xf numFmtId="0" fontId="18" fillId="21" borderId="0" xfId="0" applyFont="1" applyFill="1" applyBorder="1" applyAlignment="1">
      <alignment horizontal="left"/>
    </xf>
    <xf numFmtId="0" fontId="4" fillId="21" borderId="24" xfId="0" applyFont="1" applyFill="1" applyBorder="1" applyAlignment="1">
      <alignment horizontal="left"/>
    </xf>
    <xf numFmtId="0" fontId="4" fillId="21" borderId="25" xfId="0" applyFont="1" applyFill="1" applyBorder="1" applyAlignment="1">
      <alignment horizontal="center"/>
    </xf>
    <xf numFmtId="0" fontId="4" fillId="21" borderId="26" xfId="0" applyFont="1" applyFill="1" applyBorder="1" applyAlignment="1">
      <alignment horizontal="center"/>
    </xf>
    <xf numFmtId="0" fontId="4" fillId="21" borderId="17" xfId="0" applyFont="1" applyFill="1" applyBorder="1" applyAlignment="1">
      <alignment horizontal="left"/>
    </xf>
    <xf numFmtId="0" fontId="18" fillId="21" borderId="21" xfId="0" applyFont="1" applyFill="1" applyBorder="1" applyAlignment="1">
      <alignment horizontal="left"/>
    </xf>
    <xf numFmtId="3" fontId="4" fillId="21" borderId="21" xfId="0" applyNumberFormat="1" applyFont="1" applyFill="1" applyBorder="1" applyAlignment="1">
      <alignment horizontal="right"/>
    </xf>
    <xf numFmtId="3" fontId="2" fillId="21" borderId="17" xfId="0" applyNumberFormat="1" applyFont="1" applyFill="1" applyBorder="1" applyAlignment="1">
      <alignment horizontal="right"/>
    </xf>
    <xf numFmtId="0" fontId="5" fillId="21" borderId="21" xfId="0" applyFont="1" applyFill="1" applyBorder="1" applyAlignment="1">
      <alignment horizontal="left"/>
    </xf>
    <xf numFmtId="0" fontId="19" fillId="20" borderId="10" xfId="0" applyFont="1" applyFill="1" applyBorder="1" applyAlignment="1">
      <alignment horizontal="center"/>
    </xf>
    <xf numFmtId="3" fontId="4" fillId="20" borderId="21" xfId="0" applyNumberFormat="1" applyFont="1" applyFill="1" applyBorder="1"/>
    <xf numFmtId="3" fontId="4" fillId="20" borderId="23" xfId="0" applyNumberFormat="1" applyFont="1" applyFill="1" applyBorder="1"/>
    <xf numFmtId="3" fontId="4" fillId="20" borderId="0" xfId="0" applyNumberFormat="1" applyFont="1" applyFill="1"/>
    <xf numFmtId="3" fontId="4" fillId="20" borderId="27" xfId="0" applyNumberFormat="1" applyFont="1" applyFill="1" applyBorder="1"/>
    <xf numFmtId="3" fontId="4" fillId="20" borderId="26" xfId="0" applyNumberFormat="1" applyFont="1" applyFill="1" applyBorder="1"/>
    <xf numFmtId="3" fontId="2" fillId="20" borderId="15" xfId="0" applyNumberFormat="1" applyFont="1" applyFill="1" applyBorder="1" applyAlignment="1">
      <alignment horizontal="right"/>
    </xf>
    <xf numFmtId="0" fontId="0" fillId="0" borderId="0" xfId="0" applyFill="1"/>
    <xf numFmtId="0" fontId="22" fillId="21" borderId="0" xfId="0" applyFont="1" applyFill="1"/>
    <xf numFmtId="3" fontId="19" fillId="20" borderId="21" xfId="0" applyNumberFormat="1" applyFont="1" applyFill="1" applyBorder="1"/>
    <xf numFmtId="3" fontId="2" fillId="0" borderId="17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21" borderId="17" xfId="0" applyFont="1" applyFill="1" applyBorder="1" applyAlignment="1">
      <alignment horizontal="left"/>
    </xf>
    <xf numFmtId="3" fontId="2" fillId="21" borderId="21" xfId="0" applyNumberFormat="1" applyFont="1" applyFill="1" applyBorder="1" applyAlignment="1">
      <alignment wrapText="1"/>
    </xf>
    <xf numFmtId="3" fontId="3" fillId="21" borderId="28" xfId="0" applyNumberFormat="1" applyFont="1" applyFill="1" applyBorder="1" applyAlignment="1">
      <alignment wrapText="1"/>
    </xf>
    <xf numFmtId="0" fontId="11" fillId="21" borderId="21" xfId="0" applyFont="1" applyFill="1" applyBorder="1"/>
    <xf numFmtId="3" fontId="21" fillId="21" borderId="21" xfId="0" applyNumberFormat="1" applyFont="1" applyFill="1" applyBorder="1" applyAlignment="1">
      <alignment horizontal="right" wrapText="1"/>
    </xf>
    <xf numFmtId="3" fontId="2" fillId="21" borderId="17" xfId="0" applyNumberFormat="1" applyFont="1" applyFill="1" applyBorder="1" applyAlignment="1">
      <alignment horizontal="right" wrapText="1"/>
    </xf>
    <xf numFmtId="3" fontId="2" fillId="20" borderId="0" xfId="0" applyNumberFormat="1" applyFont="1" applyFill="1" applyBorder="1" applyAlignment="1">
      <alignment horizontal="right"/>
    </xf>
    <xf numFmtId="0" fontId="2" fillId="20" borderId="0" xfId="0" applyFont="1" applyFill="1" applyBorder="1" applyAlignment="1">
      <alignment horizontal="right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9" fillId="0" borderId="0" xfId="0" applyFont="1" applyFill="1" applyAlignment="1">
      <alignment horizontal="center" wrapText="1"/>
    </xf>
    <xf numFmtId="0" fontId="2" fillId="0" borderId="10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Continuous"/>
    </xf>
    <xf numFmtId="0" fontId="2" fillId="0" borderId="33" xfId="0" applyNumberFormat="1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Continuous"/>
    </xf>
    <xf numFmtId="0" fontId="2" fillId="0" borderId="35" xfId="0" applyNumberFormat="1" applyFont="1" applyFill="1" applyBorder="1" applyAlignment="1">
      <alignment horizontal="centerContinuous"/>
    </xf>
    <xf numFmtId="0" fontId="2" fillId="0" borderId="34" xfId="0" applyNumberFormat="1" applyFont="1" applyFill="1" applyBorder="1" applyAlignment="1"/>
    <xf numFmtId="0" fontId="2" fillId="0" borderId="35" xfId="0" applyNumberFormat="1" applyFont="1" applyFill="1" applyBorder="1" applyAlignment="1"/>
    <xf numFmtId="0" fontId="6" fillId="0" borderId="1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ill="1" applyBorder="1"/>
    <xf numFmtId="0" fontId="29" fillId="0" borderId="0" xfId="0" applyFont="1" applyFill="1"/>
    <xf numFmtId="0" fontId="26" fillId="0" borderId="0" xfId="0" applyFont="1" applyFill="1"/>
    <xf numFmtId="0" fontId="33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34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3" fontId="29" fillId="0" borderId="0" xfId="0" applyNumberFormat="1" applyFont="1" applyFill="1"/>
    <xf numFmtId="0" fontId="26" fillId="0" borderId="22" xfId="0" applyFont="1" applyFill="1" applyBorder="1"/>
    <xf numFmtId="0" fontId="31" fillId="0" borderId="22" xfId="0" applyFont="1" applyFill="1" applyBorder="1"/>
    <xf numFmtId="0" fontId="31" fillId="0" borderId="0" xfId="0" applyFont="1" applyFill="1"/>
    <xf numFmtId="0" fontId="30" fillId="0" borderId="37" xfId="0" applyFont="1" applyFill="1" applyBorder="1"/>
    <xf numFmtId="0" fontId="29" fillId="0" borderId="33" xfId="0" applyFont="1" applyFill="1" applyBorder="1"/>
    <xf numFmtId="3" fontId="29" fillId="0" borderId="33" xfId="0" applyNumberFormat="1" applyFont="1" applyFill="1" applyBorder="1"/>
    <xf numFmtId="3" fontId="26" fillId="0" borderId="33" xfId="0" applyNumberFormat="1" applyFont="1" applyFill="1" applyBorder="1"/>
    <xf numFmtId="0" fontId="29" fillId="0" borderId="0" xfId="0" applyFont="1" applyFill="1" applyBorder="1"/>
    <xf numFmtId="3" fontId="29" fillId="0" borderId="0" xfId="0" applyNumberFormat="1" applyFont="1" applyFill="1" applyBorder="1"/>
    <xf numFmtId="3" fontId="26" fillId="0" borderId="0" xfId="0" applyNumberFormat="1" applyFont="1" applyFill="1" applyBorder="1"/>
    <xf numFmtId="4" fontId="3" fillId="0" borderId="38" xfId="0" applyNumberFormat="1" applyFont="1" applyFill="1" applyBorder="1" applyAlignment="1">
      <alignment horizontal="right" wrapText="1"/>
    </xf>
    <xf numFmtId="0" fontId="0" fillId="21" borderId="0" xfId="0" applyFill="1"/>
    <xf numFmtId="0" fontId="2" fillId="0" borderId="0" xfId="0" applyFont="1" applyAlignment="1">
      <alignment horizontal="right"/>
    </xf>
    <xf numFmtId="0" fontId="8" fillId="21" borderId="39" xfId="0" applyFont="1" applyFill="1" applyBorder="1" applyAlignment="1">
      <alignment horizontal="center"/>
    </xf>
    <xf numFmtId="0" fontId="33" fillId="0" borderId="4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1" borderId="0" xfId="0" applyFont="1" applyFill="1" applyAlignment="1">
      <alignment horizontal="right"/>
    </xf>
    <xf numFmtId="0" fontId="2" fillId="21" borderId="29" xfId="0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/>
    </xf>
    <xf numFmtId="0" fontId="2" fillId="21" borderId="30" xfId="0" applyFont="1" applyFill="1" applyBorder="1" applyAlignment="1">
      <alignment horizontal="center"/>
    </xf>
    <xf numFmtId="0" fontId="2" fillId="21" borderId="41" xfId="0" applyFont="1" applyFill="1" applyBorder="1" applyAlignment="1">
      <alignment horizontal="center"/>
    </xf>
    <xf numFmtId="0" fontId="3" fillId="21" borderId="18" xfId="0" applyFont="1" applyFill="1" applyBorder="1" applyAlignment="1">
      <alignment horizontal="center"/>
    </xf>
    <xf numFmtId="0" fontId="12" fillId="21" borderId="24" xfId="0" applyFont="1" applyFill="1" applyBorder="1" applyAlignment="1">
      <alignment horizontal="left"/>
    </xf>
    <xf numFmtId="3" fontId="12" fillId="21" borderId="17" xfId="0" applyNumberFormat="1" applyFont="1" applyFill="1" applyBorder="1" applyAlignment="1">
      <alignment horizontal="right"/>
    </xf>
    <xf numFmtId="3" fontId="12" fillId="21" borderId="21" xfId="0" applyNumberFormat="1" applyFont="1" applyFill="1" applyBorder="1" applyAlignment="1">
      <alignment horizontal="right"/>
    </xf>
    <xf numFmtId="3" fontId="11" fillId="21" borderId="17" xfId="0" applyNumberFormat="1" applyFont="1" applyFill="1" applyBorder="1" applyAlignment="1">
      <alignment horizontal="right"/>
    </xf>
    <xf numFmtId="3" fontId="11" fillId="21" borderId="21" xfId="0" applyNumberFormat="1" applyFont="1" applyFill="1" applyBorder="1" applyAlignment="1">
      <alignment horizontal="right"/>
    </xf>
    <xf numFmtId="3" fontId="2" fillId="21" borderId="0" xfId="0" applyNumberFormat="1" applyFont="1" applyFill="1" applyBorder="1" applyAlignment="1">
      <alignment horizontal="right"/>
    </xf>
    <xf numFmtId="3" fontId="2" fillId="21" borderId="15" xfId="0" applyNumberFormat="1" applyFont="1" applyFill="1" applyBorder="1" applyAlignment="1">
      <alignment horizontal="right"/>
    </xf>
    <xf numFmtId="0" fontId="17" fillId="21" borderId="19" xfId="0" applyFont="1" applyFill="1" applyBorder="1" applyAlignment="1">
      <alignment horizontal="center"/>
    </xf>
    <xf numFmtId="0" fontId="17" fillId="21" borderId="20" xfId="0" applyFont="1" applyFill="1" applyBorder="1" applyAlignment="1">
      <alignment vertical="center"/>
    </xf>
    <xf numFmtId="0" fontId="2" fillId="21" borderId="23" xfId="0" applyFont="1" applyFill="1" applyBorder="1" applyAlignment="1">
      <alignment horizontal="center"/>
    </xf>
    <xf numFmtId="3" fontId="21" fillId="21" borderId="30" xfId="0" applyNumberFormat="1" applyFont="1" applyFill="1" applyBorder="1" applyAlignment="1">
      <alignment horizontal="right" wrapText="1"/>
    </xf>
    <xf numFmtId="4" fontId="2" fillId="0" borderId="30" xfId="0" applyNumberFormat="1" applyFont="1" applyFill="1" applyBorder="1" applyAlignment="1">
      <alignment horizontal="right" wrapTex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0" fontId="6" fillId="0" borderId="0" xfId="0" applyFont="1" applyFill="1" applyBorder="1" applyAlignment="1"/>
    <xf numFmtId="3" fontId="10" fillId="0" borderId="0" xfId="0" applyNumberFormat="1" applyFont="1" applyFill="1" applyBorder="1" applyAlignment="1">
      <alignment horizontal="left"/>
    </xf>
    <xf numFmtId="0" fontId="22" fillId="21" borderId="0" xfId="0" applyFont="1" applyFill="1" applyBorder="1"/>
    <xf numFmtId="0" fontId="41" fillId="21" borderId="0" xfId="0" applyFont="1" applyFill="1" applyBorder="1"/>
    <xf numFmtId="0" fontId="41" fillId="21" borderId="0" xfId="0" applyFont="1" applyFill="1"/>
    <xf numFmtId="0" fontId="22" fillId="21" borderId="35" xfId="0" applyFont="1" applyFill="1" applyBorder="1"/>
    <xf numFmtId="0" fontId="1" fillId="20" borderId="0" xfId="0" applyFont="1" applyFill="1"/>
    <xf numFmtId="0" fontId="2" fillId="21" borderId="0" xfId="0" applyFont="1" applyFill="1" applyBorder="1" applyAlignment="1">
      <alignment horizontal="left" indent="3"/>
    </xf>
    <xf numFmtId="0" fontId="2" fillId="21" borderId="35" xfId="0" applyFont="1" applyFill="1" applyBorder="1" applyAlignment="1"/>
    <xf numFmtId="0" fontId="6" fillId="21" borderId="0" xfId="0" applyFont="1" applyFill="1"/>
    <xf numFmtId="0" fontId="2" fillId="21" borderId="41" xfId="0" applyFont="1" applyFill="1" applyBorder="1" applyAlignment="1"/>
    <xf numFmtId="0" fontId="2" fillId="21" borderId="42" xfId="0" applyFont="1" applyFill="1" applyBorder="1" applyAlignment="1">
      <alignment horizontal="center"/>
    </xf>
    <xf numFmtId="0" fontId="6" fillId="21" borderId="0" xfId="0" applyFont="1" applyFill="1" applyAlignment="1">
      <alignment horizontal="left"/>
    </xf>
    <xf numFmtId="0" fontId="0" fillId="21" borderId="0" xfId="0" applyFill="1" applyBorder="1"/>
    <xf numFmtId="0" fontId="42" fillId="21" borderId="0" xfId="0" applyFont="1" applyFill="1" applyBorder="1"/>
    <xf numFmtId="0" fontId="43" fillId="21" borderId="0" xfId="0" applyFont="1" applyFill="1" applyBorder="1"/>
    <xf numFmtId="0" fontId="10" fillId="21" borderId="0" xfId="0" applyFont="1" applyFill="1" applyBorder="1"/>
    <xf numFmtId="0" fontId="10" fillId="21" borderId="43" xfId="0" applyFont="1" applyFill="1" applyBorder="1"/>
    <xf numFmtId="0" fontId="10" fillId="21" borderId="44" xfId="0" applyFont="1" applyFill="1" applyBorder="1"/>
    <xf numFmtId="0" fontId="10" fillId="21" borderId="45" xfId="0" applyFont="1" applyFill="1" applyBorder="1"/>
    <xf numFmtId="0" fontId="10" fillId="21" borderId="25" xfId="0" applyFont="1" applyFill="1" applyBorder="1"/>
    <xf numFmtId="0" fontId="10" fillId="21" borderId="12" xfId="0" applyFont="1" applyFill="1" applyBorder="1" applyAlignment="1">
      <alignment horizontal="center"/>
    </xf>
    <xf numFmtId="0" fontId="10" fillId="21" borderId="21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38" fillId="21" borderId="21" xfId="0" applyFont="1" applyFill="1" applyBorder="1" applyAlignment="1">
      <alignment horizontal="center"/>
    </xf>
    <xf numFmtId="0" fontId="38" fillId="21" borderId="15" xfId="0" applyFont="1" applyFill="1" applyBorder="1" applyAlignment="1">
      <alignment horizontal="center"/>
    </xf>
    <xf numFmtId="0" fontId="38" fillId="21" borderId="23" xfId="0" applyFont="1" applyFill="1" applyBorder="1" applyAlignment="1">
      <alignment horizontal="center"/>
    </xf>
    <xf numFmtId="0" fontId="10" fillId="21" borderId="0" xfId="0" applyFont="1" applyFill="1" applyBorder="1" applyAlignment="1">
      <alignment horizontal="center"/>
    </xf>
    <xf numFmtId="0" fontId="10" fillId="21" borderId="18" xfId="0" applyFont="1" applyFill="1" applyBorder="1" applyAlignment="1">
      <alignment horizontal="center"/>
    </xf>
    <xf numFmtId="0" fontId="10" fillId="21" borderId="41" xfId="0" applyFont="1" applyFill="1" applyBorder="1" applyAlignment="1">
      <alignment horizontal="center"/>
    </xf>
    <xf numFmtId="0" fontId="10" fillId="21" borderId="46" xfId="0" applyFont="1" applyFill="1" applyBorder="1" applyAlignment="1">
      <alignment horizontal="center"/>
    </xf>
    <xf numFmtId="0" fontId="10" fillId="21" borderId="24" xfId="0" applyFont="1" applyFill="1" applyBorder="1" applyAlignment="1">
      <alignment horizontal="center"/>
    </xf>
    <xf numFmtId="0" fontId="10" fillId="21" borderId="47" xfId="0" applyFont="1" applyFill="1" applyBorder="1" applyAlignment="1">
      <alignment horizontal="center"/>
    </xf>
    <xf numFmtId="0" fontId="38" fillId="21" borderId="41" xfId="0" applyFont="1" applyFill="1" applyBorder="1" applyAlignment="1">
      <alignment horizontal="center"/>
    </xf>
    <xf numFmtId="0" fontId="38" fillId="21" borderId="46" xfId="0" applyFont="1" applyFill="1" applyBorder="1" applyAlignment="1">
      <alignment horizontal="center"/>
    </xf>
    <xf numFmtId="0" fontId="38" fillId="21" borderId="48" xfId="0" applyFont="1" applyFill="1" applyBorder="1" applyAlignment="1">
      <alignment horizontal="center"/>
    </xf>
    <xf numFmtId="0" fontId="6" fillId="21" borderId="49" xfId="0" applyFont="1" applyFill="1" applyBorder="1" applyAlignment="1">
      <alignment horizontal="center"/>
    </xf>
    <xf numFmtId="0" fontId="6" fillId="21" borderId="28" xfId="0" applyFont="1" applyFill="1" applyBorder="1" applyAlignment="1">
      <alignment horizontal="center"/>
    </xf>
    <xf numFmtId="0" fontId="38" fillId="21" borderId="38" xfId="0" applyFont="1" applyFill="1" applyBorder="1" applyAlignment="1">
      <alignment horizontal="center"/>
    </xf>
    <xf numFmtId="0" fontId="0" fillId="21" borderId="16" xfId="0" applyFill="1" applyBorder="1"/>
    <xf numFmtId="3" fontId="0" fillId="21" borderId="16" xfId="0" applyNumberFormat="1" applyFill="1" applyBorder="1"/>
    <xf numFmtId="3" fontId="10" fillId="21" borderId="16" xfId="0" applyNumberFormat="1" applyFont="1" applyFill="1" applyBorder="1"/>
    <xf numFmtId="0" fontId="0" fillId="21" borderId="24" xfId="0" applyFill="1" applyBorder="1"/>
    <xf numFmtId="0" fontId="6" fillId="21" borderId="0" xfId="0" applyFont="1" applyFill="1" applyBorder="1" applyAlignment="1" applyProtection="1">
      <protection locked="0" hidden="1"/>
    </xf>
    <xf numFmtId="0" fontId="10" fillId="21" borderId="0" xfId="0" applyFont="1" applyFill="1" applyBorder="1" applyAlignment="1" applyProtection="1">
      <protection locked="0" hidden="1"/>
    </xf>
    <xf numFmtId="0" fontId="10" fillId="21" borderId="32" xfId="0" applyFont="1" applyFill="1" applyBorder="1" applyProtection="1">
      <protection locked="0" hidden="1"/>
    </xf>
    <xf numFmtId="0" fontId="10" fillId="21" borderId="16" xfId="0" applyFont="1" applyFill="1" applyBorder="1" applyProtection="1">
      <protection locked="0" hidden="1"/>
    </xf>
    <xf numFmtId="0" fontId="10" fillId="21" borderId="0" xfId="0" applyFont="1" applyFill="1" applyBorder="1" applyProtection="1">
      <protection locked="0" hidden="1"/>
    </xf>
    <xf numFmtId="0" fontId="10" fillId="21" borderId="21" xfId="0" applyFont="1" applyFill="1" applyBorder="1" applyProtection="1">
      <protection locked="0" hidden="1"/>
    </xf>
    <xf numFmtId="0" fontId="10" fillId="21" borderId="17" xfId="0" applyFont="1" applyFill="1" applyBorder="1" applyAlignment="1" applyProtection="1">
      <alignment horizontal="center"/>
      <protection locked="0" hidden="1"/>
    </xf>
    <xf numFmtId="0" fontId="10" fillId="21" borderId="0" xfId="0" applyFont="1" applyFill="1" applyBorder="1" applyAlignment="1" applyProtection="1">
      <alignment horizontal="center"/>
      <protection locked="0" hidden="1"/>
    </xf>
    <xf numFmtId="0" fontId="10" fillId="21" borderId="12" xfId="0" applyFont="1" applyFill="1" applyBorder="1" applyProtection="1">
      <protection locked="0" hidden="1"/>
    </xf>
    <xf numFmtId="0" fontId="10" fillId="21" borderId="41" xfId="0" applyFont="1" applyFill="1" applyBorder="1" applyProtection="1">
      <protection locked="0" hidden="1"/>
    </xf>
    <xf numFmtId="0" fontId="10" fillId="21" borderId="24" xfId="0" applyFont="1" applyFill="1" applyBorder="1" applyProtection="1">
      <protection locked="0" hidden="1"/>
    </xf>
    <xf numFmtId="0" fontId="10" fillId="21" borderId="36" xfId="0" applyFont="1" applyFill="1" applyBorder="1" applyAlignment="1" applyProtection="1">
      <alignment horizontal="center"/>
      <protection locked="0" hidden="1"/>
    </xf>
    <xf numFmtId="0" fontId="10" fillId="21" borderId="50" xfId="0" applyFont="1" applyFill="1" applyBorder="1" applyAlignment="1" applyProtection="1">
      <alignment horizontal="center"/>
      <protection locked="0" hidden="1"/>
    </xf>
    <xf numFmtId="3" fontId="10" fillId="21" borderId="21" xfId="0" applyNumberFormat="1" applyFont="1" applyFill="1" applyBorder="1" applyProtection="1">
      <protection locked="0" hidden="1"/>
    </xf>
    <xf numFmtId="3" fontId="10" fillId="21" borderId="30" xfId="0" applyNumberFormat="1" applyFont="1" applyFill="1" applyBorder="1" applyProtection="1">
      <protection locked="0" hidden="1"/>
    </xf>
    <xf numFmtId="3" fontId="0" fillId="21" borderId="0" xfId="0" applyNumberFormat="1" applyFill="1"/>
    <xf numFmtId="0" fontId="44" fillId="21" borderId="0" xfId="0" applyFont="1" applyFill="1" applyBorder="1"/>
    <xf numFmtId="0" fontId="4" fillId="21" borderId="0" xfId="0" applyFont="1" applyFill="1" applyBorder="1" applyAlignment="1">
      <alignment horizontal="right"/>
    </xf>
    <xf numFmtId="3" fontId="4" fillId="21" borderId="12" xfId="0" applyNumberFormat="1" applyFont="1" applyFill="1" applyBorder="1"/>
    <xf numFmtId="3" fontId="4" fillId="21" borderId="17" xfId="0" applyNumberFormat="1" applyFont="1" applyFill="1" applyBorder="1" applyAlignment="1">
      <alignment horizontal="center"/>
    </xf>
    <xf numFmtId="3" fontId="4" fillId="21" borderId="15" xfId="0" applyNumberFormat="1" applyFont="1" applyFill="1" applyBorder="1" applyAlignment="1">
      <alignment horizontal="center"/>
    </xf>
    <xf numFmtId="3" fontId="4" fillId="21" borderId="51" xfId="0" applyNumberFormat="1" applyFont="1" applyFill="1" applyBorder="1" applyAlignment="1">
      <alignment horizontal="center"/>
    </xf>
    <xf numFmtId="3" fontId="4" fillId="21" borderId="52" xfId="0" applyNumberFormat="1" applyFont="1" applyFill="1" applyBorder="1" applyAlignment="1">
      <alignment horizontal="center"/>
    </xf>
    <xf numFmtId="3" fontId="4" fillId="21" borderId="51" xfId="0" applyNumberFormat="1" applyFont="1" applyFill="1" applyBorder="1"/>
    <xf numFmtId="3" fontId="4" fillId="21" borderId="53" xfId="0" applyNumberFormat="1" applyFont="1" applyFill="1" applyBorder="1"/>
    <xf numFmtId="3" fontId="4" fillId="21" borderId="12" xfId="0" applyNumberFormat="1" applyFont="1" applyFill="1" applyBorder="1" applyAlignment="1">
      <alignment horizontal="center"/>
    </xf>
    <xf numFmtId="3" fontId="4" fillId="21" borderId="17" xfId="0" applyNumberFormat="1" applyFont="1" applyFill="1" applyBorder="1"/>
    <xf numFmtId="3" fontId="4" fillId="21" borderId="23" xfId="0" applyNumberFormat="1" applyFont="1" applyFill="1" applyBorder="1"/>
    <xf numFmtId="3" fontId="4" fillId="21" borderId="23" xfId="0" applyNumberFormat="1" applyFont="1" applyFill="1" applyBorder="1" applyAlignment="1">
      <alignment horizontal="center"/>
    </xf>
    <xf numFmtId="3" fontId="4" fillId="21" borderId="15" xfId="0" applyNumberFormat="1" applyFont="1" applyFill="1" applyBorder="1"/>
    <xf numFmtId="3" fontId="4" fillId="21" borderId="18" xfId="0" applyNumberFormat="1" applyFont="1" applyFill="1" applyBorder="1"/>
    <xf numFmtId="3" fontId="4" fillId="21" borderId="47" xfId="0" applyNumberFormat="1" applyFont="1" applyFill="1" applyBorder="1"/>
    <xf numFmtId="3" fontId="4" fillId="21" borderId="46" xfId="0" applyNumberFormat="1" applyFont="1" applyFill="1" applyBorder="1"/>
    <xf numFmtId="3" fontId="4" fillId="21" borderId="54" xfId="0" applyNumberFormat="1" applyFont="1" applyFill="1" applyBorder="1" applyAlignment="1">
      <alignment horizontal="center"/>
    </xf>
    <xf numFmtId="3" fontId="4" fillId="21" borderId="55" xfId="0" applyNumberFormat="1" applyFont="1" applyFill="1" applyBorder="1" applyAlignment="1">
      <alignment horizontal="center"/>
    </xf>
    <xf numFmtId="3" fontId="4" fillId="21" borderId="0" xfId="0" applyNumberFormat="1" applyFont="1" applyFill="1" applyBorder="1" applyAlignment="1">
      <alignment horizontal="center"/>
    </xf>
    <xf numFmtId="3" fontId="4" fillId="21" borderId="53" xfId="0" applyNumberFormat="1" applyFont="1" applyFill="1" applyBorder="1" applyAlignment="1">
      <alignment horizontal="center"/>
    </xf>
    <xf numFmtId="3" fontId="4" fillId="21" borderId="16" xfId="0" applyNumberFormat="1" applyFont="1" applyFill="1" applyBorder="1"/>
    <xf numFmtId="0" fontId="22" fillId="21" borderId="15" xfId="0" applyFont="1" applyFill="1" applyBorder="1" applyAlignment="1">
      <alignment horizontal="center"/>
    </xf>
    <xf numFmtId="3" fontId="4" fillId="21" borderId="0" xfId="0" applyNumberFormat="1" applyFont="1" applyFill="1" applyBorder="1"/>
    <xf numFmtId="0" fontId="22" fillId="21" borderId="0" xfId="0" applyFont="1" applyFill="1" applyBorder="1" applyAlignment="1">
      <alignment horizontal="center"/>
    </xf>
    <xf numFmtId="0" fontId="40" fillId="21" borderId="0" xfId="0" applyFont="1" applyFill="1" applyBorder="1"/>
    <xf numFmtId="0" fontId="45" fillId="21" borderId="0" xfId="0" applyFont="1" applyFill="1" applyBorder="1"/>
    <xf numFmtId="3" fontId="40" fillId="21" borderId="16" xfId="0" applyNumberFormat="1" applyFont="1" applyFill="1" applyBorder="1"/>
    <xf numFmtId="0" fontId="22" fillId="21" borderId="23" xfId="0" applyFont="1" applyFill="1" applyBorder="1" applyAlignment="1">
      <alignment horizontal="center"/>
    </xf>
    <xf numFmtId="3" fontId="40" fillId="21" borderId="17" xfId="0" applyNumberFormat="1" applyFont="1" applyFill="1" applyBorder="1" applyAlignment="1">
      <alignment horizontal="center"/>
    </xf>
    <xf numFmtId="0" fontId="45" fillId="21" borderId="0" xfId="0" applyFont="1" applyFill="1" applyBorder="1" applyAlignment="1">
      <alignment horizontal="center"/>
    </xf>
    <xf numFmtId="0" fontId="45" fillId="21" borderId="23" xfId="0" applyFont="1" applyFill="1" applyBorder="1" applyAlignment="1">
      <alignment horizontal="center"/>
    </xf>
    <xf numFmtId="0" fontId="18" fillId="21" borderId="0" xfId="0" applyFont="1" applyFill="1"/>
    <xf numFmtId="0" fontId="46" fillId="21" borderId="0" xfId="0" applyFont="1" applyFill="1"/>
    <xf numFmtId="0" fontId="4" fillId="20" borderId="0" xfId="0" applyFont="1" applyFill="1" applyAlignment="1">
      <alignment horizontal="left"/>
    </xf>
    <xf numFmtId="0" fontId="4" fillId="20" borderId="56" xfId="0" applyFont="1" applyFill="1" applyBorder="1" applyAlignment="1">
      <alignment horizontal="center"/>
    </xf>
    <xf numFmtId="0" fontId="4" fillId="20" borderId="57" xfId="0" applyFont="1" applyFill="1" applyBorder="1" applyAlignment="1">
      <alignment horizontal="center"/>
    </xf>
    <xf numFmtId="0" fontId="4" fillId="20" borderId="40" xfId="0" applyFont="1" applyFill="1" applyBorder="1" applyAlignment="1">
      <alignment horizontal="center"/>
    </xf>
    <xf numFmtId="0" fontId="4" fillId="20" borderId="28" xfId="0" applyFont="1" applyFill="1" applyBorder="1" applyAlignment="1">
      <alignment horizontal="center" vertical="center"/>
    </xf>
    <xf numFmtId="0" fontId="4" fillId="20" borderId="38" xfId="0" applyFont="1" applyFill="1" applyBorder="1" applyAlignment="1">
      <alignment horizontal="center" vertical="center"/>
    </xf>
    <xf numFmtId="0" fontId="4" fillId="20" borderId="58" xfId="0" applyFont="1" applyFill="1" applyBorder="1" applyAlignment="1">
      <alignment horizontal="center" vertical="center"/>
    </xf>
    <xf numFmtId="0" fontId="4" fillId="20" borderId="0" xfId="0" applyFont="1" applyFill="1" applyAlignment="1">
      <alignment vertical="center"/>
    </xf>
    <xf numFmtId="0" fontId="4" fillId="20" borderId="28" xfId="0" applyFont="1" applyFill="1" applyBorder="1" applyAlignment="1">
      <alignment vertical="center"/>
    </xf>
    <xf numFmtId="0" fontId="4" fillId="20" borderId="38" xfId="0" applyFont="1" applyFill="1" applyBorder="1" applyAlignment="1">
      <alignment vertical="center"/>
    </xf>
    <xf numFmtId="0" fontId="4" fillId="20" borderId="50" xfId="0" applyFont="1" applyFill="1" applyBorder="1" applyAlignment="1">
      <alignment horizontal="center" vertical="center"/>
    </xf>
    <xf numFmtId="0" fontId="4" fillId="20" borderId="31" xfId="0" applyFont="1" applyFill="1" applyBorder="1" applyAlignment="1">
      <alignment horizontal="center" vertical="center"/>
    </xf>
    <xf numFmtId="0" fontId="4" fillId="20" borderId="55" xfId="0" applyFont="1" applyFill="1" applyBorder="1"/>
    <xf numFmtId="0" fontId="4" fillId="20" borderId="36" xfId="0" applyFont="1" applyFill="1" applyBorder="1"/>
    <xf numFmtId="0" fontId="4" fillId="20" borderId="53" xfId="0" applyFont="1" applyFill="1" applyBorder="1"/>
    <xf numFmtId="0" fontId="19" fillId="20" borderId="16" xfId="0" applyFont="1" applyFill="1" applyBorder="1"/>
    <xf numFmtId="0" fontId="4" fillId="20" borderId="21" xfId="0" applyFont="1" applyFill="1" applyBorder="1"/>
    <xf numFmtId="0" fontId="4" fillId="20" borderId="23" xfId="0" applyFont="1" applyFill="1" applyBorder="1"/>
    <xf numFmtId="0" fontId="4" fillId="20" borderId="16" xfId="0" applyFont="1" applyFill="1" applyBorder="1"/>
    <xf numFmtId="3" fontId="19" fillId="20" borderId="23" xfId="0" applyNumberFormat="1" applyFont="1" applyFill="1" applyBorder="1"/>
    <xf numFmtId="0" fontId="19" fillId="20" borderId="0" xfId="0" applyFont="1" applyFill="1"/>
    <xf numFmtId="0" fontId="4" fillId="20" borderId="59" xfId="0" applyFont="1" applyFill="1" applyBorder="1"/>
    <xf numFmtId="3" fontId="4" fillId="20" borderId="41" xfId="0" applyNumberFormat="1" applyFont="1" applyFill="1" applyBorder="1"/>
    <xf numFmtId="3" fontId="4" fillId="20" borderId="48" xfId="0" applyNumberFormat="1" applyFont="1" applyFill="1" applyBorder="1"/>
    <xf numFmtId="0" fontId="4" fillId="20" borderId="12" xfId="0" applyFont="1" applyFill="1" applyBorder="1"/>
    <xf numFmtId="0" fontId="4" fillId="20" borderId="34" xfId="0" applyFont="1" applyFill="1" applyBorder="1"/>
    <xf numFmtId="0" fontId="47" fillId="21" borderId="21" xfId="0" applyFont="1" applyFill="1" applyBorder="1" applyAlignment="1" applyProtection="1">
      <alignment horizontal="center"/>
      <protection locked="0" hidden="1"/>
    </xf>
    <xf numFmtId="0" fontId="39" fillId="21" borderId="21" xfId="0" applyFont="1" applyFill="1" applyBorder="1" applyAlignment="1" applyProtection="1">
      <alignment horizontal="center"/>
      <protection locked="0" hidden="1"/>
    </xf>
    <xf numFmtId="0" fontId="47" fillId="21" borderId="16" xfId="0" applyFont="1" applyFill="1" applyBorder="1" applyAlignment="1" applyProtection="1">
      <alignment horizontal="center"/>
      <protection locked="0" hidden="1"/>
    </xf>
    <xf numFmtId="0" fontId="10" fillId="21" borderId="60" xfId="0" applyFont="1" applyFill="1" applyBorder="1" applyAlignment="1" applyProtection="1">
      <protection locked="0" hidden="1"/>
    </xf>
    <xf numFmtId="0" fontId="0" fillId="21" borderId="33" xfId="0" applyFill="1" applyBorder="1" applyAlignment="1"/>
    <xf numFmtId="0" fontId="0" fillId="21" borderId="25" xfId="0" applyFill="1" applyBorder="1" applyAlignment="1"/>
    <xf numFmtId="0" fontId="0" fillId="21" borderId="45" xfId="0" applyFill="1" applyBorder="1" applyAlignment="1"/>
    <xf numFmtId="0" fontId="0" fillId="21" borderId="44" xfId="0" applyFill="1" applyBorder="1" applyAlignment="1"/>
    <xf numFmtId="0" fontId="47" fillId="21" borderId="49" xfId="0" applyFont="1" applyFill="1" applyBorder="1" applyAlignment="1" applyProtection="1">
      <alignment horizontal="center"/>
      <protection locked="0" hidden="1"/>
    </xf>
    <xf numFmtId="0" fontId="47" fillId="21" borderId="28" xfId="0" applyFont="1" applyFill="1" applyBorder="1" applyAlignment="1" applyProtection="1">
      <alignment horizontal="center"/>
      <protection locked="0" hidden="1"/>
    </xf>
    <xf numFmtId="0" fontId="47" fillId="21" borderId="38" xfId="0" applyFont="1" applyFill="1" applyBorder="1" applyAlignment="1" applyProtection="1">
      <alignment horizontal="center"/>
      <protection locked="0" hidden="1"/>
    </xf>
    <xf numFmtId="3" fontId="47" fillId="21" borderId="12" xfId="0" applyNumberFormat="1" applyFont="1" applyFill="1" applyBorder="1" applyProtection="1">
      <protection locked="0" hidden="1"/>
    </xf>
    <xf numFmtId="3" fontId="47" fillId="21" borderId="21" xfId="0" applyNumberFormat="1" applyFont="1" applyFill="1" applyBorder="1" applyProtection="1">
      <protection locked="0" hidden="1"/>
    </xf>
    <xf numFmtId="3" fontId="47" fillId="21" borderId="30" xfId="0" applyNumberFormat="1" applyFont="1" applyFill="1" applyBorder="1" applyProtection="1">
      <protection locked="0" hidden="1"/>
    </xf>
    <xf numFmtId="3" fontId="47" fillId="21" borderId="18" xfId="0" applyNumberFormat="1" applyFont="1" applyFill="1" applyBorder="1" applyProtection="1">
      <protection locked="0" hidden="1"/>
    </xf>
    <xf numFmtId="3" fontId="47" fillId="21" borderId="41" xfId="0" applyNumberFormat="1" applyFont="1" applyFill="1" applyBorder="1" applyProtection="1">
      <protection locked="0" hidden="1"/>
    </xf>
    <xf numFmtId="3" fontId="47" fillId="21" borderId="42" xfId="0" applyNumberFormat="1" applyFont="1" applyFill="1" applyBorder="1" applyProtection="1">
      <protection locked="0" hidden="1"/>
    </xf>
    <xf numFmtId="0" fontId="39" fillId="21" borderId="0" xfId="0" applyFont="1" applyFill="1" applyBorder="1" applyAlignment="1" applyProtection="1">
      <alignment horizontal="center"/>
      <protection locked="0" hidden="1"/>
    </xf>
    <xf numFmtId="0" fontId="39" fillId="21" borderId="47" xfId="0" applyFont="1" applyFill="1" applyBorder="1" applyAlignment="1" applyProtection="1">
      <alignment horizontal="center"/>
      <protection locked="0" hidden="1"/>
    </xf>
    <xf numFmtId="0" fontId="39" fillId="21" borderId="46" xfId="0" applyFont="1" applyFill="1" applyBorder="1" applyAlignment="1" applyProtection="1">
      <alignment horizontal="center"/>
      <protection locked="0" hidden="1"/>
    </xf>
    <xf numFmtId="0" fontId="39" fillId="21" borderId="16" xfId="0" applyFont="1" applyFill="1" applyBorder="1" applyAlignment="1" applyProtection="1">
      <alignment horizontal="center"/>
      <protection locked="0" hidden="1"/>
    </xf>
    <xf numFmtId="0" fontId="4" fillId="21" borderId="0" xfId="0" applyFont="1" applyFill="1" applyBorder="1" applyAlignment="1" applyProtection="1">
      <alignment horizontal="right"/>
      <protection locked="0" hidden="1"/>
    </xf>
    <xf numFmtId="0" fontId="39" fillId="21" borderId="23" xfId="0" applyFont="1" applyFill="1" applyBorder="1" applyAlignment="1" applyProtection="1">
      <alignment horizontal="center"/>
      <protection locked="0" hidden="1"/>
    </xf>
    <xf numFmtId="3" fontId="39" fillId="21" borderId="12" xfId="0" applyNumberFormat="1" applyFont="1" applyFill="1" applyBorder="1" applyProtection="1">
      <protection locked="0" hidden="1"/>
    </xf>
    <xf numFmtId="3" fontId="39" fillId="21" borderId="21" xfId="0" applyNumberFormat="1" applyFont="1" applyFill="1" applyBorder="1" applyProtection="1">
      <protection locked="0" hidden="1"/>
    </xf>
    <xf numFmtId="3" fontId="39" fillId="21" borderId="30" xfId="0" applyNumberFormat="1" applyFont="1" applyFill="1" applyBorder="1" applyProtection="1">
      <protection locked="0" hidden="1"/>
    </xf>
    <xf numFmtId="3" fontId="36" fillId="21" borderId="61" xfId="0" applyNumberFormat="1" applyFont="1" applyFill="1" applyBorder="1" applyAlignment="1" applyProtection="1">
      <alignment vertical="center"/>
      <protection locked="0" hidden="1"/>
    </xf>
    <xf numFmtId="3" fontId="36" fillId="21" borderId="27" xfId="0" applyNumberFormat="1" applyFont="1" applyFill="1" applyBorder="1" applyAlignment="1" applyProtection="1">
      <alignment vertical="center"/>
      <protection locked="0" hidden="1"/>
    </xf>
    <xf numFmtId="3" fontId="36" fillId="21" borderId="31" xfId="0" applyNumberFormat="1" applyFont="1" applyFill="1" applyBorder="1" applyAlignment="1" applyProtection="1">
      <alignment vertical="center"/>
      <protection locked="0" hidden="1"/>
    </xf>
    <xf numFmtId="0" fontId="2" fillId="21" borderId="0" xfId="0" applyFont="1" applyFill="1" applyBorder="1" applyAlignment="1">
      <alignment horizontal="right"/>
    </xf>
    <xf numFmtId="0" fontId="2" fillId="0" borderId="0" xfId="0" applyFont="1" applyFill="1" applyAlignment="1"/>
    <xf numFmtId="0" fontId="3" fillId="21" borderId="24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4" fillId="21" borderId="0" xfId="0" applyFont="1" applyFill="1" applyAlignment="1">
      <alignment horizontal="right"/>
    </xf>
    <xf numFmtId="0" fontId="6" fillId="21" borderId="0" xfId="0" applyFont="1" applyFill="1" applyAlignment="1">
      <alignment horizontal="right"/>
    </xf>
    <xf numFmtId="0" fontId="39" fillId="21" borderId="30" xfId="0" applyFont="1" applyFill="1" applyBorder="1" applyAlignment="1" applyProtection="1">
      <alignment horizontal="center"/>
      <protection locked="0" hidden="1"/>
    </xf>
    <xf numFmtId="0" fontId="4" fillId="21" borderId="23" xfId="0" applyFont="1" applyFill="1" applyBorder="1" applyAlignment="1">
      <alignment horizontal="center" vertical="center"/>
    </xf>
    <xf numFmtId="0" fontId="2" fillId="22" borderId="62" xfId="0" applyFont="1" applyFill="1" applyBorder="1" applyAlignment="1">
      <alignment horizontal="center"/>
    </xf>
    <xf numFmtId="0" fontId="2" fillId="22" borderId="63" xfId="0" applyFont="1" applyFill="1" applyBorder="1" applyAlignment="1">
      <alignment horizontal="center"/>
    </xf>
    <xf numFmtId="0" fontId="2" fillId="22" borderId="64" xfId="0" applyFont="1" applyFill="1" applyBorder="1"/>
    <xf numFmtId="0" fontId="2" fillId="0" borderId="64" xfId="0" applyFont="1" applyFill="1" applyBorder="1" applyAlignment="1">
      <alignment horizontal="left"/>
    </xf>
    <xf numFmtId="0" fontId="2" fillId="22" borderId="64" xfId="0" applyFont="1" applyFill="1" applyBorder="1" applyAlignment="1">
      <alignment horizontal="left"/>
    </xf>
    <xf numFmtId="0" fontId="2" fillId="22" borderId="64" xfId="0" applyFont="1" applyFill="1" applyBorder="1" applyAlignment="1">
      <alignment wrapText="1"/>
    </xf>
    <xf numFmtId="0" fontId="2" fillId="0" borderId="62" xfId="0" applyFont="1" applyBorder="1" applyAlignment="1">
      <alignment horizontal="center"/>
    </xf>
    <xf numFmtId="3" fontId="17" fillId="23" borderId="65" xfId="0" applyNumberFormat="1" applyFont="1" applyFill="1" applyBorder="1" applyAlignment="1">
      <alignment horizontal="right" vertical="center"/>
    </xf>
    <xf numFmtId="0" fontId="4" fillId="21" borderId="26" xfId="0" applyFont="1" applyFill="1" applyBorder="1" applyAlignment="1">
      <alignment horizontal="center" vertical="top"/>
    </xf>
    <xf numFmtId="0" fontId="2" fillId="21" borderId="66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21" borderId="36" xfId="0" applyFont="1" applyFill="1" applyBorder="1" applyAlignment="1">
      <alignment horizontal="center" wrapText="1"/>
    </xf>
    <xf numFmtId="3" fontId="2" fillId="21" borderId="21" xfId="0" applyNumberFormat="1" applyFont="1" applyFill="1" applyBorder="1" applyAlignment="1">
      <alignment vertical="center" wrapText="1"/>
    </xf>
    <xf numFmtId="3" fontId="3" fillId="21" borderId="41" xfId="0" applyNumberFormat="1" applyFont="1" applyFill="1" applyBorder="1" applyAlignment="1">
      <alignment horizontal="right" wrapText="1"/>
    </xf>
    <xf numFmtId="4" fontId="2" fillId="0" borderId="30" xfId="0" applyNumberFormat="1" applyFont="1" applyFill="1" applyBorder="1" applyAlignment="1">
      <alignment horizontal="right" vertical="center" wrapText="1"/>
    </xf>
    <xf numFmtId="3" fontId="2" fillId="22" borderId="0" xfId="0" applyNumberFormat="1" applyFont="1" applyFill="1" applyBorder="1"/>
    <xf numFmtId="0" fontId="24" fillId="22" borderId="62" xfId="0" applyFont="1" applyFill="1" applyBorder="1" applyAlignment="1">
      <alignment horizontal="center"/>
    </xf>
    <xf numFmtId="0" fontId="21" fillId="22" borderId="67" xfId="0" applyFont="1" applyFill="1" applyBorder="1" applyAlignment="1">
      <alignment wrapText="1"/>
    </xf>
    <xf numFmtId="0" fontId="2" fillId="22" borderId="67" xfId="0" applyFont="1" applyFill="1" applyBorder="1" applyAlignment="1">
      <alignment horizontal="left"/>
    </xf>
    <xf numFmtId="0" fontId="21" fillId="22" borderId="0" xfId="0" applyFont="1" applyFill="1"/>
    <xf numFmtId="0" fontId="2" fillId="22" borderId="0" xfId="0" applyFont="1" applyFill="1" applyBorder="1" applyAlignment="1"/>
    <xf numFmtId="3" fontId="8" fillId="20" borderId="21" xfId="0" applyNumberFormat="1" applyFont="1" applyFill="1" applyBorder="1" applyAlignment="1">
      <alignment horizontal="right"/>
    </xf>
    <xf numFmtId="3" fontId="8" fillId="21" borderId="21" xfId="0" applyNumberFormat="1" applyFont="1" applyFill="1" applyBorder="1" applyAlignment="1">
      <alignment horizontal="right" wrapText="1"/>
    </xf>
    <xf numFmtId="3" fontId="8" fillId="21" borderId="21" xfId="0" applyNumberFormat="1" applyFont="1" applyFill="1" applyBorder="1" applyAlignment="1">
      <alignment horizontal="right"/>
    </xf>
    <xf numFmtId="3" fontId="19" fillId="23" borderId="68" xfId="0" applyNumberFormat="1" applyFont="1" applyFill="1" applyBorder="1" applyAlignment="1">
      <alignment horizontal="right" vertical="center"/>
    </xf>
    <xf numFmtId="0" fontId="7" fillId="22" borderId="69" xfId="0" applyFont="1" applyFill="1" applyBorder="1" applyAlignment="1">
      <alignment horizontal="center"/>
    </xf>
    <xf numFmtId="0" fontId="36" fillId="22" borderId="70" xfId="0" applyFont="1" applyFill="1" applyBorder="1" applyAlignment="1">
      <alignment wrapText="1"/>
    </xf>
    <xf numFmtId="3" fontId="7" fillId="21" borderId="71" xfId="0" applyNumberFormat="1" applyFont="1" applyFill="1" applyBorder="1" applyAlignment="1">
      <alignment horizontal="right"/>
    </xf>
    <xf numFmtId="0" fontId="36" fillId="22" borderId="72" xfId="0" applyFont="1" applyFill="1" applyBorder="1" applyAlignment="1">
      <alignment horizontal="left"/>
    </xf>
    <xf numFmtId="3" fontId="36" fillId="23" borderId="41" xfId="0" applyNumberFormat="1" applyFont="1" applyFill="1" applyBorder="1" applyAlignment="1">
      <alignment horizontal="right"/>
    </xf>
    <xf numFmtId="4" fontId="36" fillId="0" borderId="42" xfId="0" applyNumberFormat="1" applyFont="1" applyFill="1" applyBorder="1"/>
    <xf numFmtId="0" fontId="8" fillId="0" borderId="21" xfId="0" applyFont="1" applyBorder="1"/>
    <xf numFmtId="3" fontId="3" fillId="0" borderId="28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3" xfId="0" applyFont="1" applyFill="1" applyBorder="1" applyAlignment="1">
      <alignment horizontal="center"/>
    </xf>
    <xf numFmtId="3" fontId="6" fillId="21" borderId="21" xfId="0" applyNumberFormat="1" applyFont="1" applyFill="1" applyBorder="1" applyAlignment="1">
      <alignment vertical="center"/>
    </xf>
    <xf numFmtId="3" fontId="7" fillId="22" borderId="0" xfId="0" applyNumberFormat="1" applyFont="1" applyFill="1" applyBorder="1" applyAlignment="1">
      <alignment vertical="center"/>
    </xf>
    <xf numFmtId="3" fontId="2" fillId="22" borderId="0" xfId="0" applyNumberFormat="1" applyFont="1" applyFill="1" applyBorder="1" applyAlignment="1">
      <alignment vertical="center"/>
    </xf>
    <xf numFmtId="3" fontId="2" fillId="22" borderId="0" xfId="0" applyNumberFormat="1" applyFont="1" applyFill="1"/>
    <xf numFmtId="3" fontId="9" fillId="0" borderId="0" xfId="0" applyNumberFormat="1" applyFont="1"/>
    <xf numFmtId="0" fontId="0" fillId="22" borderId="0" xfId="0" applyFont="1" applyFill="1" applyBorder="1" applyAlignment="1">
      <alignment horizontal="center"/>
    </xf>
    <xf numFmtId="0" fontId="0" fillId="22" borderId="0" xfId="0" applyFont="1" applyFill="1" applyBorder="1" applyAlignment="1">
      <alignment wrapText="1"/>
    </xf>
    <xf numFmtId="0" fontId="0" fillId="22" borderId="0" xfId="0" applyFont="1" applyFill="1" applyBorder="1"/>
    <xf numFmtId="0" fontId="2" fillId="22" borderId="0" xfId="0" applyFont="1" applyFill="1" applyBorder="1" applyAlignment="1">
      <alignment horizontal="center"/>
    </xf>
    <xf numFmtId="0" fontId="0" fillId="22" borderId="0" xfId="0" applyFill="1" applyBorder="1"/>
    <xf numFmtId="0" fontId="0" fillId="22" borderId="0" xfId="0" applyFont="1" applyFill="1" applyAlignment="1">
      <alignment horizontal="center"/>
    </xf>
    <xf numFmtId="0" fontId="0" fillId="22" borderId="0" xfId="0" applyFont="1" applyFill="1" applyAlignment="1">
      <alignment wrapText="1"/>
    </xf>
    <xf numFmtId="0" fontId="4" fillId="21" borderId="12" xfId="0" applyFont="1" applyFill="1" applyBorder="1" applyAlignment="1">
      <alignment horizontal="center" vertical="center"/>
    </xf>
    <xf numFmtId="0" fontId="4" fillId="21" borderId="0" xfId="0" applyFont="1" applyFill="1" applyBorder="1" applyAlignment="1">
      <alignment horizontal="left" vertical="center"/>
    </xf>
    <xf numFmtId="3" fontId="4" fillId="21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0" fontId="2" fillId="21" borderId="0" xfId="0" applyFont="1" applyFill="1" applyAlignment="1">
      <alignment vertical="center"/>
    </xf>
    <xf numFmtId="3" fontId="4" fillId="21" borderId="30" xfId="0" applyNumberFormat="1" applyFont="1" applyFill="1" applyBorder="1" applyAlignment="1">
      <alignment horizontal="right"/>
    </xf>
    <xf numFmtId="3" fontId="4" fillId="21" borderId="41" xfId="0" applyNumberFormat="1" applyFont="1" applyFill="1" applyBorder="1" applyAlignment="1">
      <alignment horizontal="right"/>
    </xf>
    <xf numFmtId="4" fontId="4" fillId="21" borderId="42" xfId="0" applyNumberFormat="1" applyFont="1" applyFill="1" applyBorder="1" applyAlignment="1">
      <alignment horizontal="right"/>
    </xf>
    <xf numFmtId="4" fontId="19" fillId="23" borderId="73" xfId="0" applyNumberFormat="1" applyFont="1" applyFill="1" applyBorder="1" applyAlignment="1">
      <alignment horizontal="right" vertical="center"/>
    </xf>
    <xf numFmtId="4" fontId="2" fillId="20" borderId="23" xfId="0" applyNumberFormat="1" applyFont="1" applyFill="1" applyBorder="1" applyAlignment="1">
      <alignment vertical="center"/>
    </xf>
    <xf numFmtId="4" fontId="25" fillId="0" borderId="48" xfId="0" applyNumberFormat="1" applyFont="1" applyFill="1" applyBorder="1"/>
    <xf numFmtId="3" fontId="12" fillId="21" borderId="23" xfId="0" applyNumberFormat="1" applyFont="1" applyFill="1" applyBorder="1" applyAlignment="1">
      <alignment horizontal="right"/>
    </xf>
    <xf numFmtId="4" fontId="2" fillId="21" borderId="23" xfId="0" applyNumberFormat="1" applyFont="1" applyFill="1" applyBorder="1" applyAlignment="1">
      <alignment horizontal="right"/>
    </xf>
    <xf numFmtId="4" fontId="12" fillId="23" borderId="48" xfId="0" applyNumberFormat="1" applyFont="1" applyFill="1" applyBorder="1" applyAlignment="1">
      <alignment horizontal="right"/>
    </xf>
    <xf numFmtId="4" fontId="12" fillId="21" borderId="53" xfId="0" applyNumberFormat="1" applyFont="1" applyFill="1" applyBorder="1" applyAlignment="1">
      <alignment horizontal="right"/>
    </xf>
    <xf numFmtId="4" fontId="11" fillId="21" borderId="23" xfId="0" applyNumberFormat="1" applyFont="1" applyFill="1" applyBorder="1" applyAlignment="1">
      <alignment horizontal="right"/>
    </xf>
    <xf numFmtId="4" fontId="2" fillId="20" borderId="23" xfId="0" applyNumberFormat="1" applyFont="1" applyFill="1" applyBorder="1" applyAlignment="1">
      <alignment horizontal="right"/>
    </xf>
    <xf numFmtId="4" fontId="2" fillId="0" borderId="23" xfId="0" applyNumberFormat="1" applyFont="1" applyFill="1" applyBorder="1" applyAlignment="1">
      <alignment horizontal="right"/>
    </xf>
    <xf numFmtId="4" fontId="2" fillId="21" borderId="23" xfId="0" applyNumberFormat="1" applyFont="1" applyFill="1" applyBorder="1" applyAlignment="1">
      <alignment horizontal="right" wrapText="1"/>
    </xf>
    <xf numFmtId="0" fontId="2" fillId="21" borderId="36" xfId="0" applyFont="1" applyFill="1" applyBorder="1" applyAlignment="1">
      <alignment horizontal="center"/>
    </xf>
    <xf numFmtId="3" fontId="12" fillId="23" borderId="41" xfId="0" applyNumberFormat="1" applyFont="1" applyFill="1" applyBorder="1" applyAlignment="1">
      <alignment horizontal="right"/>
    </xf>
    <xf numFmtId="3" fontId="12" fillId="21" borderId="36" xfId="0" applyNumberFormat="1" applyFont="1" applyFill="1" applyBorder="1" applyAlignment="1">
      <alignment horizontal="right"/>
    </xf>
    <xf numFmtId="3" fontId="17" fillId="23" borderId="68" xfId="0" applyNumberFormat="1" applyFont="1" applyFill="1" applyBorder="1" applyAlignment="1">
      <alignment horizontal="right" vertical="center"/>
    </xf>
    <xf numFmtId="3" fontId="2" fillId="21" borderId="21" xfId="0" applyNumberFormat="1" applyFont="1" applyFill="1" applyBorder="1" applyAlignment="1">
      <alignment vertical="center"/>
    </xf>
    <xf numFmtId="0" fontId="8" fillId="24" borderId="32" xfId="0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3" fontId="8" fillId="21" borderId="74" xfId="0" applyNumberFormat="1" applyFont="1" applyFill="1" applyBorder="1" applyAlignment="1">
      <alignment horizontal="right" wrapText="1"/>
    </xf>
    <xf numFmtId="0" fontId="21" fillId="22" borderId="64" xfId="0" applyFont="1" applyFill="1" applyBorder="1" applyAlignment="1"/>
    <xf numFmtId="3" fontId="8" fillId="20" borderId="74" xfId="0" applyNumberFormat="1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right" wrapText="1"/>
    </xf>
    <xf numFmtId="4" fontId="3" fillId="0" borderId="42" xfId="0" applyNumberFormat="1" applyFont="1" applyFill="1" applyBorder="1" applyAlignment="1">
      <alignment horizontal="right" wrapText="1"/>
    </xf>
    <xf numFmtId="0" fontId="11" fillId="21" borderId="36" xfId="0" applyFont="1" applyFill="1" applyBorder="1"/>
    <xf numFmtId="0" fontId="11" fillId="21" borderId="30" xfId="0" applyFont="1" applyFill="1" applyBorder="1"/>
    <xf numFmtId="0" fontId="8" fillId="0" borderId="21" xfId="0" applyFont="1" applyFill="1" applyBorder="1"/>
    <xf numFmtId="4" fontId="7" fillId="0" borderId="75" xfId="0" applyNumberFormat="1" applyFont="1" applyFill="1" applyBorder="1" applyAlignment="1">
      <alignment horizontal="right" vertical="center" wrapText="1"/>
    </xf>
    <xf numFmtId="0" fontId="7" fillId="21" borderId="49" xfId="0" applyFont="1" applyFill="1" applyBorder="1" applyAlignment="1">
      <alignment horizontal="center"/>
    </xf>
    <xf numFmtId="0" fontId="51" fillId="21" borderId="12" xfId="0" applyFont="1" applyFill="1" applyBorder="1" applyAlignment="1">
      <alignment horizontal="center" vertical="center"/>
    </xf>
    <xf numFmtId="0" fontId="51" fillId="21" borderId="21" xfId="0" applyFont="1" applyFill="1" applyBorder="1" applyAlignment="1">
      <alignment vertical="center"/>
    </xf>
    <xf numFmtId="0" fontId="52" fillId="21" borderId="49" xfId="0" applyFont="1" applyFill="1" applyBorder="1" applyAlignment="1">
      <alignment horizontal="center" vertical="center"/>
    </xf>
    <xf numFmtId="0" fontId="17" fillId="21" borderId="28" xfId="0" applyFont="1" applyFill="1" applyBorder="1" applyAlignment="1">
      <alignment vertical="center"/>
    </xf>
    <xf numFmtId="0" fontId="51" fillId="21" borderId="14" xfId="0" applyFont="1" applyFill="1" applyBorder="1" applyAlignment="1">
      <alignment horizontal="center" vertical="center"/>
    </xf>
    <xf numFmtId="0" fontId="47" fillId="21" borderId="21" xfId="0" applyFont="1" applyFill="1" applyBorder="1" applyAlignment="1">
      <alignment vertical="center"/>
    </xf>
    <xf numFmtId="0" fontId="52" fillId="21" borderId="28" xfId="0" applyFont="1" applyFill="1" applyBorder="1" applyAlignment="1">
      <alignment vertical="center"/>
    </xf>
    <xf numFmtId="0" fontId="51" fillId="21" borderId="18" xfId="0" applyFont="1" applyFill="1" applyBorder="1" applyAlignment="1">
      <alignment horizontal="center" vertical="center"/>
    </xf>
    <xf numFmtId="0" fontId="51" fillId="21" borderId="41" xfId="0" applyFont="1" applyFill="1" applyBorder="1" applyAlignment="1">
      <alignment vertical="center"/>
    </xf>
    <xf numFmtId="0" fontId="17" fillId="21" borderId="21" xfId="0" applyFont="1" applyFill="1" applyBorder="1" applyAlignment="1">
      <alignment vertical="center"/>
    </xf>
    <xf numFmtId="0" fontId="51" fillId="21" borderId="36" xfId="0" applyFont="1" applyFill="1" applyBorder="1" applyAlignment="1">
      <alignment vertical="center"/>
    </xf>
    <xf numFmtId="0" fontId="51" fillId="21" borderId="16" xfId="0" applyFont="1" applyFill="1" applyBorder="1" applyAlignment="1">
      <alignment horizontal="center" vertical="center"/>
    </xf>
    <xf numFmtId="0" fontId="51" fillId="21" borderId="17" xfId="0" applyFont="1" applyFill="1" applyBorder="1" applyAlignment="1">
      <alignment vertical="center"/>
    </xf>
    <xf numFmtId="0" fontId="53" fillId="21" borderId="16" xfId="0" applyFont="1" applyFill="1" applyBorder="1" applyAlignment="1">
      <alignment horizontal="center" vertical="center"/>
    </xf>
    <xf numFmtId="0" fontId="53" fillId="21" borderId="17" xfId="0" applyFont="1" applyFill="1" applyBorder="1" applyAlignment="1">
      <alignment vertical="center" wrapText="1"/>
    </xf>
    <xf numFmtId="0" fontId="47" fillId="21" borderId="16" xfId="0" applyFont="1" applyFill="1" applyBorder="1" applyAlignment="1">
      <alignment horizontal="center" vertical="center"/>
    </xf>
    <xf numFmtId="0" fontId="53" fillId="21" borderId="17" xfId="0" applyFont="1" applyFill="1" applyBorder="1" applyAlignment="1">
      <alignment vertical="center"/>
    </xf>
    <xf numFmtId="0" fontId="52" fillId="21" borderId="18" xfId="0" applyFont="1" applyFill="1" applyBorder="1" applyAlignment="1">
      <alignment horizontal="center" vertical="center"/>
    </xf>
    <xf numFmtId="0" fontId="52" fillId="21" borderId="41" xfId="0" applyFont="1" applyFill="1" applyBorder="1" applyAlignment="1">
      <alignment vertical="center" wrapText="1"/>
    </xf>
    <xf numFmtId="0" fontId="47" fillId="21" borderId="12" xfId="0" applyFont="1" applyFill="1" applyBorder="1" applyAlignment="1">
      <alignment horizontal="center" vertical="center"/>
    </xf>
    <xf numFmtId="0" fontId="47" fillId="21" borderId="21" xfId="0" applyFont="1" applyFill="1" applyBorder="1" applyAlignment="1">
      <alignment vertical="center" wrapText="1"/>
    </xf>
    <xf numFmtId="3" fontId="51" fillId="21" borderId="21" xfId="0" applyNumberFormat="1" applyFont="1" applyFill="1" applyBorder="1" applyAlignment="1">
      <alignment vertical="center"/>
    </xf>
    <xf numFmtId="3" fontId="17" fillId="21" borderId="28" xfId="0" applyNumberFormat="1" applyFont="1" applyFill="1" applyBorder="1" applyAlignment="1">
      <alignment vertical="center"/>
    </xf>
    <xf numFmtId="3" fontId="17" fillId="21" borderId="76" xfId="0" applyNumberFormat="1" applyFont="1" applyFill="1" applyBorder="1" applyAlignment="1">
      <alignment vertical="center"/>
    </xf>
    <xf numFmtId="0" fontId="51" fillId="21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/>
    </xf>
    <xf numFmtId="0" fontId="51" fillId="21" borderId="11" xfId="0" applyFont="1" applyFill="1" applyBorder="1" applyAlignment="1">
      <alignment horizontal="center"/>
    </xf>
    <xf numFmtId="3" fontId="51" fillId="0" borderId="21" xfId="0" applyNumberFormat="1" applyFont="1" applyFill="1" applyBorder="1" applyAlignment="1">
      <alignment vertical="center"/>
    </xf>
    <xf numFmtId="3" fontId="51" fillId="0" borderId="30" xfId="0" applyNumberFormat="1" applyFont="1" applyFill="1" applyBorder="1" applyAlignment="1">
      <alignment vertical="center"/>
    </xf>
    <xf numFmtId="3" fontId="17" fillId="0" borderId="28" xfId="0" applyNumberFormat="1" applyFont="1" applyFill="1" applyBorder="1" applyAlignment="1">
      <alignment vertical="center"/>
    </xf>
    <xf numFmtId="3" fontId="17" fillId="0" borderId="38" xfId="0" applyNumberFormat="1" applyFont="1" applyFill="1" applyBorder="1" applyAlignment="1">
      <alignment vertical="center"/>
    </xf>
    <xf numFmtId="3" fontId="17" fillId="0" borderId="21" xfId="0" applyNumberFormat="1" applyFont="1" applyFill="1" applyBorder="1" applyAlignment="1">
      <alignment vertical="center"/>
    </xf>
    <xf numFmtId="3" fontId="52" fillId="0" borderId="36" xfId="0" applyNumberFormat="1" applyFont="1" applyFill="1" applyBorder="1" applyAlignment="1">
      <alignment vertical="center"/>
    </xf>
    <xf numFmtId="3" fontId="51" fillId="0" borderId="41" xfId="0" applyNumberFormat="1" applyFont="1" applyFill="1" applyBorder="1" applyAlignment="1">
      <alignment vertical="center"/>
    </xf>
    <xf numFmtId="3" fontId="51" fillId="0" borderId="48" xfId="0" applyNumberFormat="1" applyFont="1" applyFill="1" applyBorder="1" applyAlignment="1">
      <alignment vertical="center"/>
    </xf>
    <xf numFmtId="3" fontId="53" fillId="0" borderId="21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2" fillId="0" borderId="41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30" xfId="0" applyNumberFormat="1" applyFont="1" applyFill="1" applyBorder="1" applyAlignment="1">
      <alignment vertical="center"/>
    </xf>
    <xf numFmtId="3" fontId="52" fillId="0" borderId="28" xfId="0" applyNumberFormat="1" applyFont="1" applyFill="1" applyBorder="1" applyAlignment="1">
      <alignment vertical="center"/>
    </xf>
    <xf numFmtId="3" fontId="51" fillId="0" borderId="27" xfId="0" applyNumberFormat="1" applyFont="1" applyFill="1" applyBorder="1" applyAlignment="1">
      <alignment vertical="center"/>
    </xf>
    <xf numFmtId="0" fontId="54" fillId="21" borderId="0" xfId="0" applyFont="1" applyFill="1" applyAlignment="1">
      <alignment horizontal="center"/>
    </xf>
    <xf numFmtId="0" fontId="1" fillId="20" borderId="32" xfId="0" applyFont="1" applyFill="1" applyBorder="1"/>
    <xf numFmtId="0" fontId="1" fillId="20" borderId="16" xfId="0" applyFont="1" applyFill="1" applyBorder="1"/>
    <xf numFmtId="0" fontId="1" fillId="20" borderId="59" xfId="0" applyFont="1" applyFill="1" applyBorder="1"/>
    <xf numFmtId="0" fontId="2" fillId="21" borderId="49" xfId="0" applyFont="1" applyFill="1" applyBorder="1" applyAlignment="1">
      <alignment horizontal="center" vertical="center"/>
    </xf>
    <xf numFmtId="3" fontId="2" fillId="21" borderId="77" xfId="0" applyNumberFormat="1" applyFont="1" applyFill="1" applyBorder="1" applyAlignment="1">
      <alignment vertical="center"/>
    </xf>
    <xf numFmtId="3" fontId="2" fillId="21" borderId="28" xfId="0" applyNumberFormat="1" applyFont="1" applyFill="1" applyBorder="1" applyAlignment="1">
      <alignment vertical="center"/>
    </xf>
    <xf numFmtId="3" fontId="2" fillId="21" borderId="38" xfId="0" applyNumberFormat="1" applyFont="1" applyFill="1" applyBorder="1" applyAlignment="1">
      <alignment vertical="center"/>
    </xf>
    <xf numFmtId="3" fontId="2" fillId="21" borderId="46" xfId="0" applyNumberFormat="1" applyFont="1" applyFill="1" applyBorder="1" applyAlignment="1">
      <alignment vertical="center" wrapText="1"/>
    </xf>
    <xf numFmtId="3" fontId="2" fillId="21" borderId="41" xfId="0" applyNumberFormat="1" applyFont="1" applyFill="1" applyBorder="1" applyAlignment="1">
      <alignment vertical="center"/>
    </xf>
    <xf numFmtId="3" fontId="2" fillId="21" borderId="42" xfId="0" applyNumberFormat="1" applyFont="1" applyFill="1" applyBorder="1" applyAlignment="1">
      <alignment vertical="center"/>
    </xf>
    <xf numFmtId="3" fontId="2" fillId="21" borderId="46" xfId="0" applyNumberFormat="1" applyFont="1" applyFill="1" applyBorder="1" applyAlignment="1">
      <alignment vertical="center"/>
    </xf>
    <xf numFmtId="3" fontId="3" fillId="21" borderId="46" xfId="0" applyNumberFormat="1" applyFont="1" applyFill="1" applyBorder="1" applyAlignment="1">
      <alignment vertical="center"/>
    </xf>
    <xf numFmtId="3" fontId="3" fillId="21" borderId="41" xfId="0" applyNumberFormat="1" applyFont="1" applyFill="1" applyBorder="1" applyAlignment="1">
      <alignment vertical="center"/>
    </xf>
    <xf numFmtId="3" fontId="3" fillId="21" borderId="42" xfId="0" applyNumberFormat="1" applyFont="1" applyFill="1" applyBorder="1" applyAlignment="1">
      <alignment vertical="center"/>
    </xf>
    <xf numFmtId="0" fontId="2" fillId="21" borderId="14" xfId="0" applyFont="1" applyFill="1" applyBorder="1" applyAlignment="1">
      <alignment horizontal="center" vertical="center"/>
    </xf>
    <xf numFmtId="3" fontId="2" fillId="21" borderId="15" xfId="0" applyNumberFormat="1" applyFont="1" applyFill="1" applyBorder="1" applyAlignment="1">
      <alignment vertical="center"/>
    </xf>
    <xf numFmtId="3" fontId="2" fillId="21" borderId="30" xfId="0" applyNumberFormat="1" applyFont="1" applyFill="1" applyBorder="1" applyAlignment="1">
      <alignment vertical="center"/>
    </xf>
    <xf numFmtId="0" fontId="2" fillId="21" borderId="18" xfId="0" applyFont="1" applyFill="1" applyBorder="1" applyAlignment="1">
      <alignment horizontal="center" vertical="center"/>
    </xf>
    <xf numFmtId="3" fontId="2" fillId="21" borderId="46" xfId="0" quotePrefix="1" applyNumberFormat="1" applyFont="1" applyFill="1" applyBorder="1" applyAlignment="1">
      <alignment vertical="center"/>
    </xf>
    <xf numFmtId="3" fontId="2" fillId="21" borderId="28" xfId="0" quotePrefix="1" applyNumberFormat="1" applyFont="1" applyFill="1" applyBorder="1" applyAlignment="1">
      <alignment vertical="center"/>
    </xf>
    <xf numFmtId="0" fontId="2" fillId="21" borderId="78" xfId="0" applyFont="1" applyFill="1" applyBorder="1" applyAlignment="1">
      <alignment horizontal="center" vertical="center"/>
    </xf>
    <xf numFmtId="3" fontId="2" fillId="21" borderId="76" xfId="0" quotePrefix="1" applyNumberFormat="1" applyFont="1" applyFill="1" applyBorder="1" applyAlignment="1">
      <alignment vertical="center"/>
    </xf>
    <xf numFmtId="3" fontId="2" fillId="21" borderId="76" xfId="0" applyNumberFormat="1" applyFont="1" applyFill="1" applyBorder="1" applyAlignment="1">
      <alignment vertical="center"/>
    </xf>
    <xf numFmtId="3" fontId="2" fillId="21" borderId="79" xfId="0" applyNumberFormat="1" applyFont="1" applyFill="1" applyBorder="1" applyAlignment="1">
      <alignment vertical="center"/>
    </xf>
    <xf numFmtId="0" fontId="10" fillId="21" borderId="45" xfId="0" applyFont="1" applyFill="1" applyBorder="1" applyAlignment="1">
      <alignment horizontal="center"/>
    </xf>
    <xf numFmtId="0" fontId="6" fillId="21" borderId="18" xfId="0" applyFont="1" applyFill="1" applyBorder="1" applyAlignment="1">
      <alignment horizontal="center" vertical="center"/>
    </xf>
    <xf numFmtId="3" fontId="6" fillId="21" borderId="41" xfId="0" applyNumberFormat="1" applyFont="1" applyFill="1" applyBorder="1" applyAlignment="1">
      <alignment vertical="center" wrapText="1"/>
    </xf>
    <xf numFmtId="3" fontId="6" fillId="21" borderId="41" xfId="0" applyNumberFormat="1" applyFont="1" applyFill="1" applyBorder="1" applyAlignment="1">
      <alignment vertical="center"/>
    </xf>
    <xf numFmtId="3" fontId="38" fillId="21" borderId="41" xfId="0" applyNumberFormat="1" applyFont="1" applyFill="1" applyBorder="1" applyAlignment="1">
      <alignment vertical="center"/>
    </xf>
    <xf numFmtId="3" fontId="38" fillId="21" borderId="42" xfId="0" applyNumberFormat="1" applyFont="1" applyFill="1" applyBorder="1" applyAlignment="1">
      <alignment vertical="center"/>
    </xf>
    <xf numFmtId="0" fontId="6" fillId="21" borderId="41" xfId="0" applyFont="1" applyFill="1" applyBorder="1" applyAlignment="1">
      <alignment vertical="center" wrapText="1"/>
    </xf>
    <xf numFmtId="0" fontId="10" fillId="21" borderId="49" xfId="0" applyFont="1" applyFill="1" applyBorder="1" applyAlignment="1">
      <alignment horizontal="center" vertical="center"/>
    </xf>
    <xf numFmtId="0" fontId="10" fillId="21" borderId="41" xfId="0" applyFont="1" applyFill="1" applyBorder="1" applyAlignment="1">
      <alignment vertical="center"/>
    </xf>
    <xf numFmtId="3" fontId="10" fillId="21" borderId="41" xfId="0" applyNumberFormat="1" applyFont="1" applyFill="1" applyBorder="1" applyAlignment="1">
      <alignment vertical="center"/>
    </xf>
    <xf numFmtId="3" fontId="38" fillId="21" borderId="28" xfId="0" applyNumberFormat="1" applyFont="1" applyFill="1" applyBorder="1" applyAlignment="1">
      <alignment vertical="center"/>
    </xf>
    <xf numFmtId="3" fontId="38" fillId="21" borderId="30" xfId="0" applyNumberFormat="1" applyFont="1" applyFill="1" applyBorder="1" applyAlignment="1">
      <alignment vertical="center"/>
    </xf>
    <xf numFmtId="0" fontId="10" fillId="21" borderId="18" xfId="0" applyFont="1" applyFill="1" applyBorder="1" applyAlignment="1">
      <alignment horizontal="center" vertical="center"/>
    </xf>
    <xf numFmtId="0" fontId="10" fillId="21" borderId="41" xfId="0" applyFont="1" applyFill="1" applyBorder="1" applyAlignment="1">
      <alignment horizontal="left" vertical="center" wrapText="1"/>
    </xf>
    <xf numFmtId="3" fontId="38" fillId="21" borderId="47" xfId="0" applyNumberFormat="1" applyFont="1" applyFill="1" applyBorder="1" applyAlignment="1">
      <alignment vertical="center"/>
    </xf>
    <xf numFmtId="0" fontId="10" fillId="21" borderId="41" xfId="0" applyFont="1" applyFill="1" applyBorder="1" applyAlignment="1">
      <alignment vertical="center" wrapText="1"/>
    </xf>
    <xf numFmtId="0" fontId="6" fillId="21" borderId="41" xfId="0" applyFont="1" applyFill="1" applyBorder="1" applyAlignment="1">
      <alignment vertical="center"/>
    </xf>
    <xf numFmtId="3" fontId="56" fillId="21" borderId="41" xfId="0" applyNumberFormat="1" applyFont="1" applyFill="1" applyBorder="1" applyAlignment="1">
      <alignment vertical="center"/>
    </xf>
    <xf numFmtId="0" fontId="6" fillId="21" borderId="12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vertical="center"/>
    </xf>
    <xf numFmtId="3" fontId="38" fillId="21" borderId="21" xfId="0" applyNumberFormat="1" applyFont="1" applyFill="1" applyBorder="1" applyAlignment="1">
      <alignment vertical="center"/>
    </xf>
    <xf numFmtId="3" fontId="38" fillId="21" borderId="17" xfId="0" applyNumberFormat="1" applyFont="1" applyFill="1" applyBorder="1" applyAlignment="1">
      <alignment vertical="center"/>
    </xf>
    <xf numFmtId="0" fontId="6" fillId="21" borderId="80" xfId="0" applyFont="1" applyFill="1" applyBorder="1" applyAlignment="1">
      <alignment vertical="center" wrapText="1"/>
    </xf>
    <xf numFmtId="3" fontId="6" fillId="21" borderId="80" xfId="0" applyNumberFormat="1" applyFont="1" applyFill="1" applyBorder="1" applyAlignment="1">
      <alignment vertical="center"/>
    </xf>
    <xf numFmtId="3" fontId="54" fillId="21" borderId="80" xfId="0" applyNumberFormat="1" applyFont="1" applyFill="1" applyBorder="1" applyAlignment="1">
      <alignment vertical="center"/>
    </xf>
    <xf numFmtId="3" fontId="54" fillId="21" borderId="81" xfId="0" applyNumberFormat="1" applyFont="1" applyFill="1" applyBorder="1" applyAlignment="1">
      <alignment vertical="center"/>
    </xf>
    <xf numFmtId="3" fontId="54" fillId="21" borderId="82" xfId="0" applyNumberFormat="1" applyFont="1" applyFill="1" applyBorder="1" applyAlignment="1">
      <alignment vertical="center"/>
    </xf>
    <xf numFmtId="0" fontId="57" fillId="21" borderId="12" xfId="0" applyFont="1" applyFill="1" applyBorder="1" applyAlignment="1">
      <alignment horizontal="center" vertical="center"/>
    </xf>
    <xf numFmtId="0" fontId="54" fillId="21" borderId="80" xfId="0" applyFont="1" applyFill="1" applyBorder="1" applyAlignment="1">
      <alignment vertical="center" wrapText="1"/>
    </xf>
    <xf numFmtId="0" fontId="57" fillId="21" borderId="18" xfId="0" applyFont="1" applyFill="1" applyBorder="1" applyAlignment="1">
      <alignment horizontal="center" vertical="center"/>
    </xf>
    <xf numFmtId="0" fontId="54" fillId="21" borderId="41" xfId="0" applyFont="1" applyFill="1" applyBorder="1" applyAlignment="1">
      <alignment vertical="center"/>
    </xf>
    <xf numFmtId="3" fontId="54" fillId="21" borderId="41" xfId="0" applyNumberFormat="1" applyFont="1" applyFill="1" applyBorder="1" applyAlignment="1">
      <alignment vertical="center"/>
    </xf>
    <xf numFmtId="3" fontId="54" fillId="21" borderId="42" xfId="0" applyNumberFormat="1" applyFont="1" applyFill="1" applyBorder="1" applyAlignment="1">
      <alignment vertical="center"/>
    </xf>
    <xf numFmtId="3" fontId="1" fillId="20" borderId="0" xfId="0" applyNumberFormat="1" applyFont="1" applyFill="1"/>
    <xf numFmtId="0" fontId="47" fillId="21" borderId="14" xfId="0" applyFont="1" applyFill="1" applyBorder="1" applyAlignment="1" applyProtection="1">
      <alignment horizontal="center"/>
      <protection locked="0" hidden="1"/>
    </xf>
    <xf numFmtId="0" fontId="10" fillId="21" borderId="12" xfId="0" applyFont="1" applyFill="1" applyBorder="1" applyAlignment="1" applyProtection="1">
      <alignment horizontal="center"/>
      <protection locked="0" hidden="1"/>
    </xf>
    <xf numFmtId="0" fontId="4" fillId="21" borderId="0" xfId="0" applyFont="1" applyFill="1" applyBorder="1" applyAlignment="1"/>
    <xf numFmtId="0" fontId="4" fillId="21" borderId="35" xfId="0" applyFont="1" applyFill="1" applyBorder="1" applyAlignment="1"/>
    <xf numFmtId="3" fontId="4" fillId="21" borderId="17" xfId="0" applyNumberFormat="1" applyFont="1" applyFill="1" applyBorder="1" applyAlignment="1"/>
    <xf numFmtId="0" fontId="22" fillId="21" borderId="15" xfId="0" applyFont="1" applyFill="1" applyBorder="1" applyAlignment="1"/>
    <xf numFmtId="0" fontId="22" fillId="0" borderId="15" xfId="0" applyFont="1" applyBorder="1" applyAlignment="1"/>
    <xf numFmtId="0" fontId="22" fillId="21" borderId="15" xfId="0" applyFont="1" applyFill="1" applyBorder="1" applyAlignment="1">
      <alignment horizontal="right"/>
    </xf>
    <xf numFmtId="3" fontId="10" fillId="21" borderId="80" xfId="0" applyNumberFormat="1" applyFont="1" applyFill="1" applyBorder="1" applyAlignment="1">
      <alignment vertical="center"/>
    </xf>
    <xf numFmtId="0" fontId="6" fillId="20" borderId="0" xfId="0" applyFont="1" applyFill="1" applyAlignment="1">
      <alignment horizontal="right"/>
    </xf>
    <xf numFmtId="0" fontId="6" fillId="21" borderId="0" xfId="0" applyFont="1" applyFill="1" applyBorder="1" applyAlignment="1">
      <alignment horizontal="right"/>
    </xf>
    <xf numFmtId="3" fontId="47" fillId="0" borderId="36" xfId="0" applyNumberFormat="1" applyFont="1" applyFill="1" applyBorder="1" applyAlignment="1">
      <alignment vertical="center"/>
    </xf>
    <xf numFmtId="3" fontId="51" fillId="0" borderId="36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76" xfId="0" applyNumberFormat="1" applyFont="1" applyFill="1" applyBorder="1" applyAlignment="1">
      <alignment vertical="center"/>
    </xf>
    <xf numFmtId="3" fontId="47" fillId="0" borderId="50" xfId="0" applyNumberFormat="1" applyFont="1" applyFill="1" applyBorder="1" applyAlignment="1">
      <alignment vertical="center"/>
    </xf>
    <xf numFmtId="3" fontId="52" fillId="0" borderId="50" xfId="0" applyNumberFormat="1" applyFont="1" applyFill="1" applyBorder="1" applyAlignment="1">
      <alignment vertical="center"/>
    </xf>
    <xf numFmtId="3" fontId="51" fillId="0" borderId="5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52" fillId="0" borderId="42" xfId="0" applyNumberFormat="1" applyFont="1" applyFill="1" applyBorder="1" applyAlignment="1">
      <alignment vertical="center"/>
    </xf>
    <xf numFmtId="3" fontId="52" fillId="0" borderId="38" xfId="0" applyNumberFormat="1" applyFont="1" applyFill="1" applyBorder="1" applyAlignment="1">
      <alignment vertical="center"/>
    </xf>
    <xf numFmtId="0" fontId="0" fillId="0" borderId="0" xfId="0" applyBorder="1"/>
    <xf numFmtId="0" fontId="29" fillId="0" borderId="35" xfId="0" applyFont="1" applyFill="1" applyBorder="1"/>
    <xf numFmtId="0" fontId="2" fillId="22" borderId="0" xfId="0" applyFont="1" applyFill="1"/>
    <xf numFmtId="0" fontId="2" fillId="22" borderId="0" xfId="0" applyFont="1" applyFill="1" applyBorder="1" applyAlignment="1">
      <alignment horizontal="right"/>
    </xf>
    <xf numFmtId="0" fontId="13" fillId="22" borderId="0" xfId="0" applyFont="1" applyFill="1"/>
    <xf numFmtId="0" fontId="2" fillId="22" borderId="0" xfId="0" applyFont="1" applyFill="1" applyAlignment="1">
      <alignment horizontal="right"/>
    </xf>
    <xf numFmtId="0" fontId="2" fillId="22" borderId="0" xfId="0" applyFont="1" applyFill="1" applyBorder="1" applyAlignment="1" applyProtection="1">
      <alignment vertical="center"/>
    </xf>
    <xf numFmtId="0" fontId="4" fillId="22" borderId="83" xfId="0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vertical="center"/>
    </xf>
    <xf numFmtId="3" fontId="3" fillId="0" borderId="49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51" xfId="0" applyNumberFormat="1" applyFont="1" applyFill="1" applyBorder="1" applyAlignment="1">
      <alignment horizontal="center"/>
    </xf>
    <xf numFmtId="3" fontId="3" fillId="0" borderId="58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3" fillId="0" borderId="77" xfId="0" applyNumberFormat="1" applyFont="1" applyFill="1" applyBorder="1" applyAlignment="1">
      <alignment vertical="center"/>
    </xf>
    <xf numFmtId="3" fontId="2" fillId="0" borderId="66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30" xfId="0" applyNumberFormat="1" applyFont="1" applyFill="1" applyBorder="1" applyAlignment="1">
      <alignment vertical="center"/>
    </xf>
    <xf numFmtId="3" fontId="3" fillId="0" borderId="52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47" fillId="25" borderId="85" xfId="0" applyNumberFormat="1" applyFont="1" applyFill="1" applyBorder="1" applyAlignment="1">
      <alignment horizontal="center"/>
    </xf>
    <xf numFmtId="0" fontId="58" fillId="22" borderId="62" xfId="0" applyFont="1" applyFill="1" applyBorder="1" applyAlignment="1">
      <alignment horizontal="center"/>
    </xf>
    <xf numFmtId="0" fontId="58" fillId="22" borderId="64" xfId="0" applyFont="1" applyFill="1" applyBorder="1" applyAlignment="1">
      <alignment horizontal="left"/>
    </xf>
    <xf numFmtId="3" fontId="8" fillId="21" borderId="17" xfId="0" applyNumberFormat="1" applyFont="1" applyFill="1" applyBorder="1" applyAlignment="1">
      <alignment horizontal="right"/>
    </xf>
    <xf numFmtId="3" fontId="24" fillId="21" borderId="17" xfId="0" applyNumberFormat="1" applyFont="1" applyFill="1" applyBorder="1" applyAlignment="1">
      <alignment horizontal="right"/>
    </xf>
    <xf numFmtId="4" fontId="17" fillId="23" borderId="73" xfId="0" applyNumberFormat="1" applyFont="1" applyFill="1" applyBorder="1" applyAlignment="1">
      <alignment horizontal="right" vertical="center"/>
    </xf>
    <xf numFmtId="0" fontId="2" fillId="22" borderId="86" xfId="0" applyFont="1" applyFill="1" applyBorder="1" applyAlignment="1">
      <alignment horizontal="left"/>
    </xf>
    <xf numFmtId="0" fontId="2" fillId="22" borderId="86" xfId="0" applyFont="1" applyFill="1" applyBorder="1" applyAlignment="1">
      <alignment wrapText="1"/>
    </xf>
    <xf numFmtId="0" fontId="21" fillId="22" borderId="64" xfId="0" applyFont="1" applyFill="1" applyBorder="1" applyAlignment="1">
      <alignment wrapText="1"/>
    </xf>
    <xf numFmtId="0" fontId="2" fillId="0" borderId="87" xfId="0" applyFont="1" applyFill="1" applyBorder="1" applyAlignment="1">
      <alignment horizontal="left"/>
    </xf>
    <xf numFmtId="0" fontId="2" fillId="22" borderId="86" xfId="0" applyFont="1" applyFill="1" applyBorder="1" applyAlignment="1"/>
    <xf numFmtId="0" fontId="49" fillId="0" borderId="8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2" fillId="0" borderId="86" xfId="0" applyFont="1" applyFill="1" applyBorder="1" applyAlignment="1">
      <alignment horizontal="left"/>
    </xf>
    <xf numFmtId="0" fontId="36" fillId="22" borderId="89" xfId="0" applyFont="1" applyFill="1" applyBorder="1" applyAlignment="1">
      <alignment horizontal="center"/>
    </xf>
    <xf numFmtId="0" fontId="36" fillId="22" borderId="90" xfId="0" applyFont="1" applyFill="1" applyBorder="1" applyAlignment="1">
      <alignment horizontal="left"/>
    </xf>
    <xf numFmtId="4" fontId="36" fillId="23" borderId="42" xfId="0" applyNumberFormat="1" applyFont="1" applyFill="1" applyBorder="1" applyAlignment="1">
      <alignment horizontal="right"/>
    </xf>
    <xf numFmtId="0" fontId="19" fillId="20" borderId="13" xfId="0" applyFont="1" applyFill="1" applyBorder="1" applyAlignment="1">
      <alignment horizontal="center"/>
    </xf>
    <xf numFmtId="0" fontId="36" fillId="21" borderId="25" xfId="0" applyFont="1" applyFill="1" applyBorder="1" applyAlignment="1">
      <alignment horizontal="center"/>
    </xf>
    <xf numFmtId="0" fontId="36" fillId="21" borderId="23" xfId="0" applyFont="1" applyFill="1" applyBorder="1" applyAlignment="1">
      <alignment horizontal="center" vertical="center"/>
    </xf>
    <xf numFmtId="0" fontId="36" fillId="21" borderId="26" xfId="0" applyFont="1" applyFill="1" applyBorder="1" applyAlignment="1">
      <alignment horizontal="center" vertical="top"/>
    </xf>
    <xf numFmtId="3" fontId="19" fillId="20" borderId="10" xfId="0" applyNumberFormat="1" applyFont="1" applyFill="1" applyBorder="1" applyAlignment="1">
      <alignment horizontal="center"/>
    </xf>
    <xf numFmtId="3" fontId="19" fillId="20" borderId="13" xfId="0" applyNumberFormat="1" applyFont="1" applyFill="1" applyBorder="1" applyAlignment="1">
      <alignment horizontal="center"/>
    </xf>
    <xf numFmtId="0" fontId="19" fillId="2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41" xfId="0" applyNumberFormat="1" applyFont="1" applyFill="1" applyBorder="1" applyAlignment="1">
      <alignment vertical="center"/>
    </xf>
    <xf numFmtId="0" fontId="26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/>
    <xf numFmtId="0" fontId="4" fillId="21" borderId="25" xfId="0" applyFont="1" applyFill="1" applyBorder="1"/>
    <xf numFmtId="0" fontId="4" fillId="21" borderId="26" xfId="0" applyFont="1" applyFill="1" applyBorder="1"/>
    <xf numFmtId="0" fontId="36" fillId="22" borderId="91" xfId="0" applyFont="1" applyFill="1" applyBorder="1" applyAlignment="1">
      <alignment horizontal="left"/>
    </xf>
    <xf numFmtId="0" fontId="50" fillId="22" borderId="86" xfId="0" applyFont="1" applyFill="1" applyBorder="1" applyAlignment="1">
      <alignment horizontal="left"/>
    </xf>
    <xf numFmtId="0" fontId="4" fillId="22" borderId="86" xfId="0" applyFont="1" applyFill="1" applyBorder="1" applyAlignment="1">
      <alignment horizontal="left" vertical="center"/>
    </xf>
    <xf numFmtId="0" fontId="4" fillId="22" borderId="15" xfId="0" applyFont="1" applyFill="1" applyBorder="1" applyAlignment="1">
      <alignment horizontal="left" vertical="center" wrapText="1"/>
    </xf>
    <xf numFmtId="0" fontId="4" fillId="21" borderId="35" xfId="0" applyFont="1" applyFill="1" applyBorder="1" applyAlignment="1">
      <alignment horizontal="left" vertical="center"/>
    </xf>
    <xf numFmtId="0" fontId="19" fillId="21" borderId="92" xfId="0" applyFont="1" applyFill="1" applyBorder="1" applyAlignment="1">
      <alignment vertical="center"/>
    </xf>
    <xf numFmtId="0" fontId="4" fillId="0" borderId="43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61" xfId="0" applyFont="1" applyFill="1" applyBorder="1"/>
    <xf numFmtId="0" fontId="50" fillId="22" borderId="12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 vertical="center"/>
    </xf>
    <xf numFmtId="0" fontId="19" fillId="21" borderId="93" xfId="0" applyFont="1" applyFill="1" applyBorder="1" applyAlignment="1">
      <alignment horizontal="center" vertical="center"/>
    </xf>
    <xf numFmtId="0" fontId="36" fillId="22" borderId="64" xfId="0" applyFont="1" applyFill="1" applyBorder="1" applyAlignment="1">
      <alignment horizontal="left"/>
    </xf>
    <xf numFmtId="3" fontId="36" fillId="23" borderId="21" xfId="0" applyNumberFormat="1" applyFont="1" applyFill="1" applyBorder="1" applyAlignment="1">
      <alignment horizontal="right"/>
    </xf>
    <xf numFmtId="4" fontId="36" fillId="23" borderId="30" xfId="0" applyNumberFormat="1" applyFont="1" applyFill="1" applyBorder="1" applyAlignment="1">
      <alignment horizontal="right"/>
    </xf>
    <xf numFmtId="0" fontId="36" fillId="22" borderId="94" xfId="0" applyFont="1" applyFill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1" borderId="0" xfId="0" applyFont="1" applyFill="1" applyBorder="1" applyAlignment="1">
      <alignment horizontal="center"/>
    </xf>
    <xf numFmtId="4" fontId="29" fillId="0" borderId="33" xfId="0" applyNumberFormat="1" applyFont="1" applyFill="1" applyBorder="1"/>
    <xf numFmtId="4" fontId="29" fillId="0" borderId="0" xfId="0" applyNumberFormat="1" applyFont="1" applyFill="1" applyBorder="1"/>
    <xf numFmtId="3" fontId="19" fillId="0" borderId="95" xfId="0" applyNumberFormat="1" applyFont="1" applyFill="1" applyBorder="1" applyAlignment="1">
      <alignment vertical="center"/>
    </xf>
    <xf numFmtId="3" fontId="19" fillId="0" borderId="96" xfId="0" applyNumberFormat="1" applyFont="1" applyFill="1" applyBorder="1" applyAlignment="1">
      <alignment vertical="center"/>
    </xf>
    <xf numFmtId="3" fontId="19" fillId="0" borderId="97" xfId="0" applyNumberFormat="1" applyFont="1" applyFill="1" applyBorder="1" applyAlignment="1">
      <alignment vertical="center"/>
    </xf>
    <xf numFmtId="3" fontId="19" fillId="0" borderId="98" xfId="0" applyNumberFormat="1" applyFont="1" applyFill="1" applyBorder="1" applyAlignment="1">
      <alignment vertical="center"/>
    </xf>
    <xf numFmtId="3" fontId="19" fillId="0" borderId="75" xfId="0" applyNumberFormat="1" applyFont="1" applyFill="1" applyBorder="1" applyAlignment="1">
      <alignment vertical="center"/>
    </xf>
    <xf numFmtId="3" fontId="19" fillId="0" borderId="99" xfId="0" applyNumberFormat="1" applyFont="1" applyFill="1" applyBorder="1" applyAlignment="1">
      <alignment vertical="center"/>
    </xf>
    <xf numFmtId="3" fontId="19" fillId="0" borderId="100" xfId="0" applyNumberFormat="1" applyFont="1" applyFill="1" applyBorder="1" applyAlignment="1">
      <alignment vertical="center"/>
    </xf>
    <xf numFmtId="3" fontId="19" fillId="0" borderId="70" xfId="0" applyNumberFormat="1" applyFont="1" applyFill="1" applyBorder="1" applyAlignment="1">
      <alignment vertical="center"/>
    </xf>
    <xf numFmtId="3" fontId="19" fillId="0" borderId="101" xfId="0" applyNumberFormat="1" applyFont="1" applyFill="1" applyBorder="1" applyAlignment="1">
      <alignment vertical="center"/>
    </xf>
    <xf numFmtId="3" fontId="19" fillId="0" borderId="102" xfId="0" applyNumberFormat="1" applyFont="1" applyFill="1" applyBorder="1" applyAlignment="1">
      <alignment vertical="center"/>
    </xf>
    <xf numFmtId="0" fontId="36" fillId="22" borderId="18" xfId="0" applyFont="1" applyFill="1" applyBorder="1" applyAlignment="1">
      <alignment horizontal="center"/>
    </xf>
    <xf numFmtId="0" fontId="36" fillId="22" borderId="103" xfId="0" applyFont="1" applyFill="1" applyBorder="1" applyAlignment="1">
      <alignment horizontal="left"/>
    </xf>
    <xf numFmtId="3" fontId="36" fillId="21" borderId="104" xfId="0" applyNumberFormat="1" applyFont="1" applyFill="1" applyBorder="1" applyAlignment="1">
      <alignment horizontal="right"/>
    </xf>
    <xf numFmtId="0" fontId="7" fillId="21" borderId="11" xfId="0" applyFont="1" applyFill="1" applyBorder="1" applyAlignment="1">
      <alignment horizontal="center"/>
    </xf>
    <xf numFmtId="0" fontId="29" fillId="0" borderId="0" xfId="0" applyFont="1" applyFill="1" applyAlignment="1">
      <alignment horizontal="right"/>
    </xf>
    <xf numFmtId="0" fontId="7" fillId="21" borderId="29" xfId="0" applyFont="1" applyFill="1" applyBorder="1" applyAlignment="1">
      <alignment horizontal="center"/>
    </xf>
    <xf numFmtId="0" fontId="7" fillId="21" borderId="30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36" fillId="21" borderId="23" xfId="0" applyFont="1" applyFill="1" applyBorder="1" applyAlignment="1">
      <alignment horizontal="center"/>
    </xf>
    <xf numFmtId="0" fontId="36" fillId="21" borderId="26" xfId="0" applyFont="1" applyFill="1" applyBorder="1" applyAlignment="1">
      <alignment horizontal="center"/>
    </xf>
    <xf numFmtId="0" fontId="2" fillId="0" borderId="105" xfId="0" applyNumberFormat="1" applyFont="1" applyFill="1" applyBorder="1" applyAlignment="1">
      <alignment horizontal="center"/>
    </xf>
    <xf numFmtId="0" fontId="2" fillId="0" borderId="106" xfId="0" applyNumberFormat="1" applyFont="1" applyFill="1" applyBorder="1" applyAlignment="1">
      <alignment horizontal="center"/>
    </xf>
    <xf numFmtId="0" fontId="2" fillId="0" borderId="107" xfId="0" applyNumberFormat="1" applyFont="1" applyFill="1" applyBorder="1" applyAlignment="1">
      <alignment horizontal="center"/>
    </xf>
    <xf numFmtId="0" fontId="19" fillId="0" borderId="108" xfId="0" applyFont="1" applyFill="1" applyBorder="1" applyAlignment="1">
      <alignment horizontal="center" vertical="center"/>
    </xf>
    <xf numFmtId="0" fontId="33" fillId="0" borderId="109" xfId="0" applyFont="1" applyFill="1" applyBorder="1" applyAlignment="1">
      <alignment horizontal="center"/>
    </xf>
    <xf numFmtId="0" fontId="33" fillId="0" borderId="110" xfId="0" applyFont="1" applyFill="1" applyBorder="1" applyAlignment="1">
      <alignment horizontal="center"/>
    </xf>
    <xf numFmtId="0" fontId="33" fillId="0" borderId="111" xfId="0" applyFont="1" applyFill="1" applyBorder="1" applyAlignment="1">
      <alignment horizontal="center"/>
    </xf>
    <xf numFmtId="0" fontId="33" fillId="0" borderId="112" xfId="0" applyFont="1" applyFill="1" applyBorder="1" applyAlignment="1">
      <alignment horizontal="center"/>
    </xf>
    <xf numFmtId="3" fontId="3" fillId="0" borderId="113" xfId="0" applyNumberFormat="1" applyFont="1" applyFill="1" applyBorder="1" applyAlignment="1" applyProtection="1">
      <alignment vertical="center"/>
    </xf>
    <xf numFmtId="3" fontId="8" fillId="0" borderId="12" xfId="0" applyNumberFormat="1" applyFont="1" applyFill="1" applyBorder="1" applyAlignment="1" applyProtection="1">
      <alignment vertical="center"/>
      <protection locked="0"/>
    </xf>
    <xf numFmtId="3" fontId="24" fillId="0" borderId="12" xfId="0" applyNumberFormat="1" applyFont="1" applyFill="1" applyBorder="1" applyAlignment="1" applyProtection="1">
      <alignment vertical="center"/>
      <protection locked="0"/>
    </xf>
    <xf numFmtId="3" fontId="3" fillId="0" borderId="113" xfId="0" applyNumberFormat="1" applyFont="1" applyFill="1" applyBorder="1" applyAlignment="1" applyProtection="1">
      <alignment vertical="center"/>
      <protection locked="0"/>
    </xf>
    <xf numFmtId="3" fontId="8" fillId="0" borderId="12" xfId="0" applyNumberFormat="1" applyFont="1" applyFill="1" applyBorder="1" applyAlignment="1" applyProtection="1">
      <alignment vertical="center"/>
    </xf>
    <xf numFmtId="3" fontId="24" fillId="0" borderId="12" xfId="0" applyNumberFormat="1" applyFont="1" applyFill="1" applyBorder="1" applyAlignment="1" applyProtection="1">
      <alignment vertical="center"/>
    </xf>
    <xf numFmtId="3" fontId="8" fillId="0" borderId="113" xfId="0" applyNumberFormat="1" applyFont="1" applyFill="1" applyBorder="1" applyAlignment="1" applyProtection="1">
      <alignment vertical="center"/>
      <protection locked="0"/>
    </xf>
    <xf numFmtId="3" fontId="3" fillId="0" borderId="100" xfId="0" applyNumberFormat="1" applyFont="1" applyFill="1" applyBorder="1" applyAlignment="1" applyProtection="1">
      <alignment vertical="center"/>
    </xf>
    <xf numFmtId="3" fontId="3" fillId="0" borderId="114" xfId="0" applyNumberFormat="1" applyFont="1" applyFill="1" applyBorder="1" applyAlignment="1" applyProtection="1">
      <alignment vertical="center"/>
    </xf>
    <xf numFmtId="3" fontId="8" fillId="0" borderId="30" xfId="0" applyNumberFormat="1" applyFont="1" applyFill="1" applyBorder="1" applyAlignment="1" applyProtection="1">
      <alignment vertical="center"/>
      <protection locked="0"/>
    </xf>
    <xf numFmtId="3" fontId="24" fillId="0" borderId="30" xfId="0" applyNumberFormat="1" applyFont="1" applyFill="1" applyBorder="1" applyAlignment="1" applyProtection="1">
      <alignment vertical="center"/>
      <protection locked="0"/>
    </xf>
    <xf numFmtId="3" fontId="3" fillId="0" borderId="114" xfId="0" applyNumberFormat="1" applyFont="1" applyFill="1" applyBorder="1" applyAlignment="1" applyProtection="1">
      <alignment vertical="center"/>
      <protection locked="0"/>
    </xf>
    <xf numFmtId="3" fontId="8" fillId="0" borderId="30" xfId="0" applyNumberFormat="1" applyFont="1" applyFill="1" applyBorder="1" applyAlignment="1" applyProtection="1">
      <alignment vertical="center"/>
    </xf>
    <xf numFmtId="3" fontId="24" fillId="0" borderId="30" xfId="0" applyNumberFormat="1" applyFont="1" applyFill="1" applyBorder="1" applyAlignment="1" applyProtection="1">
      <alignment vertical="center"/>
    </xf>
    <xf numFmtId="3" fontId="8" fillId="0" borderId="114" xfId="0" applyNumberFormat="1" applyFont="1" applyFill="1" applyBorder="1" applyAlignment="1" applyProtection="1">
      <alignment vertical="center"/>
      <protection locked="0"/>
    </xf>
    <xf numFmtId="3" fontId="3" fillId="0" borderId="75" xfId="0" applyNumberFormat="1" applyFont="1" applyFill="1" applyBorder="1" applyAlignment="1" applyProtection="1">
      <alignment vertical="center"/>
    </xf>
    <xf numFmtId="0" fontId="4" fillId="22" borderId="0" xfId="0" applyFont="1" applyFill="1" applyBorder="1" applyAlignment="1">
      <alignment horizontal="left" vertical="center" wrapText="1"/>
    </xf>
    <xf numFmtId="0" fontId="4" fillId="22" borderId="6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3" fontId="37" fillId="0" borderId="0" xfId="0" applyNumberFormat="1" applyFont="1" applyBorder="1"/>
    <xf numFmtId="0" fontId="0" fillId="22" borderId="0" xfId="0" applyFont="1" applyFill="1"/>
    <xf numFmtId="3" fontId="2" fillId="0" borderId="38" xfId="0" applyNumberFormat="1" applyFont="1" applyFill="1" applyBorder="1" applyAlignment="1">
      <alignment vertical="center"/>
    </xf>
    <xf numFmtId="0" fontId="4" fillId="22" borderId="64" xfId="0" applyFont="1" applyFill="1" applyBorder="1" applyAlignment="1">
      <alignment horizontal="left" vertical="center" wrapText="1"/>
    </xf>
    <xf numFmtId="0" fontId="4" fillId="22" borderId="64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4" fillId="20" borderId="0" xfId="0" applyFont="1" applyFill="1" applyAlignment="1">
      <alignment horizontal="right"/>
    </xf>
    <xf numFmtId="3" fontId="40" fillId="21" borderId="17" xfId="0" applyNumberFormat="1" applyFont="1" applyFill="1" applyBorder="1" applyAlignment="1">
      <alignment horizontal="right"/>
    </xf>
    <xf numFmtId="0" fontId="41" fillId="21" borderId="15" xfId="0" applyFont="1" applyFill="1" applyBorder="1" applyAlignment="1">
      <alignment horizontal="right"/>
    </xf>
    <xf numFmtId="3" fontId="38" fillId="21" borderId="38" xfId="0" applyNumberFormat="1" applyFont="1" applyFill="1" applyBorder="1" applyAlignment="1">
      <alignment vertical="center"/>
    </xf>
    <xf numFmtId="3" fontId="10" fillId="21" borderId="115" xfId="0" applyNumberFormat="1" applyFont="1" applyFill="1" applyBorder="1" applyAlignment="1">
      <alignment vertical="center"/>
    </xf>
    <xf numFmtId="3" fontId="7" fillId="22" borderId="0" xfId="0" applyNumberFormat="1" applyFont="1" applyFill="1" applyBorder="1" applyAlignment="1">
      <alignment horizontal="center" vertical="center"/>
    </xf>
    <xf numFmtId="0" fontId="47" fillId="22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3" fontId="4" fillId="21" borderId="21" xfId="0" applyNumberFormat="1" applyFont="1" applyFill="1" applyBorder="1" applyAlignment="1">
      <alignment horizontal="right" vertical="top"/>
    </xf>
    <xf numFmtId="4" fontId="4" fillId="21" borderId="30" xfId="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right"/>
    </xf>
    <xf numFmtId="0" fontId="2" fillId="0" borderId="26" xfId="0" applyNumberFormat="1" applyFont="1" applyFill="1" applyBorder="1" applyAlignment="1"/>
    <xf numFmtId="0" fontId="29" fillId="0" borderId="0" xfId="0" applyFont="1" applyFill="1" applyAlignment="1">
      <alignment wrapText="1"/>
    </xf>
    <xf numFmtId="0" fontId="2" fillId="0" borderId="0" xfId="0" applyFont="1" applyBorder="1" applyAlignment="1">
      <alignment horizontal="center"/>
    </xf>
    <xf numFmtId="0" fontId="4" fillId="22" borderId="21" xfId="0" applyFont="1" applyFill="1" applyBorder="1" applyAlignment="1">
      <alignment horizontal="left" vertical="center" wrapText="1"/>
    </xf>
    <xf numFmtId="3" fontId="3" fillId="0" borderId="117" xfId="0" applyNumberFormat="1" applyFont="1" applyFill="1" applyBorder="1" applyAlignment="1" applyProtection="1">
      <alignment vertical="center"/>
    </xf>
    <xf numFmtId="3" fontId="8" fillId="0" borderId="21" xfId="0" applyNumberFormat="1" applyFont="1" applyFill="1" applyBorder="1" applyAlignment="1" applyProtection="1">
      <alignment vertical="center"/>
      <protection locked="0"/>
    </xf>
    <xf numFmtId="3" fontId="24" fillId="0" borderId="21" xfId="0" applyNumberFormat="1" applyFont="1" applyFill="1" applyBorder="1" applyAlignment="1" applyProtection="1">
      <alignment vertical="center"/>
      <protection locked="0"/>
    </xf>
    <xf numFmtId="3" fontId="3" fillId="0" borderId="117" xfId="0" applyNumberFormat="1" applyFont="1" applyFill="1" applyBorder="1" applyAlignment="1" applyProtection="1">
      <alignment vertical="center"/>
      <protection locked="0"/>
    </xf>
    <xf numFmtId="3" fontId="8" fillId="0" borderId="21" xfId="0" applyNumberFormat="1" applyFont="1" applyFill="1" applyBorder="1" applyAlignment="1" applyProtection="1">
      <alignment vertical="center"/>
    </xf>
    <xf numFmtId="3" fontId="24" fillId="0" borderId="21" xfId="0" applyNumberFormat="1" applyFont="1" applyFill="1" applyBorder="1" applyAlignment="1" applyProtection="1">
      <alignment vertical="center"/>
    </xf>
    <xf numFmtId="3" fontId="8" fillId="0" borderId="117" xfId="0" applyNumberFormat="1" applyFont="1" applyFill="1" applyBorder="1" applyAlignment="1" applyProtection="1">
      <alignment vertical="center"/>
      <protection locked="0"/>
    </xf>
    <xf numFmtId="3" fontId="3" fillId="0" borderId="71" xfId="0" applyNumberFormat="1" applyFont="1" applyFill="1" applyBorder="1" applyAlignment="1" applyProtection="1">
      <alignment vertical="center"/>
    </xf>
    <xf numFmtId="3" fontId="7" fillId="0" borderId="117" xfId="0" applyNumberFormat="1" applyFont="1" applyFill="1" applyBorder="1" applyAlignment="1" applyProtection="1">
      <alignment vertical="center"/>
      <protection locked="0"/>
    </xf>
    <xf numFmtId="0" fontId="33" fillId="0" borderId="33" xfId="0" applyFont="1" applyFill="1" applyBorder="1" applyAlignment="1">
      <alignment horizontal="center"/>
    </xf>
    <xf numFmtId="0" fontId="33" fillId="0" borderId="118" xfId="0" applyFont="1" applyFill="1" applyBorder="1" applyAlignment="1">
      <alignment horizontal="center"/>
    </xf>
    <xf numFmtId="0" fontId="33" fillId="0" borderId="1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3" fillId="0" borderId="120" xfId="0" applyFont="1" applyFill="1" applyBorder="1" applyAlignment="1">
      <alignment horizontal="center"/>
    </xf>
    <xf numFmtId="4" fontId="26" fillId="0" borderId="121" xfId="0" applyNumberFormat="1" applyFont="1" applyFill="1" applyBorder="1" applyAlignment="1">
      <alignment vertical="center"/>
    </xf>
    <xf numFmtId="4" fontId="26" fillId="0" borderId="122" xfId="0" applyNumberFormat="1" applyFont="1" applyFill="1" applyBorder="1" applyAlignment="1">
      <alignment vertical="center"/>
    </xf>
    <xf numFmtId="4" fontId="29" fillId="0" borderId="23" xfId="0" applyNumberFormat="1" applyFont="1" applyFill="1" applyBorder="1" applyAlignment="1">
      <alignment vertical="center"/>
    </xf>
    <xf numFmtId="4" fontId="26" fillId="0" borderId="123" xfId="0" applyNumberFormat="1" applyFont="1" applyFill="1" applyBorder="1" applyAlignment="1">
      <alignment vertical="center"/>
    </xf>
    <xf numFmtId="4" fontId="31" fillId="0" borderId="23" xfId="0" applyNumberFormat="1" applyFont="1" applyFill="1" applyBorder="1" applyAlignment="1">
      <alignment vertical="center"/>
    </xf>
    <xf numFmtId="4" fontId="29" fillId="0" borderId="123" xfId="0" applyNumberFormat="1" applyFont="1" applyFill="1" applyBorder="1" applyAlignment="1">
      <alignment vertical="center"/>
    </xf>
    <xf numFmtId="4" fontId="26" fillId="0" borderId="107" xfId="0" applyNumberFormat="1" applyFont="1" applyFill="1" applyBorder="1" applyAlignment="1">
      <alignment vertical="center"/>
    </xf>
    <xf numFmtId="4" fontId="29" fillId="0" borderId="124" xfId="0" applyNumberFormat="1" applyFont="1" applyFill="1" applyBorder="1" applyAlignment="1">
      <alignment vertical="center"/>
    </xf>
    <xf numFmtId="0" fontId="7" fillId="22" borderId="125" xfId="34" applyFont="1" applyFill="1" applyBorder="1" applyAlignment="1">
      <alignment horizontal="center" vertical="center"/>
    </xf>
    <xf numFmtId="0" fontId="7" fillId="22" borderId="126" xfId="34" applyFont="1" applyFill="1" applyBorder="1" applyAlignment="1">
      <alignment horizontal="center" vertical="center"/>
    </xf>
    <xf numFmtId="0" fontId="7" fillId="0" borderId="127" xfId="34" applyFont="1" applyFill="1" applyBorder="1" applyAlignment="1">
      <alignment horizontal="center"/>
    </xf>
    <xf numFmtId="0" fontId="84" fillId="0" borderId="0" xfId="34"/>
    <xf numFmtId="0" fontId="7" fillId="22" borderId="64" xfId="34" applyFont="1" applyFill="1" applyBorder="1" applyAlignment="1">
      <alignment horizontal="center" vertical="center"/>
    </xf>
    <xf numFmtId="0" fontId="7" fillId="22" borderId="67" xfId="34" applyFont="1" applyFill="1" applyBorder="1" applyAlignment="1">
      <alignment horizontal="center" vertical="center"/>
    </xf>
    <xf numFmtId="0" fontId="7" fillId="22" borderId="128" xfId="34" applyFont="1" applyFill="1" applyBorder="1" applyAlignment="1">
      <alignment horizontal="center" vertical="center"/>
    </xf>
    <xf numFmtId="0" fontId="7" fillId="22" borderId="90" xfId="34" applyFont="1" applyFill="1" applyBorder="1" applyAlignment="1">
      <alignment horizontal="center" vertical="center"/>
    </xf>
    <xf numFmtId="0" fontId="7" fillId="22" borderId="129" xfId="34" applyFont="1" applyFill="1" applyBorder="1" applyAlignment="1">
      <alignment horizontal="center" vertical="center"/>
    </xf>
    <xf numFmtId="0" fontId="7" fillId="0" borderId="130" xfId="34" applyFont="1" applyFill="1" applyBorder="1" applyAlignment="1">
      <alignment horizontal="center"/>
    </xf>
    <xf numFmtId="0" fontId="16" fillId="22" borderId="131" xfId="34" applyFont="1" applyFill="1" applyBorder="1" applyAlignment="1">
      <alignment horizontal="center" vertical="center"/>
    </xf>
    <xf numFmtId="0" fontId="2" fillId="22" borderId="132" xfId="34" applyFont="1" applyFill="1" applyBorder="1" applyAlignment="1">
      <alignment horizontal="center" vertical="center"/>
    </xf>
    <xf numFmtId="0" fontId="2" fillId="22" borderId="129" xfId="34" applyFont="1" applyFill="1" applyBorder="1" applyAlignment="1">
      <alignment horizontal="center" vertical="center"/>
    </xf>
    <xf numFmtId="0" fontId="16" fillId="22" borderId="62" xfId="34" applyFont="1" applyFill="1" applyBorder="1" applyAlignment="1">
      <alignment horizontal="center" vertical="center"/>
    </xf>
    <xf numFmtId="0" fontId="2" fillId="22" borderId="64" xfId="34" applyFont="1" applyFill="1" applyBorder="1" applyAlignment="1">
      <alignment vertical="center"/>
    </xf>
    <xf numFmtId="0" fontId="2" fillId="22" borderId="67" xfId="34" applyFont="1" applyFill="1" applyBorder="1" applyAlignment="1">
      <alignment vertical="center"/>
    </xf>
    <xf numFmtId="0" fontId="2" fillId="0" borderId="128" xfId="34" applyFont="1" applyFill="1" applyBorder="1" applyAlignment="1">
      <alignment vertical="center"/>
    </xf>
    <xf numFmtId="3" fontId="2" fillId="22" borderId="64" xfId="34" applyNumberFormat="1" applyFont="1" applyFill="1" applyBorder="1" applyAlignment="1">
      <alignment vertical="center"/>
    </xf>
    <xf numFmtId="3" fontId="2" fillId="22" borderId="67" xfId="34" applyNumberFormat="1" applyFont="1" applyFill="1" applyBorder="1" applyAlignment="1">
      <alignment vertical="center"/>
    </xf>
    <xf numFmtId="3" fontId="2" fillId="0" borderId="128" xfId="34" applyNumberFormat="1" applyFont="1" applyFill="1" applyBorder="1" applyAlignment="1">
      <alignment vertical="center"/>
    </xf>
    <xf numFmtId="0" fontId="2" fillId="22" borderId="64" xfId="34" applyFont="1" applyFill="1" applyBorder="1" applyAlignment="1">
      <alignment horizontal="left" vertical="center"/>
    </xf>
    <xf numFmtId="3" fontId="2" fillId="22" borderId="64" xfId="34" applyNumberFormat="1" applyFont="1" applyFill="1" applyBorder="1" applyAlignment="1">
      <alignment horizontal="right" vertical="center"/>
    </xf>
    <xf numFmtId="3" fontId="2" fillId="22" borderId="67" xfId="34" applyNumberFormat="1" applyFont="1" applyFill="1" applyBorder="1" applyAlignment="1">
      <alignment horizontal="right" vertical="center"/>
    </xf>
    <xf numFmtId="0" fontId="2" fillId="0" borderId="64" xfId="34" applyFont="1" applyFill="1" applyBorder="1" applyAlignment="1">
      <alignment horizontal="left" vertical="center"/>
    </xf>
    <xf numFmtId="0" fontId="29" fillId="0" borderId="64" xfId="34" applyFont="1" applyBorder="1"/>
    <xf numFmtId="0" fontId="12" fillId="22" borderId="131" xfId="34" applyFont="1" applyFill="1" applyBorder="1" applyAlignment="1">
      <alignment horizontal="center" vertical="center"/>
    </xf>
    <xf numFmtId="0" fontId="12" fillId="22" borderId="132" xfId="34" applyFont="1" applyFill="1" applyBorder="1" applyAlignment="1">
      <alignment vertical="center"/>
    </xf>
    <xf numFmtId="3" fontId="12" fillId="22" borderId="132" xfId="34" applyNumberFormat="1" applyFont="1" applyFill="1" applyBorder="1" applyAlignment="1">
      <alignment vertical="center"/>
    </xf>
    <xf numFmtId="3" fontId="24" fillId="22" borderId="132" xfId="34" applyNumberFormat="1" applyFont="1" applyFill="1" applyBorder="1" applyAlignment="1">
      <alignment vertical="center"/>
    </xf>
    <xf numFmtId="3" fontId="12" fillId="0" borderId="133" xfId="34" applyNumberFormat="1" applyFont="1" applyFill="1" applyBorder="1" applyAlignment="1">
      <alignment vertical="center"/>
    </xf>
    <xf numFmtId="0" fontId="2" fillId="22" borderId="94" xfId="34" applyFont="1" applyFill="1" applyBorder="1" applyAlignment="1">
      <alignment horizontal="center" vertical="center"/>
    </xf>
    <xf numFmtId="0" fontId="2" fillId="22" borderId="134" xfId="34" applyFont="1" applyFill="1" applyBorder="1" applyAlignment="1">
      <alignment vertical="center"/>
    </xf>
    <xf numFmtId="3" fontId="2" fillId="22" borderId="134" xfId="34" applyNumberFormat="1" applyFont="1" applyFill="1" applyBorder="1" applyAlignment="1">
      <alignment vertical="center"/>
    </xf>
    <xf numFmtId="3" fontId="2" fillId="22" borderId="135" xfId="34" applyNumberFormat="1" applyFont="1" applyFill="1" applyBorder="1" applyAlignment="1">
      <alignment vertical="center"/>
    </xf>
    <xf numFmtId="3" fontId="3" fillId="0" borderId="136" xfId="34" applyNumberFormat="1" applyFont="1" applyFill="1" applyBorder="1" applyAlignment="1">
      <alignment vertical="center"/>
    </xf>
    <xf numFmtId="0" fontId="2" fillId="22" borderId="62" xfId="34" applyFont="1" applyFill="1" applyBorder="1" applyAlignment="1">
      <alignment horizontal="center" vertical="center"/>
    </xf>
    <xf numFmtId="0" fontId="85" fillId="22" borderId="62" xfId="34" applyFont="1" applyFill="1" applyBorder="1" applyAlignment="1">
      <alignment horizontal="center" vertical="center"/>
    </xf>
    <xf numFmtId="0" fontId="21" fillId="22" borderId="64" xfId="34" applyFont="1" applyFill="1" applyBorder="1" applyAlignment="1">
      <alignment vertical="center"/>
    </xf>
    <xf numFmtId="3" fontId="5" fillId="22" borderId="64" xfId="34" applyNumberFormat="1" applyFont="1" applyFill="1" applyBorder="1" applyAlignment="1">
      <alignment vertical="center"/>
    </xf>
    <xf numFmtId="3" fontId="21" fillId="22" borderId="64" xfId="34" applyNumberFormat="1" applyFont="1" applyFill="1" applyBorder="1" applyAlignment="1">
      <alignment vertical="center"/>
    </xf>
    <xf numFmtId="3" fontId="21" fillId="0" borderId="128" xfId="34" applyNumberFormat="1" applyFont="1" applyFill="1" applyBorder="1" applyAlignment="1">
      <alignment vertical="center"/>
    </xf>
    <xf numFmtId="3" fontId="2" fillId="0" borderId="64" xfId="34" applyNumberFormat="1" applyFont="1" applyFill="1" applyBorder="1" applyAlignment="1">
      <alignment horizontal="right" vertical="center"/>
    </xf>
    <xf numFmtId="3" fontId="2" fillId="0" borderId="67" xfId="34" applyNumberFormat="1" applyFont="1" applyFill="1" applyBorder="1" applyAlignment="1">
      <alignment horizontal="right" vertical="center"/>
    </xf>
    <xf numFmtId="0" fontId="2" fillId="0" borderId="64" xfId="34" applyFont="1" applyFill="1" applyBorder="1" applyAlignment="1">
      <alignment horizontal="left"/>
    </xf>
    <xf numFmtId="0" fontId="2" fillId="0" borderId="64" xfId="34" applyFont="1" applyBorder="1" applyAlignment="1">
      <alignment vertical="center"/>
    </xf>
    <xf numFmtId="0" fontId="2" fillId="0" borderId="67" xfId="34" applyFont="1" applyBorder="1" applyAlignment="1">
      <alignment vertical="center"/>
    </xf>
    <xf numFmtId="3" fontId="8" fillId="0" borderId="128" xfId="34" applyNumberFormat="1" applyFont="1" applyFill="1" applyBorder="1" applyAlignment="1">
      <alignment vertical="center"/>
    </xf>
    <xf numFmtId="0" fontId="5" fillId="22" borderId="62" xfId="34" applyFont="1" applyFill="1" applyBorder="1" applyAlignment="1">
      <alignment horizontal="center" vertical="center"/>
    </xf>
    <xf numFmtId="0" fontId="86" fillId="22" borderId="62" xfId="34" applyFont="1" applyFill="1" applyBorder="1" applyAlignment="1">
      <alignment horizontal="center" vertical="center"/>
    </xf>
    <xf numFmtId="0" fontId="5" fillId="22" borderId="64" xfId="34" applyFont="1" applyFill="1" applyBorder="1" applyAlignment="1">
      <alignment vertical="center"/>
    </xf>
    <xf numFmtId="3" fontId="5" fillId="22" borderId="67" xfId="34" applyNumberFormat="1" applyFont="1" applyFill="1" applyBorder="1" applyAlignment="1">
      <alignment vertical="center"/>
    </xf>
    <xf numFmtId="3" fontId="5" fillId="0" borderId="128" xfId="34" applyNumberFormat="1" applyFont="1" applyFill="1" applyBorder="1" applyAlignment="1">
      <alignment horizontal="right" vertical="center"/>
    </xf>
    <xf numFmtId="0" fontId="2" fillId="22" borderId="64" xfId="34" applyFont="1" applyFill="1" applyBorder="1" applyAlignment="1">
      <alignment vertical="center" wrapText="1"/>
    </xf>
    <xf numFmtId="0" fontId="8" fillId="0" borderId="64" xfId="34" applyFont="1" applyFill="1" applyBorder="1" applyAlignment="1">
      <alignment horizontal="left"/>
    </xf>
    <xf numFmtId="0" fontId="2" fillId="0" borderId="64" xfId="34" applyFont="1" applyFill="1" applyBorder="1" applyAlignment="1">
      <alignment horizontal="left" wrapText="1"/>
    </xf>
    <xf numFmtId="3" fontId="2" fillId="22" borderId="90" xfId="34" applyNumberFormat="1" applyFont="1" applyFill="1" applyBorder="1" applyAlignment="1">
      <alignment vertical="center"/>
    </xf>
    <xf numFmtId="0" fontId="2" fillId="22" borderId="89" xfId="34" applyFont="1" applyFill="1" applyBorder="1" applyAlignment="1">
      <alignment horizontal="center" vertical="center"/>
    </xf>
    <xf numFmtId="0" fontId="2" fillId="22" borderId="90" xfId="34" applyFont="1" applyFill="1" applyBorder="1" applyAlignment="1">
      <alignment vertical="center"/>
    </xf>
    <xf numFmtId="3" fontId="2" fillId="22" borderId="129" xfId="34" applyNumberFormat="1" applyFont="1" applyFill="1" applyBorder="1" applyAlignment="1">
      <alignment vertical="center"/>
    </xf>
    <xf numFmtId="0" fontId="2" fillId="0" borderId="130" xfId="34" applyFont="1" applyFill="1" applyBorder="1" applyAlignment="1">
      <alignment vertical="center"/>
    </xf>
    <xf numFmtId="0" fontId="17" fillId="22" borderId="137" xfId="34" applyFont="1" applyFill="1" applyBorder="1" applyAlignment="1">
      <alignment horizontal="center" vertical="center"/>
    </xf>
    <xf numFmtId="0" fontId="17" fillId="22" borderId="138" xfId="34" applyFont="1" applyFill="1" applyBorder="1" applyAlignment="1">
      <alignment vertical="center"/>
    </xf>
    <xf numFmtId="3" fontId="17" fillId="22" borderId="138" xfId="34" applyNumberFormat="1" applyFont="1" applyFill="1" applyBorder="1" applyAlignment="1">
      <alignment vertical="center"/>
    </xf>
    <xf numFmtId="3" fontId="47" fillId="22" borderId="138" xfId="34" applyNumberFormat="1" applyFont="1" applyFill="1" applyBorder="1" applyAlignment="1">
      <alignment vertical="center"/>
    </xf>
    <xf numFmtId="3" fontId="17" fillId="0" borderId="139" xfId="34" applyNumberFormat="1" applyFont="1" applyFill="1" applyBorder="1" applyAlignment="1">
      <alignment vertical="center"/>
    </xf>
    <xf numFmtId="3" fontId="7" fillId="0" borderId="114" xfId="0" applyNumberFormat="1" applyFont="1" applyFill="1" applyBorder="1" applyAlignment="1" applyProtection="1">
      <alignment vertical="center"/>
      <protection locked="0"/>
    </xf>
    <xf numFmtId="165" fontId="19" fillId="0" borderId="97" xfId="0" applyNumberFormat="1" applyFont="1" applyFill="1" applyBorder="1" applyAlignment="1">
      <alignment vertical="center"/>
    </xf>
    <xf numFmtId="165" fontId="19" fillId="0" borderId="99" xfId="0" applyNumberFormat="1" applyFont="1" applyFill="1" applyBorder="1" applyAlignment="1">
      <alignment vertical="center"/>
    </xf>
    <xf numFmtId="165" fontId="19" fillId="0" borderId="101" xfId="0" applyNumberFormat="1" applyFont="1" applyFill="1" applyBorder="1" applyAlignment="1">
      <alignment vertical="center"/>
    </xf>
    <xf numFmtId="166" fontId="13" fillId="22" borderId="0" xfId="32" applyNumberFormat="1" applyFont="1" applyFill="1" applyAlignment="1">
      <alignment horizontal="left"/>
    </xf>
    <xf numFmtId="166" fontId="13" fillId="22" borderId="0" xfId="32" applyNumberFormat="1" applyFont="1" applyFill="1"/>
    <xf numFmtId="0" fontId="84" fillId="0" borderId="0" xfId="32" applyFill="1" applyAlignment="1">
      <alignment horizontal="center"/>
    </xf>
    <xf numFmtId="0" fontId="84" fillId="0" borderId="0" xfId="32" applyAlignment="1">
      <alignment horizontal="center"/>
    </xf>
    <xf numFmtId="0" fontId="84" fillId="22" borderId="0" xfId="32" applyFill="1" applyAlignment="1">
      <alignment horizontal="center"/>
    </xf>
    <xf numFmtId="0" fontId="2" fillId="22" borderId="0" xfId="32" applyFont="1" applyFill="1"/>
    <xf numFmtId="0" fontId="2" fillId="22" borderId="0" xfId="32" applyFont="1" applyFill="1" applyBorder="1"/>
    <xf numFmtId="0" fontId="2" fillId="0" borderId="0" xfId="32" applyFont="1" applyFill="1"/>
    <xf numFmtId="0" fontId="2" fillId="0" borderId="0" xfId="32" applyFont="1"/>
    <xf numFmtId="0" fontId="2" fillId="22" borderId="0" xfId="32" applyFont="1" applyFill="1" applyBorder="1" applyAlignment="1">
      <alignment horizontal="center"/>
    </xf>
    <xf numFmtId="0" fontId="2" fillId="22" borderId="0" xfId="32" applyFont="1" applyFill="1" applyBorder="1" applyAlignment="1"/>
    <xf numFmtId="0" fontId="2" fillId="0" borderId="0" xfId="32" applyFont="1" applyAlignment="1">
      <alignment horizontal="center"/>
    </xf>
    <xf numFmtId="3" fontId="51" fillId="0" borderId="0" xfId="32" applyNumberFormat="1" applyFont="1"/>
    <xf numFmtId="3" fontId="51" fillId="22" borderId="0" xfId="32" applyNumberFormat="1" applyFont="1" applyFill="1" applyBorder="1"/>
    <xf numFmtId="0" fontId="51" fillId="0" borderId="0" xfId="32" applyFont="1"/>
    <xf numFmtId="0" fontId="51" fillId="22" borderId="0" xfId="32" applyFont="1" applyFill="1" applyBorder="1" applyAlignment="1">
      <alignment vertical="center" wrapText="1"/>
    </xf>
    <xf numFmtId="3" fontId="51" fillId="22" borderId="0" xfId="32" applyNumberFormat="1" applyFont="1" applyFill="1" applyBorder="1" applyAlignment="1">
      <alignment vertical="center"/>
    </xf>
    <xf numFmtId="4" fontId="2" fillId="0" borderId="0" xfId="32" applyNumberFormat="1" applyFont="1"/>
    <xf numFmtId="3" fontId="2" fillId="0" borderId="0" xfId="32" applyNumberFormat="1" applyFont="1"/>
    <xf numFmtId="0" fontId="7" fillId="21" borderId="140" xfId="0" applyFont="1" applyFill="1" applyBorder="1" applyAlignment="1">
      <alignment horizontal="center"/>
    </xf>
    <xf numFmtId="0" fontId="8" fillId="21" borderId="141" xfId="0" applyFont="1" applyFill="1" applyBorder="1" applyAlignment="1">
      <alignment horizontal="center"/>
    </xf>
    <xf numFmtId="4" fontId="47" fillId="26" borderId="138" xfId="0" applyNumberFormat="1" applyFont="1" applyFill="1" applyBorder="1" applyAlignment="1" applyProtection="1">
      <alignment vertical="center"/>
      <protection hidden="1"/>
    </xf>
    <xf numFmtId="4" fontId="47" fillId="27" borderId="15" xfId="0" applyNumberFormat="1" applyFont="1" applyFill="1" applyBorder="1" applyAlignment="1" applyProtection="1">
      <alignment vertical="center"/>
      <protection hidden="1"/>
    </xf>
    <xf numFmtId="4" fontId="47" fillId="27" borderId="128" xfId="0" applyNumberFormat="1" applyFont="1" applyFill="1" applyBorder="1" applyAlignment="1" applyProtection="1">
      <alignment vertical="center"/>
      <protection hidden="1"/>
    </xf>
    <xf numFmtId="4" fontId="47" fillId="26" borderId="139" xfId="0" applyNumberFormat="1" applyFont="1" applyFill="1" applyBorder="1" applyAlignment="1" applyProtection="1">
      <alignment vertical="center"/>
      <protection hidden="1"/>
    </xf>
    <xf numFmtId="0" fontId="19" fillId="22" borderId="0" xfId="0" applyFont="1" applyFill="1" applyBorder="1" applyAlignment="1">
      <alignment horizontal="center"/>
    </xf>
    <xf numFmtId="0" fontId="87" fillId="22" borderId="86" xfId="0" applyFont="1" applyFill="1" applyBorder="1" applyAlignment="1">
      <alignment horizontal="left"/>
    </xf>
    <xf numFmtId="0" fontId="87" fillId="22" borderId="64" xfId="0" applyFont="1" applyFill="1" applyBorder="1" applyAlignment="1">
      <alignment horizontal="left"/>
    </xf>
    <xf numFmtId="0" fontId="20" fillId="22" borderId="0" xfId="0" applyFont="1" applyFill="1"/>
    <xf numFmtId="0" fontId="4" fillId="22" borderId="0" xfId="0" applyFont="1" applyFill="1"/>
    <xf numFmtId="0" fontId="4" fillId="22" borderId="0" xfId="0" applyFont="1" applyFill="1" applyAlignment="1"/>
    <xf numFmtId="0" fontId="19" fillId="22" borderId="0" xfId="0" applyFont="1" applyFill="1" applyAlignment="1">
      <alignment horizontal="center"/>
    </xf>
    <xf numFmtId="0" fontId="4" fillId="22" borderId="0" xfId="0" applyFont="1" applyFill="1" applyAlignment="1">
      <alignment horizontal="center"/>
    </xf>
    <xf numFmtId="0" fontId="4" fillId="22" borderId="0" xfId="0" applyFont="1" applyFill="1" applyBorder="1"/>
    <xf numFmtId="0" fontId="5" fillId="22" borderId="64" xfId="0" applyFont="1" applyFill="1" applyBorder="1" applyAlignment="1">
      <alignment horizontal="left"/>
    </xf>
    <xf numFmtId="0" fontId="2" fillId="22" borderId="0" xfId="0" applyFont="1" applyFill="1" applyAlignment="1">
      <alignment vertical="top"/>
    </xf>
    <xf numFmtId="0" fontId="88" fillId="22" borderId="143" xfId="0" applyFont="1" applyFill="1" applyBorder="1" applyAlignment="1">
      <alignment horizontal="left" vertical="center"/>
    </xf>
    <xf numFmtId="3" fontId="88" fillId="22" borderId="143" xfId="0" applyNumberFormat="1" applyFont="1" applyFill="1" applyBorder="1" applyAlignment="1">
      <alignment horizontal="right" vertical="center"/>
    </xf>
    <xf numFmtId="3" fontId="88" fillId="0" borderId="143" xfId="0" applyNumberFormat="1" applyFont="1" applyFill="1" applyBorder="1" applyAlignment="1">
      <alignment horizontal="right" vertical="center"/>
    </xf>
    <xf numFmtId="4" fontId="88" fillId="0" borderId="144" xfId="0" applyNumberFormat="1" applyFont="1" applyFill="1" applyBorder="1" applyAlignment="1">
      <alignment horizontal="right" vertical="center"/>
    </xf>
    <xf numFmtId="4" fontId="89" fillId="23" borderId="42" xfId="0" applyNumberFormat="1" applyFont="1" applyFill="1" applyBorder="1" applyAlignment="1">
      <alignment horizontal="right"/>
    </xf>
    <xf numFmtId="0" fontId="89" fillId="22" borderId="89" xfId="0" applyFont="1" applyFill="1" applyBorder="1" applyAlignment="1">
      <alignment horizontal="center"/>
    </xf>
    <xf numFmtId="0" fontId="89" fillId="22" borderId="90" xfId="0" applyFont="1" applyFill="1" applyBorder="1" applyAlignment="1">
      <alignment horizontal="left"/>
    </xf>
    <xf numFmtId="3" fontId="89" fillId="22" borderId="90" xfId="0" applyNumberFormat="1" applyFont="1" applyFill="1" applyBorder="1" applyAlignment="1">
      <alignment horizontal="right"/>
    </xf>
    <xf numFmtId="3" fontId="89" fillId="0" borderId="90" xfId="0" applyNumberFormat="1" applyFont="1" applyFill="1" applyBorder="1" applyAlignment="1">
      <alignment horizontal="right"/>
    </xf>
    <xf numFmtId="0" fontId="90" fillId="0" borderId="62" xfId="0" applyFont="1" applyBorder="1" applyAlignment="1">
      <alignment horizontal="center"/>
    </xf>
    <xf numFmtId="0" fontId="90" fillId="0" borderId="64" xfId="0" applyFont="1" applyFill="1" applyBorder="1" applyAlignment="1">
      <alignment horizontal="left"/>
    </xf>
    <xf numFmtId="0" fontId="90" fillId="0" borderId="64" xfId="0" applyFont="1" applyBorder="1"/>
    <xf numFmtId="0" fontId="90" fillId="21" borderId="21" xfId="0" applyFont="1" applyFill="1" applyBorder="1" applyAlignment="1">
      <alignment horizontal="left"/>
    </xf>
    <xf numFmtId="3" fontId="90" fillId="21" borderId="21" xfId="0" applyNumberFormat="1" applyFont="1" applyFill="1" applyBorder="1" applyAlignment="1">
      <alignment horizontal="right"/>
    </xf>
    <xf numFmtId="3" fontId="90" fillId="21" borderId="30" xfId="0" applyNumberFormat="1" applyFont="1" applyFill="1" applyBorder="1" applyAlignment="1">
      <alignment horizontal="right"/>
    </xf>
    <xf numFmtId="0" fontId="90" fillId="22" borderId="62" xfId="0" applyFont="1" applyFill="1" applyBorder="1" applyAlignment="1">
      <alignment horizontal="center" vertical="center"/>
    </xf>
    <xf numFmtId="0" fontId="90" fillId="22" borderId="64" xfId="0" applyFont="1" applyFill="1" applyBorder="1" applyAlignment="1">
      <alignment horizontal="left" vertical="center" wrapText="1"/>
    </xf>
    <xf numFmtId="3" fontId="90" fillId="22" borderId="64" xfId="0" applyNumberFormat="1" applyFont="1" applyFill="1" applyBorder="1" applyAlignment="1">
      <alignment horizontal="right" vertical="center"/>
    </xf>
    <xf numFmtId="0" fontId="90" fillId="21" borderId="64" xfId="0" applyFont="1" applyFill="1" applyBorder="1" applyAlignment="1">
      <alignment horizontal="left"/>
    </xf>
    <xf numFmtId="3" fontId="90" fillId="21" borderId="64" xfId="0" applyNumberFormat="1" applyFont="1" applyFill="1" applyBorder="1" applyAlignment="1">
      <alignment horizontal="right"/>
    </xf>
    <xf numFmtId="3" fontId="90" fillId="21" borderId="128" xfId="0" applyNumberFormat="1" applyFont="1" applyFill="1" applyBorder="1" applyAlignment="1">
      <alignment horizontal="right"/>
    </xf>
    <xf numFmtId="0" fontId="90" fillId="22" borderId="62" xfId="0" applyFont="1" applyFill="1" applyBorder="1" applyAlignment="1">
      <alignment horizontal="center"/>
    </xf>
    <xf numFmtId="0" fontId="90" fillId="0" borderId="86" xfId="0" applyFont="1" applyFill="1" applyBorder="1" applyAlignment="1">
      <alignment horizontal="left"/>
    </xf>
    <xf numFmtId="3" fontId="90" fillId="22" borderId="64" xfId="0" applyNumberFormat="1" applyFont="1" applyFill="1" applyBorder="1" applyAlignment="1">
      <alignment horizontal="right" wrapText="1"/>
    </xf>
    <xf numFmtId="3" fontId="90" fillId="0" borderId="64" xfId="0" applyNumberFormat="1" applyFont="1" applyFill="1" applyBorder="1" applyAlignment="1">
      <alignment horizontal="right" wrapText="1"/>
    </xf>
    <xf numFmtId="0" fontId="90" fillId="22" borderId="64" xfId="0" applyFont="1" applyFill="1" applyBorder="1"/>
    <xf numFmtId="0" fontId="90" fillId="22" borderId="128" xfId="0" applyFont="1" applyFill="1" applyBorder="1"/>
    <xf numFmtId="3" fontId="90" fillId="0" borderId="64" xfId="0" applyNumberFormat="1" applyFont="1" applyFill="1" applyBorder="1" applyAlignment="1">
      <alignment horizontal="right" vertical="center"/>
    </xf>
    <xf numFmtId="3" fontId="90" fillId="0" borderId="64" xfId="0" applyNumberFormat="1" applyFont="1" applyFill="1" applyBorder="1"/>
    <xf numFmtId="0" fontId="90" fillId="22" borderId="64" xfId="0" applyFont="1" applyFill="1" applyBorder="1" applyAlignment="1">
      <alignment vertical="top"/>
    </xf>
    <xf numFmtId="0" fontId="90" fillId="22" borderId="128" xfId="0" applyFont="1" applyFill="1" applyBorder="1" applyAlignment="1">
      <alignment vertical="top"/>
    </xf>
    <xf numFmtId="0" fontId="88" fillId="22" borderId="146" xfId="0" applyFont="1" applyFill="1" applyBorder="1" applyAlignment="1">
      <alignment horizontal="center" vertical="center"/>
    </xf>
    <xf numFmtId="0" fontId="90" fillId="22" borderId="64" xfId="0" applyFont="1" applyFill="1" applyBorder="1" applyAlignment="1">
      <alignment horizontal="left"/>
    </xf>
    <xf numFmtId="3" fontId="90" fillId="22" borderId="64" xfId="0" applyNumberFormat="1" applyFont="1" applyFill="1" applyBorder="1" applyAlignment="1">
      <alignment horizontal="right"/>
    </xf>
    <xf numFmtId="3" fontId="90" fillId="0" borderId="64" xfId="0" applyNumberFormat="1" applyFont="1" applyFill="1" applyBorder="1" applyAlignment="1">
      <alignment horizontal="right"/>
    </xf>
    <xf numFmtId="3" fontId="88" fillId="0" borderId="64" xfId="0" applyNumberFormat="1" applyFont="1" applyFill="1" applyBorder="1" applyAlignment="1">
      <alignment horizontal="right" vertical="center"/>
    </xf>
    <xf numFmtId="4" fontId="90" fillId="22" borderId="128" xfId="0" applyNumberFormat="1" applyFont="1" applyFill="1" applyBorder="1" applyAlignment="1">
      <alignment vertical="center"/>
    </xf>
    <xf numFmtId="0" fontId="90" fillId="21" borderId="21" xfId="0" applyFont="1" applyFill="1" applyBorder="1" applyAlignment="1">
      <alignment vertical="center"/>
    </xf>
    <xf numFmtId="3" fontId="90" fillId="21" borderId="21" xfId="0" applyNumberFormat="1" applyFont="1" applyFill="1" applyBorder="1" applyAlignment="1">
      <alignment horizontal="right" vertical="center"/>
    </xf>
    <xf numFmtId="4" fontId="90" fillId="21" borderId="30" xfId="0" applyNumberFormat="1" applyFont="1" applyFill="1" applyBorder="1" applyAlignment="1">
      <alignment horizontal="right" vertical="center"/>
    </xf>
    <xf numFmtId="0" fontId="36" fillId="21" borderId="10" xfId="0" applyFont="1" applyFill="1" applyBorder="1" applyAlignment="1">
      <alignment horizontal="center"/>
    </xf>
    <xf numFmtId="0" fontId="36" fillId="21" borderId="13" xfId="0" applyFont="1" applyFill="1" applyBorder="1" applyAlignment="1">
      <alignment horizontal="center" vertical="center"/>
    </xf>
    <xf numFmtId="0" fontId="36" fillId="21" borderId="11" xfId="0" applyFont="1" applyFill="1" applyBorder="1" applyAlignment="1">
      <alignment horizontal="center" vertical="top"/>
    </xf>
    <xf numFmtId="3" fontId="0" fillId="0" borderId="0" xfId="0" applyNumberFormat="1" applyBorder="1"/>
    <xf numFmtId="0" fontId="2" fillId="21" borderId="41" xfId="0" applyFont="1" applyFill="1" applyBorder="1" applyAlignment="1">
      <alignment horizontal="center" vertical="center"/>
    </xf>
    <xf numFmtId="0" fontId="2" fillId="21" borderId="120" xfId="0" applyFont="1" applyFill="1" applyBorder="1" applyAlignment="1">
      <alignment horizontal="center" vertical="center"/>
    </xf>
    <xf numFmtId="0" fontId="4" fillId="21" borderId="49" xfId="0" applyFont="1" applyFill="1" applyBorder="1" applyAlignment="1">
      <alignment horizontal="center" vertical="center"/>
    </xf>
    <xf numFmtId="0" fontId="4" fillId="21" borderId="46" xfId="0" applyFont="1" applyFill="1" applyBorder="1" applyAlignment="1">
      <alignment horizontal="center" vertical="center"/>
    </xf>
    <xf numFmtId="0" fontId="2" fillId="21" borderId="56" xfId="0" applyFont="1" applyFill="1" applyBorder="1" applyAlignment="1">
      <alignment horizontal="center" vertical="center"/>
    </xf>
    <xf numFmtId="0" fontId="2" fillId="21" borderId="5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4" fillId="21" borderId="47" xfId="0" applyFont="1" applyFill="1" applyBorder="1" applyAlignment="1">
      <alignment horizontal="center" vertical="center"/>
    </xf>
    <xf numFmtId="0" fontId="4" fillId="21" borderId="40" xfId="0" applyFont="1" applyFill="1" applyBorder="1" applyAlignment="1">
      <alignment horizontal="center" vertical="center"/>
    </xf>
    <xf numFmtId="0" fontId="83" fillId="0" borderId="0" xfId="0" applyFont="1"/>
    <xf numFmtId="0" fontId="83" fillId="0" borderId="0" xfId="0" applyFont="1" applyAlignment="1">
      <alignment horizontal="right"/>
    </xf>
    <xf numFmtId="0" fontId="81" fillId="0" borderId="0" xfId="0" applyFont="1"/>
    <xf numFmtId="0" fontId="91" fillId="0" borderId="0" xfId="0" applyFont="1" applyAlignment="1"/>
    <xf numFmtId="0" fontId="92" fillId="0" borderId="0" xfId="0" applyFont="1"/>
    <xf numFmtId="0" fontId="93" fillId="0" borderId="0" xfId="0" applyFont="1" applyAlignment="1"/>
    <xf numFmtId="0" fontId="81" fillId="0" borderId="0" xfId="0" applyFont="1" applyBorder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81" fillId="0" borderId="0" xfId="0" applyFont="1" applyBorder="1"/>
    <xf numFmtId="0" fontId="83" fillId="0" borderId="0" xfId="0" applyFont="1" applyBorder="1"/>
    <xf numFmtId="3" fontId="81" fillId="0" borderId="0" xfId="0" applyNumberFormat="1" applyFont="1" applyBorder="1"/>
    <xf numFmtId="3" fontId="81" fillId="0" borderId="0" xfId="0" applyNumberFormat="1" applyFont="1" applyAlignment="1">
      <alignment horizontal="right"/>
    </xf>
    <xf numFmtId="0" fontId="81" fillId="0" borderId="0" xfId="0" applyFont="1" applyAlignment="1">
      <alignment horizontal="right"/>
    </xf>
    <xf numFmtId="3" fontId="81" fillId="0" borderId="0" xfId="0" applyNumberFormat="1" applyFont="1"/>
    <xf numFmtId="3" fontId="83" fillId="0" borderId="0" xfId="0" applyNumberFormat="1" applyFont="1"/>
    <xf numFmtId="3" fontId="96" fillId="0" borderId="0" xfId="0" applyNumberFormat="1" applyFont="1" applyBorder="1" applyAlignment="1">
      <alignment horizontal="right"/>
    </xf>
    <xf numFmtId="3" fontId="83" fillId="0" borderId="0" xfId="0" applyNumberFormat="1" applyFont="1" applyAlignment="1">
      <alignment horizontal="right"/>
    </xf>
    <xf numFmtId="165" fontId="19" fillId="0" borderId="100" xfId="0" applyNumberFormat="1" applyFont="1" applyFill="1" applyBorder="1" applyAlignment="1">
      <alignment vertical="center"/>
    </xf>
    <xf numFmtId="0" fontId="39" fillId="21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1" fontId="2" fillId="0" borderId="32" xfId="0" applyNumberFormat="1" applyFont="1" applyFill="1" applyBorder="1" applyAlignment="1">
      <alignment horizontal="center"/>
    </xf>
    <xf numFmtId="1" fontId="7" fillId="0" borderId="32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1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2" fillId="0" borderId="0" xfId="0" applyNumberFormat="1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142" xfId="0" applyFont="1" applyFill="1" applyBorder="1" applyAlignment="1" applyProtection="1">
      <alignment horizontal="center"/>
    </xf>
    <xf numFmtId="0" fontId="2" fillId="0" borderId="140" xfId="0" applyFont="1" applyFill="1" applyBorder="1" applyAlignment="1" applyProtection="1">
      <alignment horizontal="center"/>
    </xf>
    <xf numFmtId="0" fontId="2" fillId="0" borderId="147" xfId="0" applyFont="1" applyFill="1" applyBorder="1" applyAlignment="1" applyProtection="1">
      <alignment horizontal="center"/>
    </xf>
    <xf numFmtId="49" fontId="2" fillId="0" borderId="89" xfId="0" applyNumberFormat="1" applyFont="1" applyFill="1" applyBorder="1" applyAlignment="1" applyProtection="1">
      <alignment horizontal="center" vertical="center"/>
    </xf>
    <xf numFmtId="0" fontId="2" fillId="0" borderId="90" xfId="0" applyFont="1" applyFill="1" applyBorder="1" applyAlignment="1" applyProtection="1">
      <alignment horizontal="center" vertical="center"/>
    </xf>
    <xf numFmtId="0" fontId="2" fillId="0" borderId="149" xfId="0" applyFont="1" applyFill="1" applyBorder="1" applyAlignment="1" applyProtection="1">
      <alignment horizontal="center" vertical="center"/>
    </xf>
    <xf numFmtId="3" fontId="7" fillId="0" borderId="114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center" vertical="center"/>
    </xf>
    <xf numFmtId="3" fontId="36" fillId="21" borderId="15" xfId="0" applyNumberFormat="1" applyFont="1" applyFill="1" applyBorder="1" applyAlignment="1">
      <alignment horizontal="right"/>
    </xf>
    <xf numFmtId="0" fontId="36" fillId="22" borderId="14" xfId="0" applyFont="1" applyFill="1" applyBorder="1" applyAlignment="1">
      <alignment horizontal="center"/>
    </xf>
    <xf numFmtId="0" fontId="36" fillId="22" borderId="150" xfId="0" applyFont="1" applyFill="1" applyBorder="1" applyAlignment="1">
      <alignment horizontal="left"/>
    </xf>
    <xf numFmtId="0" fontId="99" fillId="0" borderId="0" xfId="0" applyFont="1" applyFill="1" applyAlignment="1"/>
    <xf numFmtId="0" fontId="2" fillId="0" borderId="34" xfId="0" applyNumberFormat="1" applyFont="1" applyFill="1" applyBorder="1" applyAlignment="1">
      <alignment vertical="center" wrapText="1"/>
    </xf>
    <xf numFmtId="0" fontId="2" fillId="0" borderId="35" xfId="0" applyNumberFormat="1" applyFont="1" applyFill="1" applyBorder="1" applyAlignment="1">
      <alignment vertical="center" wrapText="1"/>
    </xf>
    <xf numFmtId="0" fontId="2" fillId="0" borderId="26" xfId="0" applyNumberFormat="1" applyFont="1" applyFill="1" applyBorder="1" applyAlignment="1">
      <alignment vertical="center" wrapText="1"/>
    </xf>
    <xf numFmtId="0" fontId="7" fillId="21" borderId="10" xfId="0" applyFont="1" applyFill="1" applyBorder="1" applyAlignment="1">
      <alignment horizontal="center"/>
    </xf>
    <xf numFmtId="0" fontId="7" fillId="21" borderId="13" xfId="0" applyFont="1" applyFill="1" applyBorder="1" applyAlignment="1">
      <alignment horizontal="center"/>
    </xf>
    <xf numFmtId="3" fontId="18" fillId="21" borderId="21" xfId="0" applyNumberFormat="1" applyFont="1" applyFill="1" applyBorder="1" applyAlignment="1">
      <alignment horizontal="right"/>
    </xf>
    <xf numFmtId="3" fontId="18" fillId="21" borderId="30" xfId="0" applyNumberFormat="1" applyFont="1" applyFill="1" applyBorder="1" applyAlignment="1">
      <alignment horizontal="right"/>
    </xf>
    <xf numFmtId="4" fontId="4" fillId="21" borderId="30" xfId="0" applyNumberFormat="1" applyFont="1" applyFill="1" applyBorder="1" applyAlignment="1">
      <alignment horizontal="right" vertical="center"/>
    </xf>
    <xf numFmtId="3" fontId="36" fillId="21" borderId="41" xfId="0" applyNumberFormat="1" applyFont="1" applyFill="1" applyBorder="1" applyAlignment="1">
      <alignment horizontal="right"/>
    </xf>
    <xf numFmtId="4" fontId="36" fillId="21" borderId="42" xfId="0" applyNumberFormat="1" applyFont="1" applyFill="1" applyBorder="1" applyAlignment="1">
      <alignment horizontal="right"/>
    </xf>
    <xf numFmtId="3" fontId="36" fillId="21" borderId="21" xfId="0" applyNumberFormat="1" applyFont="1" applyFill="1" applyBorder="1" applyAlignment="1">
      <alignment horizontal="right"/>
    </xf>
    <xf numFmtId="4" fontId="36" fillId="21" borderId="30" xfId="0" applyNumberFormat="1" applyFont="1" applyFill="1" applyBorder="1" applyAlignment="1">
      <alignment horizontal="right"/>
    </xf>
    <xf numFmtId="0" fontId="4" fillId="22" borderId="64" xfId="0" applyFont="1" applyFill="1" applyBorder="1" applyAlignment="1">
      <alignment horizontal="left" vertical="center"/>
    </xf>
    <xf numFmtId="0" fontId="2" fillId="21" borderId="10" xfId="0" applyFont="1" applyFill="1" applyBorder="1" applyAlignment="1">
      <alignment horizontal="center" wrapText="1"/>
    </xf>
    <xf numFmtId="0" fontId="2" fillId="21" borderId="13" xfId="0" applyFont="1" applyFill="1" applyBorder="1" applyAlignment="1">
      <alignment horizontal="center" wrapText="1"/>
    </xf>
    <xf numFmtId="0" fontId="2" fillId="21" borderId="11" xfId="0" applyFont="1" applyFill="1" applyBorder="1" applyAlignment="1">
      <alignment horizontal="center" wrapText="1"/>
    </xf>
    <xf numFmtId="0" fontId="36" fillId="21" borderId="13" xfId="0" applyFont="1" applyFill="1" applyBorder="1" applyAlignment="1">
      <alignment horizontal="center"/>
    </xf>
    <xf numFmtId="0" fontId="36" fillId="21" borderId="11" xfId="0" applyFont="1" applyFill="1" applyBorder="1" applyAlignment="1">
      <alignment horizontal="center"/>
    </xf>
    <xf numFmtId="0" fontId="4" fillId="22" borderId="62" xfId="0" applyFont="1" applyFill="1" applyBorder="1" applyAlignment="1">
      <alignment horizontal="center" vertical="top"/>
    </xf>
    <xf numFmtId="0" fontId="4" fillId="22" borderId="142" xfId="0" applyFont="1" applyFill="1" applyBorder="1"/>
    <xf numFmtId="0" fontId="36" fillId="21" borderId="152" xfId="0" applyFont="1" applyFill="1" applyBorder="1" applyAlignment="1">
      <alignment horizontal="center"/>
    </xf>
    <xf numFmtId="0" fontId="4" fillId="22" borderId="116" xfId="0" applyFont="1" applyFill="1" applyBorder="1" applyAlignment="1">
      <alignment horizontal="center"/>
    </xf>
    <xf numFmtId="0" fontId="39" fillId="22" borderId="116" xfId="0" applyFont="1" applyFill="1" applyBorder="1" applyAlignment="1">
      <alignment horizontal="center"/>
    </xf>
    <xf numFmtId="0" fontId="36" fillId="21" borderId="153" xfId="0" applyFont="1" applyFill="1" applyBorder="1" applyAlignment="1">
      <alignment horizontal="center"/>
    </xf>
    <xf numFmtId="0" fontId="4" fillId="22" borderId="140" xfId="0" applyFont="1" applyFill="1" applyBorder="1"/>
    <xf numFmtId="0" fontId="36" fillId="21" borderId="1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left" vertical="center"/>
    </xf>
    <xf numFmtId="3" fontId="90" fillId="22" borderId="64" xfId="0" applyNumberFormat="1" applyFont="1" applyFill="1" applyBorder="1" applyAlignment="1">
      <alignment vertical="center"/>
    </xf>
    <xf numFmtId="3" fontId="6" fillId="0" borderId="43" xfId="0" applyNumberFormat="1" applyFont="1" applyFill="1" applyBorder="1"/>
    <xf numFmtId="3" fontId="6" fillId="0" borderId="44" xfId="0" applyNumberFormat="1" applyFont="1" applyFill="1" applyBorder="1"/>
    <xf numFmtId="3" fontId="6" fillId="0" borderId="60" xfId="0" applyNumberFormat="1" applyFont="1" applyFill="1" applyBorder="1"/>
    <xf numFmtId="3" fontId="6" fillId="0" borderId="29" xfId="0" applyNumberFormat="1" applyFont="1" applyFill="1" applyBorder="1"/>
    <xf numFmtId="3" fontId="6" fillId="0" borderId="12" xfId="0" applyNumberFormat="1" applyFont="1" applyFill="1" applyBorder="1"/>
    <xf numFmtId="3" fontId="6" fillId="0" borderId="21" xfId="0" applyNumberFormat="1" applyFont="1" applyFill="1" applyBorder="1"/>
    <xf numFmtId="3" fontId="6" fillId="0" borderId="21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center"/>
    </xf>
    <xf numFmtId="3" fontId="6" fillId="0" borderId="3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3" fontId="10" fillId="0" borderId="18" xfId="0" applyNumberFormat="1" applyFont="1" applyFill="1" applyBorder="1"/>
    <xf numFmtId="3" fontId="6" fillId="0" borderId="41" xfId="0" applyNumberFormat="1" applyFont="1" applyFill="1" applyBorder="1" applyAlignment="1">
      <alignment horizontal="center"/>
    </xf>
    <xf numFmtId="3" fontId="6" fillId="0" borderId="41" xfId="0" applyNumberFormat="1" applyFont="1" applyFill="1" applyBorder="1"/>
    <xf numFmtId="3" fontId="6" fillId="0" borderId="47" xfId="0" applyNumberFormat="1" applyFont="1" applyFill="1" applyBorder="1" applyAlignment="1">
      <alignment horizontal="center"/>
    </xf>
    <xf numFmtId="3" fontId="6" fillId="0" borderId="18" xfId="0" applyNumberFormat="1" applyFont="1" applyFill="1" applyBorder="1"/>
    <xf numFmtId="3" fontId="6" fillId="0" borderId="42" xfId="0" applyNumberFormat="1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center"/>
    </xf>
    <xf numFmtId="3" fontId="10" fillId="0" borderId="41" xfId="0" applyNumberFormat="1" applyFont="1" applyFill="1" applyBorder="1" applyAlignment="1">
      <alignment horizontal="center"/>
    </xf>
    <xf numFmtId="3" fontId="10" fillId="0" borderId="47" xfId="0" applyNumberFormat="1" applyFont="1" applyFill="1" applyBorder="1" applyAlignment="1">
      <alignment horizontal="center"/>
    </xf>
    <xf numFmtId="3" fontId="10" fillId="0" borderId="42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left"/>
    </xf>
    <xf numFmtId="3" fontId="10" fillId="0" borderId="21" xfId="0" applyNumberFormat="1" applyFont="1" applyFill="1" applyBorder="1" applyAlignment="1">
      <alignment horizontal="right"/>
    </xf>
    <xf numFmtId="3" fontId="6" fillId="0" borderId="17" xfId="0" applyNumberFormat="1" applyFont="1" applyFill="1" applyBorder="1"/>
    <xf numFmtId="3" fontId="6" fillId="0" borderId="15" xfId="0" applyNumberFormat="1" applyFont="1" applyFill="1" applyBorder="1"/>
    <xf numFmtId="3" fontId="6" fillId="0" borderId="30" xfId="0" applyNumberFormat="1" applyFont="1" applyFill="1" applyBorder="1"/>
    <xf numFmtId="3" fontId="6" fillId="0" borderId="42" xfId="0" applyNumberFormat="1" applyFont="1" applyFill="1" applyBorder="1"/>
    <xf numFmtId="3" fontId="10" fillId="0" borderId="49" xfId="0" applyNumberFormat="1" applyFont="1" applyFill="1" applyBorder="1"/>
    <xf numFmtId="3" fontId="10" fillId="0" borderId="28" xfId="0" applyNumberFormat="1" applyFont="1" applyFill="1" applyBorder="1"/>
    <xf numFmtId="3" fontId="10" fillId="0" borderId="38" xfId="0" applyNumberFormat="1" applyFont="1" applyFill="1" applyBorder="1"/>
    <xf numFmtId="3" fontId="10" fillId="0" borderId="12" xfId="0" applyNumberFormat="1" applyFont="1" applyFill="1" applyBorder="1"/>
    <xf numFmtId="3" fontId="10" fillId="0" borderId="21" xfId="0" applyNumberFormat="1" applyFont="1" applyFill="1" applyBorder="1"/>
    <xf numFmtId="3" fontId="10" fillId="0" borderId="15" xfId="0" applyNumberFormat="1" applyFont="1" applyFill="1" applyBorder="1"/>
    <xf numFmtId="3" fontId="6" fillId="0" borderId="47" xfId="0" applyNumberFormat="1" applyFont="1" applyFill="1" applyBorder="1"/>
    <xf numFmtId="3" fontId="10" fillId="0" borderId="30" xfId="0" applyNumberFormat="1" applyFont="1" applyFill="1" applyBorder="1"/>
    <xf numFmtId="3" fontId="6" fillId="0" borderId="46" xfId="0" applyNumberFormat="1" applyFont="1" applyFill="1" applyBorder="1"/>
    <xf numFmtId="3" fontId="10" fillId="0" borderId="41" xfId="0" applyNumberFormat="1" applyFont="1" applyFill="1" applyBorder="1"/>
    <xf numFmtId="3" fontId="10" fillId="0" borderId="42" xfId="0" applyNumberFormat="1" applyFont="1" applyFill="1" applyBorder="1"/>
    <xf numFmtId="3" fontId="10" fillId="0" borderId="36" xfId="0" applyNumberFormat="1" applyFont="1" applyFill="1" applyBorder="1"/>
    <xf numFmtId="3" fontId="10" fillId="0" borderId="52" xfId="0" applyNumberFormat="1" applyFont="1" applyFill="1" applyBorder="1"/>
    <xf numFmtId="3" fontId="10" fillId="0" borderId="61" xfId="0" applyNumberFormat="1" applyFont="1" applyFill="1" applyBorder="1"/>
    <xf numFmtId="3" fontId="10" fillId="0" borderId="27" xfId="0" applyNumberFormat="1" applyFont="1" applyFill="1" applyBorder="1"/>
    <xf numFmtId="3" fontId="10" fillId="0" borderId="154" xfId="0" applyNumberFormat="1" applyFont="1" applyFill="1" applyBorder="1"/>
    <xf numFmtId="3" fontId="10" fillId="0" borderId="31" xfId="0" applyNumberFormat="1" applyFont="1" applyFill="1" applyBorder="1"/>
    <xf numFmtId="3" fontId="2" fillId="22" borderId="0" xfId="0" applyNumberFormat="1" applyFont="1" applyFill="1" applyBorder="1" applyAlignment="1">
      <alignment horizontal="right"/>
    </xf>
    <xf numFmtId="3" fontId="8" fillId="22" borderId="0" xfId="0" applyNumberFormat="1" applyFont="1" applyFill="1" applyBorder="1" applyAlignment="1">
      <alignment vertical="center"/>
    </xf>
    <xf numFmtId="0" fontId="2" fillId="0" borderId="155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3" fontId="53" fillId="0" borderId="30" xfId="0" applyNumberFormat="1" applyFont="1" applyFill="1" applyBorder="1" applyAlignment="1">
      <alignment vertical="center"/>
    </xf>
    <xf numFmtId="3" fontId="54" fillId="21" borderId="47" xfId="0" applyNumberFormat="1" applyFont="1" applyFill="1" applyBorder="1" applyAlignment="1">
      <alignment vertical="center"/>
    </xf>
    <xf numFmtId="3" fontId="54" fillId="21" borderId="46" xfId="0" applyNumberFormat="1" applyFont="1" applyFill="1" applyBorder="1" applyAlignment="1">
      <alignment vertical="center"/>
    </xf>
    <xf numFmtId="3" fontId="54" fillId="21" borderId="24" xfId="0" applyNumberFormat="1" applyFont="1" applyFill="1" applyBorder="1" applyAlignment="1">
      <alignment vertical="center"/>
    </xf>
    <xf numFmtId="3" fontId="54" fillId="21" borderId="28" xfId="0" applyNumberFormat="1" applyFont="1" applyFill="1" applyBorder="1" applyAlignment="1">
      <alignment vertical="center"/>
    </xf>
    <xf numFmtId="0" fontId="22" fillId="0" borderId="15" xfId="0" applyFont="1" applyBorder="1" applyAlignment="1">
      <alignment horizontal="center"/>
    </xf>
    <xf numFmtId="3" fontId="100" fillId="21" borderId="93" xfId="0" applyNumberFormat="1" applyFont="1" applyFill="1" applyBorder="1" applyAlignment="1">
      <alignment vertical="center"/>
    </xf>
    <xf numFmtId="3" fontId="102" fillId="21" borderId="54" xfId="0" applyNumberFormat="1" applyFont="1" applyFill="1" applyBorder="1" applyAlignment="1">
      <alignment vertical="center"/>
    </xf>
    <xf numFmtId="3" fontId="102" fillId="21" borderId="58" xfId="0" applyNumberFormat="1" applyFont="1" applyFill="1" applyBorder="1" applyAlignment="1">
      <alignment vertical="center"/>
    </xf>
    <xf numFmtId="0" fontId="103" fillId="21" borderId="77" xfId="0" applyFont="1" applyFill="1" applyBorder="1" applyAlignment="1">
      <alignment vertical="center"/>
    </xf>
    <xf numFmtId="0" fontId="10" fillId="21" borderId="33" xfId="0" applyFont="1" applyFill="1" applyBorder="1"/>
    <xf numFmtId="0" fontId="19" fillId="0" borderId="0" xfId="0" applyFont="1" applyFill="1" applyAlignment="1"/>
    <xf numFmtId="0" fontId="54" fillId="21" borderId="0" xfId="0" applyFont="1" applyFill="1" applyAlignment="1"/>
    <xf numFmtId="0" fontId="10" fillId="21" borderId="29" xfId="0" applyFont="1" applyFill="1" applyBorder="1" applyAlignment="1">
      <alignment horizontal="center"/>
    </xf>
    <xf numFmtId="0" fontId="10" fillId="21" borderId="10" xfId="0" applyFont="1" applyFill="1" applyBorder="1"/>
    <xf numFmtId="0" fontId="10" fillId="21" borderId="30" xfId="0" applyFont="1" applyFill="1" applyBorder="1" applyAlignment="1">
      <alignment horizontal="center"/>
    </xf>
    <xf numFmtId="0" fontId="38" fillId="21" borderId="13" xfId="0" applyFont="1" applyFill="1" applyBorder="1" applyAlignment="1">
      <alignment horizontal="center"/>
    </xf>
    <xf numFmtId="0" fontId="38" fillId="21" borderId="156" xfId="0" applyFont="1" applyFill="1" applyBorder="1" applyAlignment="1">
      <alignment horizontal="center"/>
    </xf>
    <xf numFmtId="0" fontId="6" fillId="21" borderId="77" xfId="0" applyFont="1" applyFill="1" applyBorder="1" applyAlignment="1">
      <alignment horizontal="center"/>
    </xf>
    <xf numFmtId="0" fontId="6" fillId="21" borderId="38" xfId="0" applyFont="1" applyFill="1" applyBorder="1" applyAlignment="1">
      <alignment horizontal="center"/>
    </xf>
    <xf numFmtId="0" fontId="54" fillId="21" borderId="107" xfId="0" applyFont="1" applyFill="1" applyBorder="1" applyAlignment="1">
      <alignment horizontal="center"/>
    </xf>
    <xf numFmtId="3" fontId="6" fillId="21" borderId="42" xfId="0" applyNumberFormat="1" applyFont="1" applyFill="1" applyBorder="1" applyAlignment="1">
      <alignment vertical="center"/>
    </xf>
    <xf numFmtId="3" fontId="6" fillId="21" borderId="46" xfId="0" applyNumberFormat="1" applyFont="1" applyFill="1" applyBorder="1" applyAlignment="1">
      <alignment vertical="center"/>
    </xf>
    <xf numFmtId="3" fontId="6" fillId="21" borderId="47" xfId="0" applyNumberFormat="1" applyFont="1" applyFill="1" applyBorder="1" applyAlignment="1">
      <alignment vertical="center"/>
    </xf>
    <xf numFmtId="3" fontId="38" fillId="21" borderId="156" xfId="0" applyNumberFormat="1" applyFont="1" applyFill="1" applyBorder="1" applyAlignment="1">
      <alignment vertical="center"/>
    </xf>
    <xf numFmtId="3" fontId="0" fillId="21" borderId="0" xfId="0" applyNumberFormat="1" applyFill="1" applyBorder="1"/>
    <xf numFmtId="3" fontId="10" fillId="21" borderId="42" xfId="0" applyNumberFormat="1" applyFont="1" applyFill="1" applyBorder="1" applyAlignment="1">
      <alignment vertical="center"/>
    </xf>
    <xf numFmtId="3" fontId="10" fillId="21" borderId="46" xfId="0" applyNumberFormat="1" applyFont="1" applyFill="1" applyBorder="1" applyAlignment="1">
      <alignment vertical="center"/>
    </xf>
    <xf numFmtId="3" fontId="10" fillId="21" borderId="47" xfId="0" applyNumberFormat="1" applyFont="1" applyFill="1" applyBorder="1" applyAlignment="1">
      <alignment vertical="center"/>
    </xf>
    <xf numFmtId="3" fontId="38" fillId="21" borderId="107" xfId="0" applyNumberFormat="1" applyFont="1" applyFill="1" applyBorder="1" applyAlignment="1">
      <alignment vertical="center"/>
    </xf>
    <xf numFmtId="3" fontId="10" fillId="21" borderId="0" xfId="0" applyNumberFormat="1" applyFont="1" applyFill="1" applyBorder="1"/>
    <xf numFmtId="3" fontId="56" fillId="21" borderId="42" xfId="0" applyNumberFormat="1" applyFont="1" applyFill="1" applyBorder="1" applyAlignment="1">
      <alignment vertical="center"/>
    </xf>
    <xf numFmtId="3" fontId="56" fillId="21" borderId="46" xfId="0" applyNumberFormat="1" applyFont="1" applyFill="1" applyBorder="1" applyAlignment="1">
      <alignment vertical="center"/>
    </xf>
    <xf numFmtId="3" fontId="6" fillId="21" borderId="30" xfId="0" applyNumberFormat="1" applyFont="1" applyFill="1" applyBorder="1" applyAlignment="1">
      <alignment vertical="center"/>
    </xf>
    <xf numFmtId="3" fontId="6" fillId="21" borderId="15" xfId="0" applyNumberFormat="1" applyFont="1" applyFill="1" applyBorder="1" applyAlignment="1">
      <alignment vertical="center"/>
    </xf>
    <xf numFmtId="3" fontId="6" fillId="21" borderId="17" xfId="0" applyNumberFormat="1" applyFont="1" applyFill="1" applyBorder="1" applyAlignment="1">
      <alignment vertical="center"/>
    </xf>
    <xf numFmtId="3" fontId="38" fillId="21" borderId="13" xfId="0" applyNumberFormat="1" applyFont="1" applyFill="1" applyBorder="1" applyAlignment="1">
      <alignment vertical="center"/>
    </xf>
    <xf numFmtId="3" fontId="6" fillId="21" borderId="82" xfId="0" applyNumberFormat="1" applyFont="1" applyFill="1" applyBorder="1" applyAlignment="1">
      <alignment vertical="center"/>
    </xf>
    <xf numFmtId="3" fontId="6" fillId="21" borderId="157" xfId="0" applyNumberFormat="1" applyFont="1" applyFill="1" applyBorder="1" applyAlignment="1">
      <alignment vertical="center"/>
    </xf>
    <xf numFmtId="3" fontId="6" fillId="21" borderId="81" xfId="0" applyNumberFormat="1" applyFont="1" applyFill="1" applyBorder="1" applyAlignment="1">
      <alignment vertical="center"/>
    </xf>
    <xf numFmtId="3" fontId="54" fillId="21" borderId="158" xfId="0" applyNumberFormat="1" applyFont="1" applyFill="1" applyBorder="1" applyAlignment="1">
      <alignment vertical="center"/>
    </xf>
    <xf numFmtId="3" fontId="54" fillId="21" borderId="157" xfId="0" applyNumberFormat="1" applyFont="1" applyFill="1" applyBorder="1" applyAlignment="1">
      <alignment vertical="center"/>
    </xf>
    <xf numFmtId="3" fontId="10" fillId="21" borderId="158" xfId="0" applyNumberFormat="1" applyFont="1" applyFill="1" applyBorder="1" applyAlignment="1">
      <alignment vertical="center"/>
    </xf>
    <xf numFmtId="3" fontId="10" fillId="21" borderId="159" xfId="0" applyNumberFormat="1" applyFont="1" applyFill="1" applyBorder="1" applyAlignment="1">
      <alignment vertical="center"/>
    </xf>
    <xf numFmtId="0" fontId="10" fillId="21" borderId="4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38" fillId="0" borderId="58" xfId="0" applyFont="1" applyFill="1" applyBorder="1" applyAlignment="1">
      <alignment horizontal="center"/>
    </xf>
    <xf numFmtId="0" fontId="10" fillId="21" borderId="42" xfId="0" applyFont="1" applyFill="1" applyBorder="1" applyAlignment="1">
      <alignment horizontal="center"/>
    </xf>
    <xf numFmtId="0" fontId="6" fillId="21" borderId="58" xfId="0" applyFont="1" applyFill="1" applyBorder="1" applyAlignment="1">
      <alignment horizontal="center"/>
    </xf>
    <xf numFmtId="3" fontId="6" fillId="21" borderId="115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2" fillId="0" borderId="130" xfId="34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vertical="center"/>
    </xf>
    <xf numFmtId="0" fontId="2" fillId="0" borderId="26" xfId="0" applyNumberFormat="1" applyFont="1" applyFill="1" applyBorder="1" applyAlignment="1">
      <alignment vertical="center"/>
    </xf>
    <xf numFmtId="3" fontId="7" fillId="0" borderId="49" xfId="0" applyNumberFormat="1" applyFont="1" applyFill="1" applyBorder="1" applyAlignment="1">
      <alignment vertical="center"/>
    </xf>
    <xf numFmtId="0" fontId="19" fillId="0" borderId="160" xfId="0" applyFont="1" applyFill="1" applyBorder="1" applyAlignment="1">
      <alignment vertical="center"/>
    </xf>
    <xf numFmtId="0" fontId="51" fillId="22" borderId="86" xfId="32" applyFont="1" applyFill="1" applyBorder="1" applyAlignment="1">
      <alignment vertical="center" wrapText="1"/>
    </xf>
    <xf numFmtId="0" fontId="2" fillId="22" borderId="142" xfId="32" applyFont="1" applyFill="1" applyBorder="1" applyAlignment="1">
      <alignment horizontal="center"/>
    </xf>
    <xf numFmtId="0" fontId="3" fillId="0" borderId="142" xfId="32" applyFont="1" applyFill="1" applyBorder="1" applyAlignment="1">
      <alignment horizontal="center"/>
    </xf>
    <xf numFmtId="0" fontId="2" fillId="22" borderId="161" xfId="32" applyFont="1" applyFill="1" applyBorder="1" applyAlignment="1">
      <alignment horizontal="center"/>
    </xf>
    <xf numFmtId="0" fontId="2" fillId="22" borderId="116" xfId="32" applyFont="1" applyFill="1" applyBorder="1" applyAlignment="1">
      <alignment horizontal="center"/>
    </xf>
    <xf numFmtId="0" fontId="7" fillId="0" borderId="116" xfId="32" applyFont="1" applyFill="1" applyBorder="1" applyAlignment="1">
      <alignment horizontal="center"/>
    </xf>
    <xf numFmtId="0" fontId="2" fillId="22" borderId="162" xfId="32" applyFont="1" applyFill="1" applyBorder="1" applyAlignment="1">
      <alignment horizontal="center"/>
    </xf>
    <xf numFmtId="0" fontId="2" fillId="22" borderId="140" xfId="32" applyFont="1" applyFill="1" applyBorder="1" applyAlignment="1">
      <alignment horizontal="center"/>
    </xf>
    <xf numFmtId="0" fontId="8" fillId="0" borderId="140" xfId="32" applyFont="1" applyFill="1" applyBorder="1" applyAlignment="1">
      <alignment horizontal="center"/>
    </xf>
    <xf numFmtId="0" fontId="2" fillId="22" borderId="163" xfId="32" applyFont="1" applyFill="1" applyBorder="1" applyAlignment="1">
      <alignment horizontal="center"/>
    </xf>
    <xf numFmtId="0" fontId="2" fillId="22" borderId="164" xfId="32" applyFont="1" applyFill="1" applyBorder="1" applyAlignment="1">
      <alignment horizontal="center"/>
    </xf>
    <xf numFmtId="0" fontId="2" fillId="0" borderId="166" xfId="32" applyFont="1" applyFill="1" applyBorder="1" applyAlignment="1">
      <alignment horizontal="center"/>
    </xf>
    <xf numFmtId="0" fontId="17" fillId="22" borderId="62" xfId="32" applyFont="1" applyFill="1" applyBorder="1" applyAlignment="1">
      <alignment horizontal="center"/>
    </xf>
    <xf numFmtId="0" fontId="17" fillId="22" borderId="86" xfId="32" applyFont="1" applyFill="1" applyBorder="1"/>
    <xf numFmtId="3" fontId="51" fillId="0" borderId="64" xfId="32" applyNumberFormat="1" applyFont="1" applyFill="1" applyBorder="1"/>
    <xf numFmtId="4" fontId="17" fillId="22" borderId="64" xfId="32" applyNumberFormat="1" applyFont="1" applyFill="1" applyBorder="1"/>
    <xf numFmtId="3" fontId="51" fillId="22" borderId="167" xfId="32" applyNumberFormat="1" applyFont="1" applyFill="1" applyBorder="1" applyAlignment="1">
      <alignment horizontal="center"/>
    </xf>
    <xf numFmtId="3" fontId="51" fillId="22" borderId="64" xfId="32" applyNumberFormat="1" applyFont="1" applyFill="1" applyBorder="1"/>
    <xf numFmtId="3" fontId="17" fillId="22" borderId="64" xfId="32" applyNumberFormat="1" applyFont="1" applyFill="1" applyBorder="1"/>
    <xf numFmtId="3" fontId="51" fillId="22" borderId="168" xfId="32" applyNumberFormat="1" applyFont="1" applyFill="1" applyBorder="1"/>
    <xf numFmtId="0" fontId="47" fillId="22" borderId="62" xfId="32" applyFont="1" applyFill="1" applyBorder="1" applyAlignment="1">
      <alignment horizontal="center" vertical="center"/>
    </xf>
    <xf numFmtId="3" fontId="52" fillId="22" borderId="86" xfId="32" applyNumberFormat="1" applyFont="1" applyFill="1" applyBorder="1" applyAlignment="1">
      <alignment vertical="center" wrapText="1"/>
    </xf>
    <xf numFmtId="3" fontId="51" fillId="22" borderId="169" xfId="32" applyNumberFormat="1" applyFont="1" applyFill="1" applyBorder="1" applyAlignment="1">
      <alignment horizontal="center" vertical="center"/>
    </xf>
    <xf numFmtId="0" fontId="51" fillId="22" borderId="64" xfId="32" applyFont="1" applyFill="1" applyBorder="1" applyAlignment="1">
      <alignment vertical="center"/>
    </xf>
    <xf numFmtId="3" fontId="47" fillId="0" borderId="64" xfId="32" applyNumberFormat="1" applyFont="1" applyFill="1" applyBorder="1" applyAlignment="1" applyProtection="1">
      <alignment vertical="center"/>
      <protection hidden="1"/>
    </xf>
    <xf numFmtId="3" fontId="52" fillId="0" borderId="64" xfId="32" applyNumberFormat="1" applyFont="1" applyFill="1" applyBorder="1" applyAlignment="1" applyProtection="1">
      <alignment vertical="center"/>
      <protection hidden="1"/>
    </xf>
    <xf numFmtId="0" fontId="51" fillId="22" borderId="169" xfId="32" applyFont="1" applyFill="1" applyBorder="1" applyAlignment="1">
      <alignment horizontal="center" vertical="center"/>
    </xf>
    <xf numFmtId="0" fontId="51" fillId="22" borderId="64" xfId="32" applyFont="1" applyFill="1" applyBorder="1" applyAlignment="1">
      <alignment vertical="center" wrapText="1"/>
    </xf>
    <xf numFmtId="0" fontId="47" fillId="22" borderId="64" xfId="32" applyFont="1" applyFill="1" applyBorder="1" applyAlignment="1">
      <alignment vertical="center" wrapText="1"/>
    </xf>
    <xf numFmtId="0" fontId="51" fillId="22" borderId="62" xfId="32" applyFont="1" applyFill="1" applyBorder="1" applyAlignment="1">
      <alignment horizontal="center" vertical="center"/>
    </xf>
    <xf numFmtId="0" fontId="51" fillId="22" borderId="86" xfId="32" applyFont="1" applyFill="1" applyBorder="1" applyAlignment="1">
      <alignment vertical="center"/>
    </xf>
    <xf numFmtId="3" fontId="104" fillId="0" borderId="64" xfId="32" applyNumberFormat="1" applyFont="1" applyFill="1" applyBorder="1" applyAlignment="1" applyProtection="1">
      <alignment vertical="center"/>
      <protection hidden="1"/>
    </xf>
    <xf numFmtId="3" fontId="51" fillId="0" borderId="64" xfId="32" applyNumberFormat="1" applyFont="1" applyFill="1" applyBorder="1" applyAlignment="1" applyProtection="1">
      <alignment vertical="center"/>
      <protection hidden="1"/>
    </xf>
    <xf numFmtId="3" fontId="51" fillId="0" borderId="169" xfId="32" applyNumberFormat="1" applyFont="1" applyFill="1" applyBorder="1" applyAlignment="1">
      <alignment horizontal="center" vertical="center"/>
    </xf>
    <xf numFmtId="0" fontId="51" fillId="0" borderId="64" xfId="32" applyFont="1" applyFill="1" applyBorder="1" applyAlignment="1">
      <alignment vertical="center"/>
    </xf>
    <xf numFmtId="3" fontId="51" fillId="25" borderId="170" xfId="32" applyNumberFormat="1" applyFont="1" applyFill="1" applyBorder="1"/>
    <xf numFmtId="3" fontId="51" fillId="0" borderId="64" xfId="32" applyNumberFormat="1" applyFont="1" applyFill="1" applyBorder="1" applyAlignment="1" applyProtection="1">
      <alignment vertical="center"/>
      <protection locked="0"/>
    </xf>
    <xf numFmtId="3" fontId="17" fillId="0" borderId="64" xfId="32" applyNumberFormat="1" applyFont="1" applyFill="1" applyBorder="1" applyAlignment="1" applyProtection="1">
      <alignment vertical="center"/>
      <protection locked="0"/>
    </xf>
    <xf numFmtId="0" fontId="51" fillId="0" borderId="171" xfId="32" applyFont="1" applyFill="1" applyBorder="1" applyAlignment="1"/>
    <xf numFmtId="0" fontId="17" fillId="25" borderId="172" xfId="32" applyFont="1" applyFill="1" applyBorder="1"/>
    <xf numFmtId="3" fontId="51" fillId="28" borderId="125" xfId="32" applyNumberFormat="1" applyFont="1" applyFill="1" applyBorder="1"/>
    <xf numFmtId="3" fontId="17" fillId="25" borderId="125" xfId="32" applyNumberFormat="1" applyFont="1" applyFill="1" applyBorder="1"/>
    <xf numFmtId="3" fontId="17" fillId="25" borderId="138" xfId="32" applyNumberFormat="1" applyFont="1" applyFill="1" applyBorder="1"/>
    <xf numFmtId="0" fontId="17" fillId="25" borderId="173" xfId="32" applyFont="1" applyFill="1" applyBorder="1"/>
    <xf numFmtId="3" fontId="17" fillId="28" borderId="125" xfId="32" applyNumberFormat="1" applyFont="1" applyFill="1" applyBorder="1"/>
    <xf numFmtId="0" fontId="17" fillId="25" borderId="174" xfId="32" applyFont="1" applyFill="1" applyBorder="1"/>
    <xf numFmtId="0" fontId="17" fillId="25" borderId="175" xfId="32" applyFont="1" applyFill="1" applyBorder="1"/>
    <xf numFmtId="3" fontId="47" fillId="0" borderId="64" xfId="32" applyNumberFormat="1" applyFont="1" applyFill="1" applyBorder="1" applyAlignment="1">
      <alignment vertical="center"/>
    </xf>
    <xf numFmtId="3" fontId="52" fillId="0" borderId="64" xfId="32" applyNumberFormat="1" applyFont="1" applyFill="1" applyBorder="1" applyAlignment="1">
      <alignment vertical="center"/>
    </xf>
    <xf numFmtId="3" fontId="47" fillId="0" borderId="64" xfId="32" applyNumberFormat="1" applyFont="1" applyFill="1" applyBorder="1" applyAlignment="1" applyProtection="1">
      <alignment vertical="center"/>
      <protection locked="0"/>
    </xf>
    <xf numFmtId="0" fontId="51" fillId="0" borderId="64" xfId="32" applyFont="1" applyFill="1" applyBorder="1" applyAlignment="1">
      <alignment vertical="center" wrapText="1"/>
    </xf>
    <xf numFmtId="3" fontId="51" fillId="25" borderId="170" xfId="32" applyNumberFormat="1" applyFont="1" applyFill="1" applyBorder="1" applyAlignment="1">
      <alignment vertical="center"/>
    </xf>
    <xf numFmtId="0" fontId="17" fillId="25" borderId="172" xfId="32" applyFont="1" applyFill="1" applyBorder="1" applyAlignment="1">
      <alignment vertical="center"/>
    </xf>
    <xf numFmtId="3" fontId="51" fillId="28" borderId="125" xfId="32" applyNumberFormat="1" applyFont="1" applyFill="1" applyBorder="1" applyAlignment="1">
      <alignment vertical="center"/>
    </xf>
    <xf numFmtId="3" fontId="51" fillId="28" borderId="126" xfId="32" applyNumberFormat="1" applyFont="1" applyFill="1" applyBorder="1" applyAlignment="1">
      <alignment vertical="center"/>
    </xf>
    <xf numFmtId="3" fontId="17" fillId="25" borderId="125" xfId="32" applyNumberFormat="1" applyFont="1" applyFill="1" applyBorder="1" applyAlignment="1">
      <alignment vertical="center"/>
    </xf>
    <xf numFmtId="3" fontId="17" fillId="25" borderId="138" xfId="32" applyNumberFormat="1" applyFont="1" applyFill="1" applyBorder="1" applyAlignment="1">
      <alignment vertical="center"/>
    </xf>
    <xf numFmtId="3" fontId="17" fillId="28" borderId="125" xfId="32" applyNumberFormat="1" applyFont="1" applyFill="1" applyBorder="1" applyAlignment="1">
      <alignment vertical="center"/>
    </xf>
    <xf numFmtId="0" fontId="17" fillId="25" borderId="174" xfId="32" applyFont="1" applyFill="1" applyBorder="1" applyAlignment="1">
      <alignment vertical="center"/>
    </xf>
    <xf numFmtId="3" fontId="17" fillId="0" borderId="64" xfId="32" applyNumberFormat="1" applyFont="1" applyFill="1" applyBorder="1" applyAlignment="1">
      <alignment vertical="center"/>
    </xf>
    <xf numFmtId="3" fontId="17" fillId="0" borderId="176" xfId="32" applyNumberFormat="1" applyFont="1" applyFill="1" applyBorder="1" applyAlignment="1">
      <alignment vertical="center"/>
    </xf>
    <xf numFmtId="0" fontId="17" fillId="0" borderId="62" xfId="32" applyFont="1" applyFill="1" applyBorder="1" applyAlignment="1">
      <alignment horizontal="center" vertical="center"/>
    </xf>
    <xf numFmtId="0" fontId="17" fillId="0" borderId="86" xfId="32" applyFont="1" applyFill="1" applyBorder="1" applyAlignment="1">
      <alignment vertical="center"/>
    </xf>
    <xf numFmtId="3" fontId="17" fillId="0" borderId="67" xfId="32" applyNumberFormat="1" applyFont="1" applyFill="1" applyBorder="1" applyAlignment="1">
      <alignment vertical="center"/>
    </xf>
    <xf numFmtId="3" fontId="51" fillId="25" borderId="177" xfId="32" applyNumberFormat="1" applyFont="1" applyFill="1" applyBorder="1" applyAlignment="1">
      <alignment vertical="center"/>
    </xf>
    <xf numFmtId="3" fontId="17" fillId="0" borderId="169" xfId="32" applyNumberFormat="1" applyFont="1" applyFill="1" applyBorder="1" applyAlignment="1">
      <alignment horizontal="center" vertical="center"/>
    </xf>
    <xf numFmtId="0" fontId="17" fillId="25" borderId="178" xfId="32" applyFont="1" applyFill="1" applyBorder="1" applyAlignment="1">
      <alignment vertical="center"/>
    </xf>
    <xf numFmtId="3" fontId="51" fillId="28" borderId="179" xfId="32" applyNumberFormat="1" applyFont="1" applyFill="1" applyBorder="1" applyAlignment="1">
      <alignment vertical="center"/>
    </xf>
    <xf numFmtId="3" fontId="51" fillId="28" borderId="180" xfId="32" applyNumberFormat="1" applyFont="1" applyFill="1" applyBorder="1" applyAlignment="1">
      <alignment vertical="center"/>
    </xf>
    <xf numFmtId="3" fontId="17" fillId="25" borderId="179" xfId="32" applyNumberFormat="1" applyFont="1" applyFill="1" applyBorder="1" applyAlignment="1">
      <alignment vertical="center"/>
    </xf>
    <xf numFmtId="3" fontId="17" fillId="25" borderId="181" xfId="32" applyNumberFormat="1" applyFont="1" applyFill="1" applyBorder="1" applyAlignment="1">
      <alignment vertical="center"/>
    </xf>
    <xf numFmtId="0" fontId="17" fillId="25" borderId="179" xfId="32" applyFont="1" applyFill="1" applyBorder="1" applyAlignment="1">
      <alignment vertical="center"/>
    </xf>
    <xf numFmtId="3" fontId="17" fillId="28" borderId="179" xfId="32" applyNumberFormat="1" applyFont="1" applyFill="1" applyBorder="1" applyAlignment="1">
      <alignment vertical="center"/>
    </xf>
    <xf numFmtId="0" fontId="17" fillId="25" borderId="182" xfId="32" applyFont="1" applyFill="1" applyBorder="1" applyAlignment="1">
      <alignment vertical="center"/>
    </xf>
    <xf numFmtId="0" fontId="17" fillId="25" borderId="181" xfId="32" applyFont="1" applyFill="1" applyBorder="1" applyAlignment="1">
      <alignment vertical="center"/>
    </xf>
    <xf numFmtId="0" fontId="47" fillId="0" borderId="183" xfId="32" applyFont="1" applyFill="1" applyBorder="1" applyAlignment="1">
      <alignment horizontal="center" vertical="center"/>
    </xf>
    <xf numFmtId="0" fontId="47" fillId="0" borderId="179" xfId="32" applyFont="1" applyFill="1" applyBorder="1" applyAlignment="1">
      <alignment vertical="center" wrapText="1"/>
    </xf>
    <xf numFmtId="0" fontId="51" fillId="0" borderId="33" xfId="32" applyFont="1" applyFill="1" applyBorder="1"/>
    <xf numFmtId="0" fontId="51" fillId="0" borderId="35" xfId="32" applyFont="1" applyFill="1" applyBorder="1"/>
    <xf numFmtId="0" fontId="47" fillId="0" borderId="62" xfId="32" applyFont="1" applyFill="1" applyBorder="1" applyAlignment="1">
      <alignment horizontal="center" vertical="center"/>
    </xf>
    <xf numFmtId="0" fontId="47" fillId="0" borderId="86" xfId="32" applyFont="1" applyFill="1" applyBorder="1" applyAlignment="1">
      <alignment horizontal="left" vertical="center"/>
    </xf>
    <xf numFmtId="0" fontId="17" fillId="0" borderId="86" xfId="32" applyFont="1" applyFill="1" applyBorder="1" applyAlignment="1">
      <alignment horizontal="left" vertical="center"/>
    </xf>
    <xf numFmtId="3" fontId="51" fillId="0" borderId="67" xfId="32" applyNumberFormat="1" applyFont="1" applyFill="1" applyBorder="1" applyAlignment="1" applyProtection="1">
      <alignment vertical="center"/>
      <protection hidden="1"/>
    </xf>
    <xf numFmtId="0" fontId="17" fillId="0" borderId="169" xfId="32" applyFont="1" applyFill="1" applyBorder="1" applyAlignment="1">
      <alignment horizontal="center" vertical="center"/>
    </xf>
    <xf numFmtId="0" fontId="17" fillId="0" borderId="64" xfId="32" applyFont="1" applyFill="1" applyBorder="1" applyAlignment="1">
      <alignment horizontal="left" vertical="center"/>
    </xf>
    <xf numFmtId="0" fontId="51" fillId="0" borderId="33" xfId="32" applyFont="1" applyFill="1" applyBorder="1" applyAlignment="1">
      <alignment vertical="center"/>
    </xf>
    <xf numFmtId="0" fontId="2" fillId="0" borderId="0" xfId="32" applyFont="1" applyFill="1" applyBorder="1"/>
    <xf numFmtId="3" fontId="51" fillId="22" borderId="0" xfId="32" applyNumberFormat="1" applyFont="1" applyFill="1" applyBorder="1" applyAlignment="1">
      <alignment horizontal="center" vertical="center"/>
    </xf>
    <xf numFmtId="3" fontId="17" fillId="0" borderId="35" xfId="32" applyNumberFormat="1" applyFont="1" applyFill="1" applyBorder="1" applyAlignment="1">
      <alignment horizontal="center" vertical="center"/>
    </xf>
    <xf numFmtId="3" fontId="17" fillId="0" borderId="33" xfId="32" applyNumberFormat="1" applyFont="1" applyFill="1" applyBorder="1" applyAlignment="1">
      <alignment horizontal="center" vertical="center"/>
    </xf>
    <xf numFmtId="0" fontId="7" fillId="22" borderId="140" xfId="32" applyFont="1" applyFill="1" applyBorder="1" applyAlignment="1">
      <alignment horizontal="center"/>
    </xf>
    <xf numFmtId="0" fontId="8" fillId="24" borderId="10" xfId="0" applyFont="1" applyFill="1" applyBorder="1" applyAlignment="1">
      <alignment horizontal="center"/>
    </xf>
    <xf numFmtId="0" fontId="8" fillId="21" borderId="13" xfId="0" applyFont="1" applyFill="1" applyBorder="1" applyAlignment="1">
      <alignment horizontal="center"/>
    </xf>
    <xf numFmtId="0" fontId="8" fillId="21" borderId="147" xfId="0" applyFont="1" applyFill="1" applyBorder="1" applyAlignment="1">
      <alignment horizontal="center"/>
    </xf>
    <xf numFmtId="0" fontId="2" fillId="0" borderId="184" xfId="32" applyFont="1" applyFill="1" applyBorder="1" applyAlignment="1">
      <alignment horizontal="center"/>
    </xf>
    <xf numFmtId="3" fontId="17" fillId="25" borderId="140" xfId="32" applyNumberFormat="1" applyFont="1" applyFill="1" applyBorder="1" applyAlignment="1">
      <alignment horizontal="center" vertical="center"/>
    </xf>
    <xf numFmtId="3" fontId="17" fillId="25" borderId="147" xfId="32" applyNumberFormat="1" applyFont="1" applyFill="1" applyBorder="1" applyAlignment="1">
      <alignment horizontal="center"/>
    </xf>
    <xf numFmtId="3" fontId="47" fillId="25" borderId="85" xfId="32" applyNumberFormat="1" applyFont="1" applyFill="1" applyBorder="1" applyAlignment="1">
      <alignment horizontal="center"/>
    </xf>
    <xf numFmtId="3" fontId="17" fillId="25" borderId="185" xfId="32" applyNumberFormat="1" applyFont="1" applyFill="1" applyBorder="1" applyAlignment="1">
      <alignment horizontal="center" vertical="center"/>
    </xf>
    <xf numFmtId="3" fontId="17" fillId="25" borderId="127" xfId="32" applyNumberFormat="1" applyFont="1" applyFill="1" applyBorder="1"/>
    <xf numFmtId="3" fontId="17" fillId="25" borderId="127" xfId="32" applyNumberFormat="1" applyFont="1" applyFill="1" applyBorder="1" applyAlignment="1">
      <alignment vertical="center"/>
    </xf>
    <xf numFmtId="3" fontId="17" fillId="0" borderId="128" xfId="32" applyNumberFormat="1" applyFont="1" applyFill="1" applyBorder="1" applyAlignment="1">
      <alignment vertical="center"/>
    </xf>
    <xf numFmtId="3" fontId="17" fillId="25" borderId="186" xfId="32" applyNumberFormat="1" applyFont="1" applyFill="1" applyBorder="1" applyAlignment="1">
      <alignment vertical="center"/>
    </xf>
    <xf numFmtId="3" fontId="17" fillId="0" borderId="187" xfId="32" applyNumberFormat="1" applyFont="1" applyFill="1" applyBorder="1" applyAlignment="1">
      <alignment vertical="center"/>
    </xf>
    <xf numFmtId="3" fontId="17" fillId="0" borderId="67" xfId="32" applyNumberFormat="1" applyFont="1" applyFill="1" applyBorder="1" applyAlignment="1" applyProtection="1">
      <alignment vertical="center"/>
      <protection hidden="1"/>
    </xf>
    <xf numFmtId="3" fontId="17" fillId="25" borderId="180" xfId="32" applyNumberFormat="1" applyFont="1" applyFill="1" applyBorder="1" applyAlignment="1">
      <alignment vertical="center"/>
    </xf>
    <xf numFmtId="4" fontId="47" fillId="26" borderId="188" xfId="0" applyNumberFormat="1" applyFont="1" applyFill="1" applyBorder="1" applyAlignment="1" applyProtection="1">
      <alignment vertical="center"/>
      <protection hidden="1"/>
    </xf>
    <xf numFmtId="3" fontId="17" fillId="22" borderId="189" xfId="32" applyNumberFormat="1" applyFont="1" applyFill="1" applyBorder="1" applyAlignment="1">
      <alignment vertical="center"/>
    </xf>
    <xf numFmtId="3" fontId="51" fillId="25" borderId="190" xfId="32" applyNumberFormat="1" applyFont="1" applyFill="1" applyBorder="1" applyAlignment="1">
      <alignment vertical="center"/>
    </xf>
    <xf numFmtId="4" fontId="29" fillId="0" borderId="122" xfId="0" applyNumberFormat="1" applyFont="1" applyFill="1" applyBorder="1" applyAlignment="1">
      <alignment vertical="center"/>
    </xf>
    <xf numFmtId="49" fontId="8" fillId="22" borderId="62" xfId="0" applyNumberFormat="1" applyFont="1" applyFill="1" applyBorder="1" applyAlignment="1" applyProtection="1">
      <alignment horizontal="center" vertical="center"/>
    </xf>
    <xf numFmtId="3" fontId="7" fillId="0" borderId="113" xfId="0" applyNumberFormat="1" applyFont="1" applyFill="1" applyBorder="1" applyAlignment="1" applyProtection="1">
      <alignment vertical="center"/>
    </xf>
    <xf numFmtId="3" fontId="7" fillId="0" borderId="117" xfId="0" applyNumberFormat="1" applyFont="1" applyFill="1" applyBorder="1" applyAlignment="1" applyProtection="1">
      <alignment vertical="center"/>
    </xf>
    <xf numFmtId="3" fontId="39" fillId="0" borderId="30" xfId="0" applyNumberFormat="1" applyFont="1" applyFill="1" applyBorder="1" applyAlignment="1">
      <alignment vertical="center"/>
    </xf>
    <xf numFmtId="3" fontId="39" fillId="0" borderId="12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3" fontId="51" fillId="22" borderId="128" xfId="32" applyNumberFormat="1" applyFont="1" applyFill="1" applyBorder="1" applyAlignment="1" applyProtection="1">
      <alignment vertical="center"/>
      <protection locked="0"/>
    </xf>
    <xf numFmtId="0" fontId="2" fillId="22" borderId="191" xfId="32" applyFont="1" applyFill="1" applyBorder="1" applyAlignment="1">
      <alignment horizontal="center"/>
    </xf>
    <xf numFmtId="0" fontId="2" fillId="22" borderId="90" xfId="32" applyFont="1" applyFill="1" applyBorder="1" applyAlignment="1">
      <alignment horizontal="center"/>
    </xf>
    <xf numFmtId="0" fontId="2" fillId="22" borderId="192" xfId="32" applyFont="1" applyFill="1" applyBorder="1" applyAlignment="1">
      <alignment horizontal="center"/>
    </xf>
    <xf numFmtId="0" fontId="2" fillId="22" borderId="109" xfId="32" applyFont="1" applyFill="1" applyBorder="1" applyAlignment="1">
      <alignment horizontal="center"/>
    </xf>
    <xf numFmtId="0" fontId="0" fillId="22" borderId="0" xfId="0" applyFill="1"/>
    <xf numFmtId="3" fontId="0" fillId="22" borderId="0" xfId="0" applyNumberFormat="1" applyFill="1"/>
    <xf numFmtId="0" fontId="3" fillId="22" borderId="142" xfId="0" applyFont="1" applyFill="1" applyBorder="1" applyAlignment="1">
      <alignment horizontal="center"/>
    </xf>
    <xf numFmtId="0" fontId="19" fillId="22" borderId="142" xfId="0" applyFont="1" applyFill="1" applyBorder="1" applyAlignment="1">
      <alignment horizontal="center"/>
    </xf>
    <xf numFmtId="3" fontId="7" fillId="22" borderId="142" xfId="0" applyNumberFormat="1" applyFont="1" applyFill="1" applyBorder="1" applyAlignment="1">
      <alignment horizontal="center"/>
    </xf>
    <xf numFmtId="0" fontId="7" fillId="0" borderId="142" xfId="0" applyFont="1" applyFill="1" applyBorder="1" applyAlignment="1">
      <alignment horizontal="center"/>
    </xf>
    <xf numFmtId="0" fontId="3" fillId="22" borderId="116" xfId="0" applyFont="1" applyFill="1" applyBorder="1" applyAlignment="1">
      <alignment horizontal="center"/>
    </xf>
    <xf numFmtId="0" fontId="19" fillId="22" borderId="193" xfId="0" applyFont="1" applyFill="1" applyBorder="1" applyAlignment="1">
      <alignment horizontal="center"/>
    </xf>
    <xf numFmtId="3" fontId="7" fillId="22" borderId="116" xfId="0" applyNumberFormat="1" applyFont="1" applyFill="1" applyBorder="1" applyAlignment="1">
      <alignment horizontal="center"/>
    </xf>
    <xf numFmtId="0" fontId="7" fillId="22" borderId="140" xfId="0" applyFont="1" applyFill="1" applyBorder="1" applyAlignment="1">
      <alignment horizontal="center"/>
    </xf>
    <xf numFmtId="0" fontId="19" fillId="22" borderId="185" xfId="0" applyFont="1" applyFill="1" applyBorder="1" applyAlignment="1">
      <alignment horizontal="center"/>
    </xf>
    <xf numFmtId="3" fontId="7" fillId="22" borderId="140" xfId="0" applyNumberFormat="1" applyFont="1" applyFill="1" applyBorder="1" applyAlignment="1">
      <alignment horizontal="center"/>
    </xf>
    <xf numFmtId="3" fontId="3" fillId="0" borderId="140" xfId="0" applyNumberFormat="1" applyFont="1" applyFill="1" applyBorder="1" applyAlignment="1">
      <alignment horizontal="center"/>
    </xf>
    <xf numFmtId="0" fontId="3" fillId="22" borderId="83" xfId="0" applyFont="1" applyFill="1" applyBorder="1" applyAlignment="1">
      <alignment horizontal="center" vertical="center"/>
    </xf>
    <xf numFmtId="0" fontId="2" fillId="22" borderId="116" xfId="0" applyFont="1" applyFill="1" applyBorder="1" applyAlignment="1">
      <alignment horizontal="center"/>
    </xf>
    <xf numFmtId="0" fontId="19" fillId="22" borderId="116" xfId="0" applyFont="1" applyFill="1" applyBorder="1"/>
    <xf numFmtId="3" fontId="19" fillId="22" borderId="142" xfId="0" applyNumberFormat="1" applyFont="1" applyFill="1" applyBorder="1"/>
    <xf numFmtId="0" fontId="4" fillId="0" borderId="142" xfId="0" applyFont="1" applyFill="1" applyBorder="1"/>
    <xf numFmtId="0" fontId="19" fillId="22" borderId="116" xfId="0" applyFont="1" applyFill="1" applyBorder="1" applyAlignment="1">
      <alignment horizontal="center"/>
    </xf>
    <xf numFmtId="0" fontId="19" fillId="22" borderId="63" xfId="0" applyFont="1" applyFill="1" applyBorder="1"/>
    <xf numFmtId="3" fontId="19" fillId="22" borderId="116" xfId="0" applyNumberFormat="1" applyFont="1" applyFill="1" applyBorder="1"/>
    <xf numFmtId="0" fontId="4" fillId="0" borderId="116" xfId="0" applyFont="1" applyFill="1" applyBorder="1"/>
    <xf numFmtId="3" fontId="19" fillId="0" borderId="116" xfId="0" applyNumberFormat="1" applyFont="1" applyFill="1" applyBorder="1"/>
    <xf numFmtId="0" fontId="17" fillId="22" borderId="63" xfId="0" applyFont="1" applyFill="1" applyBorder="1" applyAlignment="1">
      <alignment horizontal="center"/>
    </xf>
    <xf numFmtId="0" fontId="17" fillId="22" borderId="63" xfId="0" applyFont="1" applyFill="1" applyBorder="1"/>
    <xf numFmtId="0" fontId="12" fillId="22" borderId="116" xfId="0" applyFont="1" applyFill="1" applyBorder="1" applyAlignment="1">
      <alignment horizontal="center"/>
    </xf>
    <xf numFmtId="0" fontId="12" fillId="22" borderId="63" xfId="0" applyFont="1" applyFill="1" applyBorder="1"/>
    <xf numFmtId="0" fontId="19" fillId="22" borderId="0" xfId="0" applyFont="1" applyFill="1" applyBorder="1"/>
    <xf numFmtId="0" fontId="2" fillId="22" borderId="63" xfId="0" applyFont="1" applyFill="1" applyBorder="1"/>
    <xf numFmtId="3" fontId="2" fillId="22" borderId="13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vertical="center"/>
    </xf>
    <xf numFmtId="0" fontId="39" fillId="22" borderId="116" xfId="0" applyFont="1" applyFill="1" applyBorder="1" applyAlignment="1">
      <alignment horizontal="center" vertical="top"/>
    </xf>
    <xf numFmtId="3" fontId="12" fillId="22" borderId="13" xfId="0" applyNumberFormat="1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0" fontId="9" fillId="22" borderId="0" xfId="0" applyFont="1" applyFill="1" applyBorder="1"/>
    <xf numFmtId="3" fontId="12" fillId="0" borderId="195" xfId="0" applyNumberFormat="1" applyFont="1" applyFill="1" applyBorder="1" applyAlignment="1">
      <alignment horizontal="right" vertical="center"/>
    </xf>
    <xf numFmtId="0" fontId="105" fillId="22" borderId="83" xfId="0" applyFont="1" applyFill="1" applyBorder="1" applyAlignment="1">
      <alignment horizontal="center" vertical="center"/>
    </xf>
    <xf numFmtId="0" fontId="14" fillId="22" borderId="83" xfId="0" applyFont="1" applyFill="1" applyBorder="1" applyAlignment="1">
      <alignment vertical="center"/>
    </xf>
    <xf numFmtId="3" fontId="14" fillId="22" borderId="83" xfId="0" applyNumberFormat="1" applyFont="1" applyFill="1" applyBorder="1" applyAlignment="1">
      <alignment vertical="center"/>
    </xf>
    <xf numFmtId="3" fontId="19" fillId="22" borderId="0" xfId="0" applyNumberFormat="1" applyFont="1" applyFill="1" applyBorder="1"/>
    <xf numFmtId="3" fontId="4" fillId="0" borderId="116" xfId="0" applyNumberFormat="1" applyFont="1" applyFill="1" applyBorder="1"/>
    <xf numFmtId="3" fontId="39" fillId="22" borderId="116" xfId="0" applyNumberFormat="1" applyFont="1" applyFill="1" applyBorder="1"/>
    <xf numFmtId="0" fontId="4" fillId="0" borderId="116" xfId="0" applyFont="1" applyBorder="1" applyAlignment="1"/>
    <xf numFmtId="0" fontId="4" fillId="0" borderId="116" xfId="0" applyFont="1" applyBorder="1"/>
    <xf numFmtId="0" fontId="0" fillId="22" borderId="171" xfId="0" applyFill="1" applyBorder="1"/>
    <xf numFmtId="3" fontId="4" fillId="22" borderId="0" xfId="0" applyNumberFormat="1" applyFont="1" applyFill="1" applyBorder="1"/>
    <xf numFmtId="3" fontId="4" fillId="22" borderId="0" xfId="0" applyNumberFormat="1" applyFont="1" applyFill="1"/>
    <xf numFmtId="4" fontId="25" fillId="20" borderId="23" xfId="0" applyNumberFormat="1" applyFont="1" applyFill="1" applyBorder="1" applyAlignment="1">
      <alignment vertical="center"/>
    </xf>
    <xf numFmtId="4" fontId="14" fillId="22" borderId="83" xfId="0" applyNumberFormat="1" applyFont="1" applyFill="1" applyBorder="1" applyAlignment="1">
      <alignment vertical="center"/>
    </xf>
    <xf numFmtId="4" fontId="12" fillId="0" borderId="195" xfId="0" applyNumberFormat="1" applyFont="1" applyFill="1" applyBorder="1" applyAlignment="1">
      <alignment horizontal="right" vertical="center"/>
    </xf>
    <xf numFmtId="0" fontId="3" fillId="22" borderId="151" xfId="0" applyFont="1" applyFill="1" applyBorder="1" applyAlignment="1">
      <alignment horizontal="center" wrapText="1"/>
    </xf>
    <xf numFmtId="0" fontId="3" fillId="22" borderId="116" xfId="0" applyFont="1" applyFill="1" applyBorder="1" applyAlignment="1">
      <alignment horizontal="center" wrapText="1"/>
    </xf>
    <xf numFmtId="0" fontId="2" fillId="22" borderId="140" xfId="0" applyFont="1" applyFill="1" applyBorder="1" applyAlignment="1">
      <alignment horizontal="center"/>
    </xf>
    <xf numFmtId="0" fontId="3" fillId="22" borderId="109" xfId="0" applyFont="1" applyFill="1" applyBorder="1" applyAlignment="1">
      <alignment horizontal="center" wrapText="1"/>
    </xf>
    <xf numFmtId="0" fontId="3" fillId="22" borderId="19" xfId="0" applyFont="1" applyFill="1" applyBorder="1" applyAlignment="1">
      <alignment horizontal="center"/>
    </xf>
    <xf numFmtId="0" fontId="3" fillId="22" borderId="196" xfId="0" applyFont="1" applyFill="1" applyBorder="1" applyAlignment="1">
      <alignment horizontal="center" wrapText="1"/>
    </xf>
    <xf numFmtId="3" fontId="3" fillId="0" borderId="83" xfId="0" applyNumberFormat="1" applyFont="1" applyFill="1" applyBorder="1" applyAlignment="1">
      <alignment horizontal="center"/>
    </xf>
    <xf numFmtId="3" fontId="3" fillId="22" borderId="83" xfId="0" applyNumberFormat="1" applyFont="1" applyFill="1" applyBorder="1" applyAlignment="1">
      <alignment horizontal="center"/>
    </xf>
    <xf numFmtId="0" fontId="22" fillId="22" borderId="116" xfId="0" applyFont="1" applyFill="1" applyBorder="1" applyAlignment="1">
      <alignment horizontal="center"/>
    </xf>
    <xf numFmtId="3" fontId="19" fillId="22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19" fillId="0" borderId="13" xfId="0" applyNumberFormat="1" applyFont="1" applyFill="1" applyBorder="1" applyAlignment="1">
      <alignment horizontal="right"/>
    </xf>
    <xf numFmtId="0" fontId="19" fillId="22" borderId="0" xfId="0" applyFont="1" applyFill="1"/>
    <xf numFmtId="3" fontId="3" fillId="22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 vertical="center"/>
    </xf>
    <xf numFmtId="0" fontId="2" fillId="0" borderId="63" xfId="0" applyFont="1" applyFill="1" applyBorder="1"/>
    <xf numFmtId="3" fontId="2" fillId="0" borderId="13" xfId="0" applyNumberFormat="1" applyFont="1" applyBorder="1" applyAlignment="1">
      <alignment vertical="center"/>
    </xf>
    <xf numFmtId="0" fontId="2" fillId="0" borderId="116" xfId="0" applyFont="1" applyFill="1" applyBorder="1"/>
    <xf numFmtId="0" fontId="29" fillId="0" borderId="63" xfId="0" applyFont="1" applyFill="1" applyBorder="1" applyAlignment="1">
      <alignment wrapText="1"/>
    </xf>
    <xf numFmtId="3" fontId="2" fillId="22" borderId="13" xfId="0" applyNumberFormat="1" applyFont="1" applyFill="1" applyBorder="1" applyAlignment="1">
      <alignment horizontal="right" vertical="top"/>
    </xf>
    <xf numFmtId="3" fontId="2" fillId="0" borderId="13" xfId="0" applyNumberFormat="1" applyFont="1" applyFill="1" applyBorder="1" applyAlignment="1">
      <alignment horizontal="right" vertical="top"/>
    </xf>
    <xf numFmtId="0" fontId="2" fillId="0" borderId="153" xfId="0" applyFont="1" applyFill="1" applyBorder="1"/>
    <xf numFmtId="0" fontId="29" fillId="0" borderId="116" xfId="0" applyFont="1" applyFill="1" applyBorder="1"/>
    <xf numFmtId="3" fontId="12" fillId="22" borderId="13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25" fillId="0" borderId="13" xfId="0" applyNumberFormat="1" applyFont="1" applyFill="1" applyBorder="1" applyAlignment="1">
      <alignment horizontal="right" vertical="center"/>
    </xf>
    <xf numFmtId="3" fontId="8" fillId="22" borderId="13" xfId="0" applyNumberFormat="1" applyFont="1" applyFill="1" applyBorder="1" applyAlignment="1">
      <alignment vertical="center"/>
    </xf>
    <xf numFmtId="0" fontId="2" fillId="0" borderId="63" xfId="0" applyFont="1" applyBorder="1"/>
    <xf numFmtId="0" fontId="8" fillId="0" borderId="116" xfId="0" applyFont="1" applyFill="1" applyBorder="1"/>
    <xf numFmtId="0" fontId="2" fillId="22" borderId="63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3" fillId="22" borderId="116" xfId="0" applyFont="1" applyFill="1" applyBorder="1" applyAlignment="1">
      <alignment horizontal="center"/>
    </xf>
    <xf numFmtId="0" fontId="12" fillId="22" borderId="175" xfId="0" applyFont="1" applyFill="1" applyBorder="1"/>
    <xf numFmtId="3" fontId="25" fillId="0" borderId="197" xfId="0" applyNumberFormat="1" applyFont="1" applyFill="1" applyBorder="1" applyAlignment="1">
      <alignment horizontal="right" vertical="center"/>
    </xf>
    <xf numFmtId="0" fontId="12" fillId="22" borderId="116" xfId="0" applyFont="1" applyFill="1" applyBorder="1" applyAlignment="1">
      <alignment horizontal="center" vertical="top"/>
    </xf>
    <xf numFmtId="0" fontId="12" fillId="22" borderId="63" xfId="0" applyFont="1" applyFill="1" applyBorder="1" applyAlignment="1">
      <alignment vertical="top"/>
    </xf>
    <xf numFmtId="0" fontId="8" fillId="22" borderId="63" xfId="0" applyFont="1" applyFill="1" applyBorder="1"/>
    <xf numFmtId="3" fontId="8" fillId="22" borderId="13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0" fontId="17" fillId="22" borderId="116" xfId="0" applyFont="1" applyFill="1" applyBorder="1" applyAlignment="1">
      <alignment horizontal="center"/>
    </xf>
    <xf numFmtId="0" fontId="17" fillId="22" borderId="153" xfId="0" applyFont="1" applyFill="1" applyBorder="1"/>
    <xf numFmtId="0" fontId="2" fillId="22" borderId="116" xfId="0" applyFont="1" applyFill="1" applyBorder="1" applyAlignment="1">
      <alignment horizontal="center" vertical="top"/>
    </xf>
    <xf numFmtId="0" fontId="2" fillId="0" borderId="116" xfId="0" applyFont="1" applyFill="1" applyBorder="1" applyAlignment="1">
      <alignment wrapText="1"/>
    </xf>
    <xf numFmtId="0" fontId="36" fillId="22" borderId="83" xfId="0" applyFont="1" applyFill="1" applyBorder="1" applyAlignment="1">
      <alignment horizontal="center" vertical="center"/>
    </xf>
    <xf numFmtId="0" fontId="19" fillId="22" borderId="198" xfId="0" applyFont="1" applyFill="1" applyBorder="1" applyAlignment="1">
      <alignment vertical="center"/>
    </xf>
    <xf numFmtId="3" fontId="19" fillId="0" borderId="160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36" fillId="0" borderId="160" xfId="0" applyNumberFormat="1" applyFont="1" applyFill="1" applyBorder="1" applyAlignment="1">
      <alignment horizontal="right" vertical="center"/>
    </xf>
    <xf numFmtId="3" fontId="36" fillId="22" borderId="160" xfId="0" applyNumberFormat="1" applyFont="1" applyFill="1" applyBorder="1" applyAlignment="1">
      <alignment horizontal="right" vertical="center"/>
    </xf>
    <xf numFmtId="0" fontId="7" fillId="0" borderId="0" xfId="0" applyFont="1" applyBorder="1"/>
    <xf numFmtId="4" fontId="36" fillId="0" borderId="160" xfId="0" applyNumberFormat="1" applyFont="1" applyFill="1" applyBorder="1" applyAlignment="1">
      <alignment horizontal="right" vertical="center"/>
    </xf>
    <xf numFmtId="4" fontId="19" fillId="0" borderId="160" xfId="0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vertical="center"/>
    </xf>
    <xf numFmtId="4" fontId="25" fillId="0" borderId="13" xfId="0" applyNumberFormat="1" applyFont="1" applyFill="1" applyBorder="1" applyAlignment="1">
      <alignment horizontal="right" vertical="center"/>
    </xf>
    <xf numFmtId="3" fontId="0" fillId="22" borderId="0" xfId="0" applyNumberFormat="1" applyFont="1" applyFill="1"/>
    <xf numFmtId="0" fontId="33" fillId="0" borderId="0" xfId="0" applyFont="1" applyAlignment="1">
      <alignment horizontal="right"/>
    </xf>
    <xf numFmtId="0" fontId="81" fillId="0" borderId="32" xfId="0" applyFont="1" applyBorder="1"/>
    <xf numFmtId="0" fontId="91" fillId="0" borderId="29" xfId="0" applyFont="1" applyBorder="1" applyAlignment="1"/>
    <xf numFmtId="0" fontId="26" fillId="0" borderId="20" xfId="0" applyFont="1" applyBorder="1"/>
    <xf numFmtId="0" fontId="26" fillId="0" borderId="199" xfId="0" applyFont="1" applyBorder="1"/>
    <xf numFmtId="0" fontId="83" fillId="0" borderId="25" xfId="0" applyFont="1" applyBorder="1"/>
    <xf numFmtId="0" fontId="81" fillId="0" borderId="16" xfId="0" applyFont="1" applyBorder="1"/>
    <xf numFmtId="0" fontId="81" fillId="0" borderId="30" xfId="0" applyFont="1" applyBorder="1"/>
    <xf numFmtId="0" fontId="91" fillId="0" borderId="16" xfId="0" applyFont="1" applyBorder="1" applyAlignment="1"/>
    <xf numFmtId="0" fontId="94" fillId="0" borderId="23" xfId="0" applyFont="1" applyFill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1" fillId="0" borderId="17" xfId="0" applyFont="1" applyBorder="1" applyAlignment="1">
      <alignment horizontal="center"/>
    </xf>
    <xf numFmtId="0" fontId="81" fillId="0" borderId="21" xfId="0" applyFont="1" applyBorder="1"/>
    <xf numFmtId="0" fontId="81" fillId="0" borderId="16" xfId="0" applyFont="1" applyFill="1" applyBorder="1" applyAlignment="1">
      <alignment horizontal="center"/>
    </xf>
    <xf numFmtId="0" fontId="81" fillId="0" borderId="30" xfId="0" applyFont="1" applyFill="1" applyBorder="1" applyAlignment="1">
      <alignment horizontal="center"/>
    </xf>
    <xf numFmtId="0" fontId="81" fillId="0" borderId="21" xfId="0" applyFont="1" applyFill="1" applyBorder="1" applyAlignment="1">
      <alignment horizontal="center"/>
    </xf>
    <xf numFmtId="0" fontId="95" fillId="0" borderId="16" xfId="0" applyFont="1" applyBorder="1" applyAlignment="1">
      <alignment horizontal="center" vertical="center"/>
    </xf>
    <xf numFmtId="0" fontId="94" fillId="0" borderId="30" xfId="0" applyFont="1" applyFill="1" applyBorder="1" applyAlignment="1">
      <alignment horizontal="center"/>
    </xf>
    <xf numFmtId="0" fontId="81" fillId="0" borderId="16" xfId="0" applyFont="1" applyBorder="1" applyAlignment="1">
      <alignment horizontal="center" vertical="center"/>
    </xf>
    <xf numFmtId="0" fontId="83" fillId="0" borderId="16" xfId="0" applyFont="1" applyBorder="1"/>
    <xf numFmtId="0" fontId="83" fillId="0" borderId="21" xfId="0" applyFont="1" applyBorder="1"/>
    <xf numFmtId="0" fontId="83" fillId="0" borderId="59" xfId="0" applyFont="1" applyBorder="1"/>
    <xf numFmtId="0" fontId="83" fillId="0" borderId="41" xfId="0" applyFont="1" applyBorder="1"/>
    <xf numFmtId="0" fontId="81" fillId="0" borderId="42" xfId="0" applyFont="1" applyBorder="1"/>
    <xf numFmtId="0" fontId="81" fillId="0" borderId="49" xfId="0" applyFont="1" applyBorder="1" applyAlignment="1">
      <alignment horizontal="center"/>
    </xf>
    <xf numFmtId="0" fontId="81" fillId="0" borderId="58" xfId="0" applyFont="1" applyBorder="1" applyAlignment="1">
      <alignment horizontal="center"/>
    </xf>
    <xf numFmtId="0" fontId="81" fillId="0" borderId="38" xfId="0" applyFont="1" applyBorder="1" applyAlignment="1">
      <alignment horizontal="center"/>
    </xf>
    <xf numFmtId="0" fontId="81" fillId="0" borderId="77" xfId="0" applyFont="1" applyBorder="1" applyAlignment="1">
      <alignment horizontal="center"/>
    </xf>
    <xf numFmtId="0" fontId="81" fillId="0" borderId="28" xfId="0" applyFont="1" applyBorder="1" applyAlignment="1">
      <alignment horizontal="center"/>
    </xf>
    <xf numFmtId="0" fontId="81" fillId="0" borderId="41" xfId="0" applyFont="1" applyBorder="1" applyAlignment="1">
      <alignment horizontal="center"/>
    </xf>
    <xf numFmtId="0" fontId="81" fillId="0" borderId="54" xfId="0" applyFont="1" applyBorder="1" applyAlignment="1">
      <alignment horizontal="center"/>
    </xf>
    <xf numFmtId="0" fontId="81" fillId="0" borderId="42" xfId="0" applyFont="1" applyBorder="1" applyAlignment="1">
      <alignment horizontal="center"/>
    </xf>
    <xf numFmtId="0" fontId="81" fillId="0" borderId="23" xfId="0" applyFont="1" applyBorder="1"/>
    <xf numFmtId="3" fontId="81" fillId="0" borderId="16" xfId="0" applyNumberFormat="1" applyFont="1" applyBorder="1"/>
    <xf numFmtId="3" fontId="81" fillId="0" borderId="23" xfId="0" applyNumberFormat="1" applyFont="1" applyBorder="1"/>
    <xf numFmtId="3" fontId="96" fillId="0" borderId="38" xfId="0" applyNumberFormat="1" applyFont="1" applyBorder="1" applyAlignment="1">
      <alignment horizontal="right"/>
    </xf>
    <xf numFmtId="0" fontId="96" fillId="0" borderId="54" xfId="0" applyFont="1" applyBorder="1"/>
    <xf numFmtId="3" fontId="96" fillId="0" borderId="54" xfId="0" applyNumberFormat="1" applyFont="1" applyBorder="1" applyAlignment="1">
      <alignment horizontal="right"/>
    </xf>
    <xf numFmtId="3" fontId="96" fillId="0" borderId="123" xfId="0" applyNumberFormat="1" applyFont="1" applyBorder="1" applyAlignment="1">
      <alignment horizontal="right"/>
    </xf>
    <xf numFmtId="3" fontId="96" fillId="0" borderId="16" xfId="0" applyNumberFormat="1" applyFont="1" applyBorder="1" applyAlignment="1">
      <alignment horizontal="right"/>
    </xf>
    <xf numFmtId="3" fontId="96" fillId="0" borderId="23" xfId="0" applyNumberFormat="1" applyFont="1" applyBorder="1" applyAlignment="1">
      <alignment horizontal="right"/>
    </xf>
    <xf numFmtId="3" fontId="106" fillId="0" borderId="38" xfId="0" applyNumberFormat="1" applyFont="1" applyBorder="1" applyAlignment="1">
      <alignment horizontal="right"/>
    </xf>
    <xf numFmtId="3" fontId="106" fillId="0" borderId="58" xfId="0" applyNumberFormat="1" applyFont="1" applyBorder="1" applyAlignment="1">
      <alignment horizontal="right"/>
    </xf>
    <xf numFmtId="3" fontId="106" fillId="0" borderId="54" xfId="0" applyNumberFormat="1" applyFont="1" applyBorder="1" applyAlignment="1">
      <alignment horizontal="right"/>
    </xf>
    <xf numFmtId="3" fontId="96" fillId="0" borderId="58" xfId="0" applyNumberFormat="1" applyFont="1" applyBorder="1" applyAlignment="1">
      <alignment horizontal="right"/>
    </xf>
    <xf numFmtId="0" fontId="91" fillId="0" borderId="0" xfId="0" applyFont="1" applyBorder="1" applyAlignment="1"/>
    <xf numFmtId="0" fontId="91" fillId="0" borderId="32" xfId="0" applyFont="1" applyBorder="1" applyAlignment="1"/>
    <xf numFmtId="0" fontId="81" fillId="0" borderId="17" xfId="0" applyFont="1" applyFill="1" applyBorder="1" applyAlignment="1">
      <alignment horizontal="center"/>
    </xf>
    <xf numFmtId="0" fontId="96" fillId="0" borderId="16" xfId="0" applyFont="1" applyBorder="1" applyAlignment="1">
      <alignment horizontal="center" vertical="center"/>
    </xf>
    <xf numFmtId="0" fontId="81" fillId="0" borderId="59" xfId="0" applyFont="1" applyBorder="1"/>
    <xf numFmtId="3" fontId="13" fillId="0" borderId="15" xfId="0" applyNumberFormat="1" applyFont="1" applyFill="1" applyBorder="1" applyAlignment="1">
      <alignment horizontal="right"/>
    </xf>
    <xf numFmtId="0" fontId="81" fillId="0" borderId="16" xfId="0" applyFont="1" applyBorder="1" applyAlignment="1">
      <alignment horizontal="center"/>
    </xf>
    <xf numFmtId="3" fontId="81" fillId="0" borderId="16" xfId="0" applyNumberFormat="1" applyFont="1" applyFill="1" applyBorder="1"/>
    <xf numFmtId="0" fontId="19" fillId="22" borderId="16" xfId="0" applyFont="1" applyFill="1" applyBorder="1" applyAlignment="1">
      <alignment horizontal="center"/>
    </xf>
    <xf numFmtId="3" fontId="3" fillId="22" borderId="16" xfId="0" applyNumberFormat="1" applyFont="1" applyFill="1" applyBorder="1" applyAlignment="1">
      <alignment horizontal="center"/>
    </xf>
    <xf numFmtId="3" fontId="2" fillId="22" borderId="16" xfId="0" applyNumberFormat="1" applyFont="1" applyFill="1" applyBorder="1"/>
    <xf numFmtId="3" fontId="52" fillId="22" borderId="16" xfId="0" applyNumberFormat="1" applyFont="1" applyFill="1" applyBorder="1" applyAlignment="1">
      <alignment horizontal="center" vertical="center"/>
    </xf>
    <xf numFmtId="3" fontId="3" fillId="22" borderId="16" xfId="0" applyNumberFormat="1" applyFont="1" applyFill="1" applyBorder="1"/>
    <xf numFmtId="3" fontId="7" fillId="22" borderId="21" xfId="0" applyNumberFormat="1" applyFont="1" applyFill="1" applyBorder="1"/>
    <xf numFmtId="3" fontId="7" fillId="22" borderId="16" xfId="0" applyNumberFormat="1" applyFont="1" applyFill="1" applyBorder="1" applyAlignment="1">
      <alignment vertical="center"/>
    </xf>
    <xf numFmtId="3" fontId="7" fillId="22" borderId="21" xfId="0" applyNumberFormat="1" applyFont="1" applyFill="1" applyBorder="1" applyAlignment="1">
      <alignment vertical="center"/>
    </xf>
    <xf numFmtId="3" fontId="8" fillId="22" borderId="21" xfId="0" applyNumberFormat="1" applyFont="1" applyFill="1" applyBorder="1" applyAlignment="1">
      <alignment vertical="center"/>
    </xf>
    <xf numFmtId="3" fontId="7" fillId="22" borderId="34" xfId="0" applyNumberFormat="1" applyFont="1" applyFill="1" applyBorder="1" applyAlignment="1">
      <alignment horizontal="center" vertical="center"/>
    </xf>
    <xf numFmtId="3" fontId="7" fillId="22" borderId="20" xfId="0" applyNumberFormat="1" applyFont="1" applyFill="1" applyBorder="1" applyAlignment="1">
      <alignment vertical="center"/>
    </xf>
    <xf numFmtId="3" fontId="2" fillId="22" borderId="16" xfId="0" applyNumberFormat="1" applyFont="1" applyFill="1" applyBorder="1" applyAlignment="1">
      <alignment vertical="center"/>
    </xf>
    <xf numFmtId="3" fontId="7" fillId="22" borderId="16" xfId="0" applyNumberFormat="1" applyFont="1" applyFill="1" applyBorder="1" applyAlignment="1">
      <alignment horizontal="center" vertical="center"/>
    </xf>
    <xf numFmtId="3" fontId="7" fillId="22" borderId="203" xfId="0" applyNumberFormat="1" applyFont="1" applyFill="1" applyBorder="1" applyAlignment="1">
      <alignment horizontal="center" vertical="center"/>
    </xf>
    <xf numFmtId="3" fontId="7" fillId="22" borderId="16" xfId="0" applyNumberFormat="1" applyFont="1" applyFill="1" applyBorder="1" applyAlignment="1">
      <alignment horizontal="center"/>
    </xf>
    <xf numFmtId="3" fontId="3" fillId="22" borderId="20" xfId="0" applyNumberFormat="1" applyFont="1" applyFill="1" applyBorder="1" applyAlignment="1">
      <alignment vertical="center"/>
    </xf>
    <xf numFmtId="3" fontId="3" fillId="22" borderId="68" xfId="0" applyNumberFormat="1" applyFont="1" applyFill="1" applyBorder="1" applyAlignment="1">
      <alignment vertical="center"/>
    </xf>
    <xf numFmtId="3" fontId="3" fillId="22" borderId="16" xfId="0" applyNumberFormat="1" applyFont="1" applyFill="1" applyBorder="1" applyAlignment="1">
      <alignment vertical="center"/>
    </xf>
    <xf numFmtId="3" fontId="3" fillId="22" borderId="21" xfId="0" applyNumberFormat="1" applyFont="1" applyFill="1" applyBorder="1" applyAlignment="1">
      <alignment vertical="center"/>
    </xf>
    <xf numFmtId="3" fontId="52" fillId="22" borderId="20" xfId="0" applyNumberFormat="1" applyFont="1" applyFill="1" applyBorder="1" applyAlignment="1">
      <alignment horizontal="center" vertical="center"/>
    </xf>
    <xf numFmtId="3" fontId="36" fillId="22" borderId="20" xfId="0" applyNumberFormat="1" applyFont="1" applyFill="1" applyBorder="1" applyAlignment="1">
      <alignment horizontal="center" vertical="center"/>
    </xf>
    <xf numFmtId="3" fontId="36" fillId="22" borderId="20" xfId="0" applyNumberFormat="1" applyFont="1" applyFill="1" applyBorder="1" applyAlignment="1">
      <alignment vertical="center"/>
    </xf>
    <xf numFmtId="3" fontId="3" fillId="22" borderId="30" xfId="0" applyNumberFormat="1" applyFont="1" applyFill="1" applyBorder="1" applyAlignment="1">
      <alignment vertical="center"/>
    </xf>
    <xf numFmtId="3" fontId="7" fillId="22" borderId="20" xfId="0" applyNumberFormat="1" applyFont="1" applyFill="1" applyBorder="1" applyAlignment="1">
      <alignment horizontal="center" vertical="center"/>
    </xf>
    <xf numFmtId="3" fontId="19" fillId="22" borderId="20" xfId="0" applyNumberFormat="1" applyFont="1" applyFill="1" applyBorder="1" applyAlignment="1">
      <alignment vertical="center"/>
    </xf>
    <xf numFmtId="3" fontId="19" fillId="22" borderId="68" xfId="0" applyNumberFormat="1" applyFont="1" applyFill="1" applyBorder="1" applyAlignment="1">
      <alignment vertical="center"/>
    </xf>
    <xf numFmtId="3" fontId="29" fillId="22" borderId="0" xfId="0" applyNumberFormat="1" applyFont="1" applyFill="1" applyBorder="1" applyAlignment="1"/>
    <xf numFmtId="3" fontId="3" fillId="22" borderId="17" xfId="0" applyNumberFormat="1" applyFont="1" applyFill="1" applyBorder="1" applyAlignment="1">
      <alignment horizontal="center"/>
    </xf>
    <xf numFmtId="0" fontId="19" fillId="22" borderId="16" xfId="0" applyFont="1" applyFill="1" applyBorder="1" applyAlignment="1">
      <alignment wrapText="1"/>
    </xf>
    <xf numFmtId="3" fontId="51" fillId="22" borderId="16" xfId="0" applyNumberFormat="1" applyFont="1" applyFill="1" applyBorder="1"/>
    <xf numFmtId="3" fontId="8" fillId="22" borderId="17" xfId="0" applyNumberFormat="1" applyFont="1" applyFill="1" applyBorder="1" applyAlignment="1">
      <alignment vertical="center"/>
    </xf>
    <xf numFmtId="3" fontId="52" fillId="22" borderId="16" xfId="0" applyNumberFormat="1" applyFont="1" applyFill="1" applyBorder="1" applyAlignment="1">
      <alignment vertical="center"/>
    </xf>
    <xf numFmtId="3" fontId="7" fillId="22" borderId="17" xfId="0" applyNumberFormat="1" applyFont="1" applyFill="1" applyBorder="1"/>
    <xf numFmtId="3" fontId="2" fillId="22" borderId="17" xfId="0" applyNumberFormat="1" applyFont="1" applyFill="1" applyBorder="1"/>
    <xf numFmtId="3" fontId="7" fillId="22" borderId="17" xfId="0" applyNumberFormat="1" applyFont="1" applyFill="1" applyBorder="1" applyAlignment="1">
      <alignment vertical="center"/>
    </xf>
    <xf numFmtId="3" fontId="8" fillId="22" borderId="16" xfId="0" applyNumberFormat="1" applyFont="1" applyFill="1" applyBorder="1" applyAlignment="1">
      <alignment vertical="center"/>
    </xf>
    <xf numFmtId="3" fontId="36" fillId="22" borderId="16" xfId="0" applyNumberFormat="1" applyFont="1" applyFill="1" applyBorder="1" applyAlignment="1">
      <alignment vertical="center"/>
    </xf>
    <xf numFmtId="3" fontId="7" fillId="22" borderId="30" xfId="0" applyNumberFormat="1" applyFont="1" applyFill="1" applyBorder="1" applyAlignment="1">
      <alignment vertical="center"/>
    </xf>
    <xf numFmtId="3" fontId="8" fillId="22" borderId="17" xfId="0" applyNumberFormat="1" applyFont="1" applyFill="1" applyBorder="1"/>
    <xf numFmtId="3" fontId="17" fillId="22" borderId="16" xfId="0" applyNumberFormat="1" applyFont="1" applyFill="1" applyBorder="1" applyAlignment="1">
      <alignment vertical="center"/>
    </xf>
    <xf numFmtId="3" fontId="8" fillId="22" borderId="30" xfId="0" applyNumberFormat="1" applyFont="1" applyFill="1" applyBorder="1" applyAlignment="1">
      <alignment vertical="center"/>
    </xf>
    <xf numFmtId="3" fontId="2" fillId="22" borderId="17" xfId="0" applyNumberFormat="1" applyFont="1" applyFill="1" applyBorder="1" applyAlignment="1">
      <alignment vertical="center"/>
    </xf>
    <xf numFmtId="3" fontId="7" fillId="22" borderId="30" xfId="0" applyNumberFormat="1" applyFont="1" applyFill="1" applyBorder="1"/>
    <xf numFmtId="3" fontId="3" fillId="22" borderId="65" xfId="0" applyNumberFormat="1" applyFont="1" applyFill="1" applyBorder="1" applyAlignment="1">
      <alignment vertical="center"/>
    </xf>
    <xf numFmtId="3" fontId="3" fillId="22" borderId="17" xfId="0" applyNumberFormat="1" applyFont="1" applyFill="1" applyBorder="1" applyAlignment="1">
      <alignment vertical="center"/>
    </xf>
    <xf numFmtId="3" fontId="47" fillId="22" borderId="16" xfId="0" applyNumberFormat="1" applyFont="1" applyFill="1" applyBorder="1" applyAlignment="1">
      <alignment vertical="center"/>
    </xf>
    <xf numFmtId="0" fontId="47" fillId="21" borderId="17" xfId="0" applyFont="1" applyFill="1" applyBorder="1" applyAlignment="1">
      <alignment vertical="center"/>
    </xf>
    <xf numFmtId="3" fontId="17" fillId="0" borderId="30" xfId="0" applyNumberFormat="1" applyFont="1" applyFill="1" applyBorder="1" applyAlignment="1">
      <alignment vertical="center"/>
    </xf>
    <xf numFmtId="0" fontId="52" fillId="21" borderId="78" xfId="0" applyFont="1" applyFill="1" applyBorder="1" applyAlignment="1">
      <alignment horizontal="center" vertical="center"/>
    </xf>
    <xf numFmtId="3" fontId="19" fillId="0" borderId="71" xfId="0" applyNumberFormat="1" applyFont="1" applyFill="1" applyBorder="1" applyAlignment="1">
      <alignment vertical="center"/>
    </xf>
    <xf numFmtId="3" fontId="2" fillId="0" borderId="36" xfId="0" applyNumberFormat="1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horizontal="centerContinuous"/>
    </xf>
    <xf numFmtId="0" fontId="2" fillId="0" borderId="26" xfId="0" applyNumberFormat="1" applyFont="1" applyFill="1" applyBorder="1" applyAlignment="1">
      <alignment horizontal="centerContinuous"/>
    </xf>
    <xf numFmtId="3" fontId="8" fillId="0" borderId="204" xfId="0" applyNumberFormat="1" applyFont="1" applyFill="1" applyBorder="1" applyAlignment="1" applyProtection="1">
      <alignment vertical="center"/>
    </xf>
    <xf numFmtId="3" fontId="24" fillId="0" borderId="12" xfId="0" applyNumberFormat="1" applyFont="1" applyFill="1" applyBorder="1" applyAlignment="1" applyProtection="1">
      <alignment vertical="center"/>
      <protection hidden="1"/>
    </xf>
    <xf numFmtId="3" fontId="24" fillId="0" borderId="204" xfId="0" applyNumberFormat="1" applyFont="1" applyFill="1" applyBorder="1" applyAlignment="1" applyProtection="1">
      <alignment vertical="center"/>
    </xf>
    <xf numFmtId="3" fontId="8" fillId="0" borderId="113" xfId="0" applyNumberFormat="1" applyFont="1" applyFill="1" applyBorder="1" applyAlignment="1" applyProtection="1">
      <alignment vertical="center"/>
      <protection hidden="1"/>
    </xf>
    <xf numFmtId="4" fontId="2" fillId="0" borderId="23" xfId="0" applyNumberFormat="1" applyFont="1" applyFill="1" applyBorder="1" applyAlignment="1">
      <alignment vertical="center"/>
    </xf>
    <xf numFmtId="3" fontId="51" fillId="0" borderId="42" xfId="0" applyNumberFormat="1" applyFont="1" applyFill="1" applyBorder="1" applyAlignment="1">
      <alignment vertical="center"/>
    </xf>
    <xf numFmtId="3" fontId="51" fillId="0" borderId="31" xfId="0" applyNumberFormat="1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/>
    </xf>
    <xf numFmtId="0" fontId="19" fillId="22" borderId="205" xfId="0" applyFont="1" applyFill="1" applyBorder="1" applyAlignment="1">
      <alignment horizontal="center" vertical="center"/>
    </xf>
    <xf numFmtId="0" fontId="19" fillId="22" borderId="205" xfId="0" applyFont="1" applyFill="1" applyBorder="1" applyAlignment="1">
      <alignment vertical="center"/>
    </xf>
    <xf numFmtId="49" fontId="39" fillId="22" borderId="205" xfId="0" applyNumberFormat="1" applyFont="1" applyFill="1" applyBorder="1" applyAlignment="1">
      <alignment horizontal="center" vertical="center"/>
    </xf>
    <xf numFmtId="0" fontId="39" fillId="22" borderId="205" xfId="0" applyFont="1" applyFill="1" applyBorder="1" applyAlignment="1">
      <alignment vertical="center"/>
    </xf>
    <xf numFmtId="49" fontId="8" fillId="22" borderId="116" xfId="0" applyNumberFormat="1" applyFont="1" applyFill="1" applyBorder="1" applyAlignment="1">
      <alignment horizontal="center" vertical="center"/>
    </xf>
    <xf numFmtId="0" fontId="8" fillId="22" borderId="116" xfId="0" applyFont="1" applyFill="1" applyBorder="1" applyAlignment="1">
      <alignment vertical="center"/>
    </xf>
    <xf numFmtId="0" fontId="8" fillId="22" borderId="116" xfId="0" applyFont="1" applyFill="1" applyBorder="1" applyAlignment="1">
      <alignment vertical="center" wrapText="1"/>
    </xf>
    <xf numFmtId="0" fontId="8" fillId="22" borderId="206" xfId="0" applyFont="1" applyFill="1" applyBorder="1" applyAlignment="1">
      <alignment vertical="center"/>
    </xf>
    <xf numFmtId="49" fontId="39" fillId="22" borderId="206" xfId="0" applyNumberFormat="1" applyFont="1" applyFill="1" applyBorder="1" applyAlignment="1">
      <alignment horizontal="center" vertical="center"/>
    </xf>
    <xf numFmtId="0" fontId="39" fillId="22" borderId="206" xfId="0" applyFont="1" applyFill="1" applyBorder="1" applyAlignment="1">
      <alignment vertical="center"/>
    </xf>
    <xf numFmtId="0" fontId="36" fillId="22" borderId="205" xfId="0" applyFont="1" applyFill="1" applyBorder="1" applyAlignment="1">
      <alignment vertical="center"/>
    </xf>
    <xf numFmtId="49" fontId="39" fillId="22" borderId="207" xfId="0" applyNumberFormat="1" applyFont="1" applyFill="1" applyBorder="1" applyAlignment="1">
      <alignment horizontal="center" vertical="center"/>
    </xf>
    <xf numFmtId="49" fontId="24" fillId="22" borderId="116" xfId="0" applyNumberFormat="1" applyFont="1" applyFill="1" applyBorder="1" applyAlignment="1">
      <alignment horizontal="center" vertical="center"/>
    </xf>
    <xf numFmtId="0" fontId="24" fillId="22" borderId="116" xfId="0" applyFont="1" applyFill="1" applyBorder="1" applyAlignment="1">
      <alignment vertical="center"/>
    </xf>
    <xf numFmtId="49" fontId="8" fillId="22" borderId="208" xfId="0" applyNumberFormat="1" applyFont="1" applyFill="1" applyBorder="1" applyAlignment="1">
      <alignment horizontal="center" vertical="center"/>
    </xf>
    <xf numFmtId="49" fontId="8" fillId="22" borderId="209" xfId="0" applyNumberFormat="1" applyFont="1" applyFill="1" applyBorder="1" applyAlignment="1">
      <alignment horizontal="center" vertical="center"/>
    </xf>
    <xf numFmtId="0" fontId="8" fillId="22" borderId="209" xfId="0" applyFont="1" applyFill="1" applyBorder="1" applyAlignment="1">
      <alignment vertical="center"/>
    </xf>
    <xf numFmtId="49" fontId="19" fillId="22" borderId="140" xfId="0" applyNumberFormat="1" applyFont="1" applyFill="1" applyBorder="1" applyAlignment="1">
      <alignment horizontal="center" vertical="center"/>
    </xf>
    <xf numFmtId="0" fontId="19" fillId="22" borderId="140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3" fontId="3" fillId="0" borderId="42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50" xfId="0" applyNumberFormat="1" applyFont="1" applyFill="1" applyBorder="1" applyAlignment="1">
      <alignment vertical="center"/>
    </xf>
    <xf numFmtId="3" fontId="3" fillId="0" borderId="66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3" fontId="2" fillId="0" borderId="66" xfId="0" applyNumberFormat="1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3" fontId="8" fillId="0" borderId="3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39" fillId="0" borderId="21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7" fillId="0" borderId="36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0" fontId="0" fillId="0" borderId="28" xfId="0" applyFill="1" applyBorder="1"/>
    <xf numFmtId="0" fontId="0" fillId="0" borderId="210" xfId="0" applyFill="1" applyBorder="1"/>
    <xf numFmtId="3" fontId="19" fillId="0" borderId="211" xfId="0" applyNumberFormat="1" applyFont="1" applyFill="1" applyBorder="1" applyAlignment="1">
      <alignment vertical="center"/>
    </xf>
    <xf numFmtId="0" fontId="0" fillId="0" borderId="14" xfId="0" applyFill="1" applyBorder="1"/>
    <xf numFmtId="0" fontId="0" fillId="0" borderId="12" xfId="0" applyFill="1" applyBorder="1"/>
    <xf numFmtId="0" fontId="8" fillId="22" borderId="212" xfId="0" applyFont="1" applyFill="1" applyBorder="1" applyAlignment="1">
      <alignment vertical="center"/>
    </xf>
    <xf numFmtId="0" fontId="2" fillId="22" borderId="213" xfId="0" applyFont="1" applyFill="1" applyBorder="1" applyAlignment="1">
      <alignment vertical="center"/>
    </xf>
    <xf numFmtId="0" fontId="8" fillId="22" borderId="208" xfId="0" applyFont="1" applyFill="1" applyBorder="1" applyAlignment="1">
      <alignment vertical="center"/>
    </xf>
    <xf numFmtId="0" fontId="0" fillId="0" borderId="36" xfId="0" applyFill="1" applyBorder="1"/>
    <xf numFmtId="0" fontId="0" fillId="0" borderId="214" xfId="0" applyFill="1" applyBorder="1"/>
    <xf numFmtId="0" fontId="0" fillId="0" borderId="21" xfId="0" applyFill="1" applyBorder="1"/>
    <xf numFmtId="0" fontId="0" fillId="0" borderId="215" xfId="0" applyFill="1" applyBorder="1"/>
    <xf numFmtId="0" fontId="0" fillId="0" borderId="49" xfId="0" applyFill="1" applyBorder="1"/>
    <xf numFmtId="0" fontId="0" fillId="0" borderId="78" xfId="0" applyFill="1" applyBorder="1"/>
    <xf numFmtId="0" fontId="0" fillId="0" borderId="76" xfId="0" applyFill="1" applyBorder="1"/>
    <xf numFmtId="0" fontId="0" fillId="0" borderId="216" xfId="0" applyFill="1" applyBorder="1"/>
    <xf numFmtId="0" fontId="2" fillId="22" borderId="116" xfId="0" applyFont="1" applyFill="1" applyBorder="1" applyAlignment="1">
      <alignment vertical="center"/>
    </xf>
    <xf numFmtId="3" fontId="8" fillId="0" borderId="217" xfId="0" applyNumberFormat="1" applyFont="1" applyFill="1" applyBorder="1" applyAlignment="1">
      <alignment vertical="center"/>
    </xf>
    <xf numFmtId="3" fontId="8" fillId="0" borderId="218" xfId="0" applyNumberFormat="1" applyFont="1" applyFill="1" applyBorder="1" applyAlignment="1">
      <alignment vertical="center"/>
    </xf>
    <xf numFmtId="3" fontId="8" fillId="0" borderId="219" xfId="0" applyNumberFormat="1" applyFont="1" applyFill="1" applyBorder="1" applyAlignment="1">
      <alignment vertical="center"/>
    </xf>
    <xf numFmtId="3" fontId="8" fillId="0" borderId="220" xfId="0" applyNumberFormat="1" applyFont="1" applyFill="1" applyBorder="1" applyAlignment="1">
      <alignment vertical="center"/>
    </xf>
    <xf numFmtId="3" fontId="8" fillId="0" borderId="221" xfId="0" applyNumberFormat="1" applyFont="1" applyFill="1" applyBorder="1" applyAlignment="1">
      <alignment vertical="center"/>
    </xf>
    <xf numFmtId="3" fontId="8" fillId="0" borderId="222" xfId="0" applyNumberFormat="1" applyFont="1" applyFill="1" applyBorder="1" applyAlignment="1">
      <alignment vertical="center"/>
    </xf>
    <xf numFmtId="3" fontId="8" fillId="0" borderId="64" xfId="0" applyNumberFormat="1" applyFont="1" applyFill="1" applyBorder="1" applyAlignment="1">
      <alignment vertical="center"/>
    </xf>
    <xf numFmtId="3" fontId="8" fillId="0" borderId="168" xfId="0" applyNumberFormat="1" applyFont="1" applyFill="1" applyBorder="1" applyAlignment="1">
      <alignment vertical="center"/>
    </xf>
    <xf numFmtId="3" fontId="8" fillId="0" borderId="74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0" borderId="42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49" fontId="4" fillId="22" borderId="116" xfId="0" applyNumberFormat="1" applyFont="1" applyFill="1" applyBorder="1" applyAlignment="1">
      <alignment horizontal="center" vertical="center"/>
    </xf>
    <xf numFmtId="0" fontId="4" fillId="22" borderId="116" xfId="0" applyFont="1" applyFill="1" applyBorder="1" applyAlignment="1">
      <alignment vertical="center"/>
    </xf>
    <xf numFmtId="0" fontId="4" fillId="22" borderId="116" xfId="0" applyFont="1" applyFill="1" applyBorder="1" applyAlignment="1">
      <alignment vertical="center" wrapText="1"/>
    </xf>
    <xf numFmtId="49" fontId="2" fillId="22" borderId="116" xfId="0" applyNumberFormat="1" applyFont="1" applyFill="1" applyBorder="1" applyAlignment="1">
      <alignment horizontal="center" vertical="center"/>
    </xf>
    <xf numFmtId="3" fontId="2" fillId="0" borderId="221" xfId="0" applyNumberFormat="1" applyFont="1" applyFill="1" applyBorder="1" applyAlignment="1">
      <alignment vertical="center"/>
    </xf>
    <xf numFmtId="3" fontId="2" fillId="0" borderId="218" xfId="0" applyNumberFormat="1" applyFont="1" applyFill="1" applyBorder="1" applyAlignment="1">
      <alignment vertical="center"/>
    </xf>
    <xf numFmtId="3" fontId="2" fillId="0" borderId="219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66" xfId="0" applyNumberFormat="1" applyFont="1" applyFill="1" applyBorder="1" applyAlignment="1">
      <alignment vertical="center"/>
    </xf>
    <xf numFmtId="3" fontId="8" fillId="0" borderId="50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8" fillId="0" borderId="223" xfId="0" applyNumberFormat="1" applyFont="1" applyFill="1" applyBorder="1" applyAlignment="1">
      <alignment vertical="center"/>
    </xf>
    <xf numFmtId="3" fontId="8" fillId="0" borderId="145" xfId="0" applyNumberFormat="1" applyFont="1" applyFill="1" applyBorder="1" applyAlignment="1">
      <alignment vertical="center"/>
    </xf>
    <xf numFmtId="3" fontId="8" fillId="0" borderId="224" xfId="0" applyNumberFormat="1" applyFont="1" applyFill="1" applyBorder="1" applyAlignment="1">
      <alignment vertical="center"/>
    </xf>
    <xf numFmtId="3" fontId="24" fillId="0" borderId="12" xfId="0" applyNumberFormat="1" applyFont="1" applyFill="1" applyBorder="1" applyAlignment="1">
      <alignment vertical="center"/>
    </xf>
    <xf numFmtId="3" fontId="24" fillId="0" borderId="222" xfId="0" applyNumberFormat="1" applyFont="1" applyFill="1" applyBorder="1" applyAlignment="1">
      <alignment vertical="center"/>
    </xf>
    <xf numFmtId="3" fontId="24" fillId="0" borderId="64" xfId="0" applyNumberFormat="1" applyFont="1" applyFill="1" applyBorder="1" applyAlignment="1">
      <alignment vertical="center"/>
    </xf>
    <xf numFmtId="3" fontId="24" fillId="0" borderId="168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4" fillId="0" borderId="30" xfId="0" applyNumberFormat="1" applyFont="1" applyFill="1" applyBorder="1" applyAlignment="1">
      <alignment vertical="center"/>
    </xf>
    <xf numFmtId="0" fontId="0" fillId="0" borderId="200" xfId="0" applyFill="1" applyBorder="1"/>
    <xf numFmtId="3" fontId="8" fillId="0" borderId="78" xfId="0" applyNumberFormat="1" applyFont="1" applyFill="1" applyBorder="1" applyAlignment="1">
      <alignment vertical="center"/>
    </xf>
    <xf numFmtId="3" fontId="3" fillId="0" borderId="76" xfId="0" applyNumberFormat="1" applyFont="1" applyFill="1" applyBorder="1" applyAlignment="1">
      <alignment vertical="center"/>
    </xf>
    <xf numFmtId="3" fontId="3" fillId="0" borderId="79" xfId="0" applyNumberFormat="1" applyFont="1" applyFill="1" applyBorder="1" applyAlignment="1">
      <alignment vertical="center"/>
    </xf>
    <xf numFmtId="3" fontId="109" fillId="0" borderId="0" xfId="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3" fontId="8" fillId="0" borderId="225" xfId="0" applyNumberFormat="1" applyFont="1" applyFill="1" applyBorder="1" applyAlignment="1">
      <alignment vertical="center"/>
    </xf>
    <xf numFmtId="3" fontId="7" fillId="0" borderId="28" xfId="0" applyNumberFormat="1" applyFont="1" applyFill="1" applyBorder="1" applyAlignment="1">
      <alignment vertical="center"/>
    </xf>
    <xf numFmtId="3" fontId="7" fillId="0" borderId="38" xfId="0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2" fillId="0" borderId="58" xfId="0" applyNumberFormat="1" applyFont="1" applyFill="1" applyBorder="1" applyAlignment="1">
      <alignment vertical="center"/>
    </xf>
    <xf numFmtId="3" fontId="2" fillId="0" borderId="77" xfId="0" applyNumberFormat="1" applyFont="1" applyFill="1" applyBorder="1" applyAlignment="1">
      <alignment vertical="center"/>
    </xf>
    <xf numFmtId="3" fontId="39" fillId="0" borderId="225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3" fontId="8" fillId="0" borderId="47" xfId="0" applyNumberFormat="1" applyFont="1" applyFill="1" applyBorder="1" applyAlignment="1">
      <alignment vertical="center"/>
    </xf>
    <xf numFmtId="3" fontId="39" fillId="0" borderId="14" xfId="0" applyNumberFormat="1" applyFont="1" applyFill="1" applyBorder="1" applyAlignment="1">
      <alignment vertical="center"/>
    </xf>
    <xf numFmtId="3" fontId="39" fillId="0" borderId="36" xfId="0" applyNumberFormat="1" applyFont="1" applyFill="1" applyBorder="1" applyAlignment="1">
      <alignment vertical="center"/>
    </xf>
    <xf numFmtId="3" fontId="39" fillId="0" borderId="50" xfId="0" applyNumberFormat="1" applyFont="1" applyFill="1" applyBorder="1" applyAlignment="1">
      <alignment vertical="center"/>
    </xf>
    <xf numFmtId="3" fontId="39" fillId="0" borderId="18" xfId="0" applyNumberFormat="1" applyFont="1" applyFill="1" applyBorder="1" applyAlignment="1">
      <alignment vertical="center"/>
    </xf>
    <xf numFmtId="3" fontId="39" fillId="0" borderId="41" xfId="0" applyNumberFormat="1" applyFont="1" applyFill="1" applyBorder="1" applyAlignment="1">
      <alignment vertical="center"/>
    </xf>
    <xf numFmtId="3" fontId="39" fillId="0" borderId="42" xfId="0" applyNumberFormat="1" applyFont="1" applyFill="1" applyBorder="1" applyAlignment="1">
      <alignment vertical="center"/>
    </xf>
    <xf numFmtId="3" fontId="2" fillId="0" borderId="78" xfId="0" applyNumberFormat="1" applyFont="1" applyFill="1" applyBorder="1" applyAlignment="1">
      <alignment vertical="center"/>
    </xf>
    <xf numFmtId="3" fontId="2" fillId="0" borderId="79" xfId="0" applyNumberFormat="1" applyFont="1" applyFill="1" applyBorder="1" applyAlignment="1">
      <alignment vertical="center"/>
    </xf>
    <xf numFmtId="3" fontId="3" fillId="0" borderId="226" xfId="0" applyNumberFormat="1" applyFont="1" applyFill="1" applyBorder="1" applyAlignment="1">
      <alignment vertical="center"/>
    </xf>
    <xf numFmtId="3" fontId="3" fillId="0" borderId="227" xfId="0" applyNumberFormat="1" applyFont="1" applyFill="1" applyBorder="1" applyAlignment="1">
      <alignment vertical="center"/>
    </xf>
    <xf numFmtId="3" fontId="3" fillId="0" borderId="228" xfId="0" applyNumberFormat="1" applyFont="1" applyFill="1" applyBorder="1" applyAlignment="1">
      <alignment vertical="center"/>
    </xf>
    <xf numFmtId="0" fontId="0" fillId="0" borderId="50" xfId="0" applyFill="1" applyBorder="1"/>
    <xf numFmtId="0" fontId="0" fillId="0" borderId="30" xfId="0" applyFill="1" applyBorder="1"/>
    <xf numFmtId="3" fontId="24" fillId="0" borderId="21" xfId="0" applyNumberFormat="1" applyFont="1" applyFill="1" applyBorder="1" applyAlignment="1">
      <alignment vertical="center"/>
    </xf>
    <xf numFmtId="3" fontId="7" fillId="0" borderId="7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79" xfId="0" applyNumberFormat="1" applyFont="1" applyFill="1" applyBorder="1" applyAlignment="1">
      <alignment vertical="center"/>
    </xf>
    <xf numFmtId="3" fontId="8" fillId="0" borderId="46" xfId="0" applyNumberFormat="1" applyFont="1" applyFill="1" applyBorder="1" applyAlignment="1">
      <alignment vertical="center"/>
    </xf>
    <xf numFmtId="3" fontId="8" fillId="0" borderId="51" xfId="0" applyNumberFormat="1" applyFont="1" applyFill="1" applyBorder="1" applyAlignment="1">
      <alignment vertical="center"/>
    </xf>
    <xf numFmtId="3" fontId="8" fillId="0" borderId="58" xfId="0" applyNumberFormat="1" applyFont="1" applyFill="1" applyBorder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3" fontId="8" fillId="0" borderId="229" xfId="0" applyNumberFormat="1" applyFont="1" applyFill="1" applyBorder="1" applyAlignment="1">
      <alignment vertical="center"/>
    </xf>
    <xf numFmtId="3" fontId="8" fillId="0" borderId="77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3" fillId="0" borderId="230" xfId="0" applyNumberFormat="1" applyFont="1" applyFill="1" applyBorder="1" applyAlignment="1">
      <alignment vertical="center"/>
    </xf>
    <xf numFmtId="3" fontId="8" fillId="0" borderId="231" xfId="0" applyNumberFormat="1" applyFont="1" applyFill="1" applyBorder="1" applyAlignment="1">
      <alignment vertical="center"/>
    </xf>
    <xf numFmtId="3" fontId="8" fillId="0" borderId="232" xfId="0" applyNumberFormat="1" applyFont="1" applyFill="1" applyBorder="1" applyAlignment="1">
      <alignment vertical="center"/>
    </xf>
    <xf numFmtId="3" fontId="8" fillId="0" borderId="233" xfId="0" applyNumberFormat="1" applyFont="1" applyFill="1" applyBorder="1" applyAlignment="1">
      <alignment vertical="center"/>
    </xf>
    <xf numFmtId="3" fontId="8" fillId="0" borderId="234" xfId="0" applyNumberFormat="1" applyFont="1" applyFill="1" applyBorder="1" applyAlignment="1">
      <alignment vertical="center"/>
    </xf>
    <xf numFmtId="3" fontId="24" fillId="0" borderId="18" xfId="0" applyNumberFormat="1" applyFont="1" applyFill="1" applyBorder="1" applyAlignment="1">
      <alignment vertical="center"/>
    </xf>
    <xf numFmtId="3" fontId="24" fillId="0" borderId="24" xfId="0" applyNumberFormat="1" applyFont="1" applyFill="1" applyBorder="1" applyAlignment="1">
      <alignment vertical="center"/>
    </xf>
    <xf numFmtId="3" fontId="24" fillId="0" borderId="42" xfId="0" applyNumberFormat="1" applyFont="1" applyFill="1" applyBorder="1" applyAlignment="1">
      <alignment vertical="center"/>
    </xf>
    <xf numFmtId="3" fontId="24" fillId="0" borderId="46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2" fillId="0" borderId="89" xfId="0" applyNumberFormat="1" applyFont="1" applyFill="1" applyBorder="1" applyAlignment="1">
      <alignment vertical="center"/>
    </xf>
    <xf numFmtId="3" fontId="2" fillId="0" borderId="235" xfId="0" applyNumberFormat="1" applyFont="1" applyFill="1" applyBorder="1" applyAlignment="1">
      <alignment vertical="center"/>
    </xf>
    <xf numFmtId="3" fontId="2" fillId="0" borderId="94" xfId="0" applyNumberFormat="1" applyFont="1" applyFill="1" applyBorder="1" applyAlignment="1">
      <alignment vertical="center"/>
    </xf>
    <xf numFmtId="3" fontId="2" fillId="0" borderId="129" xfId="0" applyNumberFormat="1" applyFont="1" applyFill="1" applyBorder="1" applyAlignment="1">
      <alignment vertical="center"/>
    </xf>
    <xf numFmtId="3" fontId="2" fillId="0" borderId="236" xfId="0" applyNumberFormat="1" applyFont="1" applyFill="1" applyBorder="1" applyAlignment="1">
      <alignment vertical="center"/>
    </xf>
    <xf numFmtId="3" fontId="2" fillId="0" borderId="135" xfId="0" applyNumberFormat="1" applyFont="1" applyFill="1" applyBorder="1" applyAlignment="1">
      <alignment vertical="center"/>
    </xf>
    <xf numFmtId="0" fontId="0" fillId="0" borderId="13" xfId="0" applyFill="1" applyBorder="1"/>
    <xf numFmtId="0" fontId="0" fillId="0" borderId="107" xfId="0" applyFill="1" applyBorder="1"/>
    <xf numFmtId="0" fontId="0" fillId="0" borderId="237" xfId="0" applyFill="1" applyBorder="1"/>
    <xf numFmtId="3" fontId="3" fillId="0" borderId="51" xfId="0" applyNumberFormat="1" applyFont="1" applyFill="1" applyBorder="1" applyAlignment="1">
      <alignment horizontal="center"/>
    </xf>
    <xf numFmtId="3" fontId="24" fillId="0" borderId="47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vertical="center"/>
    </xf>
    <xf numFmtId="3" fontId="7" fillId="0" borderId="58" xfId="0" applyNumberFormat="1" applyFont="1" applyFill="1" applyBorder="1" applyAlignment="1">
      <alignment vertical="center"/>
    </xf>
    <xf numFmtId="3" fontId="24" fillId="0" borderId="17" xfId="0" applyNumberFormat="1" applyFont="1" applyFill="1" applyBorder="1" applyAlignment="1">
      <alignment vertical="center"/>
    </xf>
    <xf numFmtId="3" fontId="2" fillId="0" borderId="238" xfId="0" applyNumberFormat="1" applyFont="1" applyFill="1" applyBorder="1" applyAlignment="1">
      <alignment vertical="center"/>
    </xf>
    <xf numFmtId="3" fontId="2" fillId="0" borderId="239" xfId="0" applyNumberFormat="1" applyFont="1" applyFill="1" applyBorder="1" applyAlignment="1">
      <alignment vertical="center"/>
    </xf>
    <xf numFmtId="3" fontId="2" fillId="0" borderId="240" xfId="0" applyNumberFormat="1" applyFont="1" applyFill="1" applyBorder="1" applyAlignment="1">
      <alignment vertical="center"/>
    </xf>
    <xf numFmtId="3" fontId="3" fillId="0" borderId="241" xfId="0" applyNumberFormat="1" applyFont="1" applyFill="1" applyBorder="1" applyAlignment="1">
      <alignment vertical="center"/>
    </xf>
    <xf numFmtId="0" fontId="7" fillId="0" borderId="106" xfId="0" applyFont="1" applyFill="1" applyBorder="1"/>
    <xf numFmtId="4" fontId="7" fillId="0" borderId="107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8" fillId="0" borderId="156" xfId="0" applyNumberFormat="1" applyFont="1" applyFill="1" applyBorder="1" applyAlignment="1">
      <alignment vertical="center"/>
    </xf>
    <xf numFmtId="4" fontId="7" fillId="0" borderId="106" xfId="0" applyNumberFormat="1" applyFont="1" applyFill="1" applyBorder="1" applyAlignment="1">
      <alignment vertical="center"/>
    </xf>
    <xf numFmtId="4" fontId="7" fillId="0" borderId="156" xfId="0" applyNumberFormat="1" applyFont="1" applyFill="1" applyBorder="1" applyAlignment="1">
      <alignment vertical="center"/>
    </xf>
    <xf numFmtId="4" fontId="7" fillId="0" borderId="19" xfId="0" applyNumberFormat="1" applyFont="1" applyFill="1" applyBorder="1" applyAlignment="1">
      <alignment vertical="center"/>
    </xf>
    <xf numFmtId="0" fontId="106" fillId="0" borderId="0" xfId="0" applyFont="1" applyFill="1"/>
    <xf numFmtId="0" fontId="29" fillId="0" borderId="142" xfId="0" applyFont="1" applyFill="1" applyBorder="1" applyAlignment="1">
      <alignment horizontal="center"/>
    </xf>
    <xf numFmtId="0" fontId="29" fillId="0" borderId="85" xfId="0" applyFont="1" applyFill="1" applyBorder="1" applyAlignment="1">
      <alignment horizontal="center"/>
    </xf>
    <xf numFmtId="1" fontId="29" fillId="0" borderId="32" xfId="0" applyNumberFormat="1" applyFont="1" applyFill="1" applyBorder="1" applyAlignment="1">
      <alignment horizontal="center"/>
    </xf>
    <xf numFmtId="1" fontId="26" fillId="0" borderId="32" xfId="0" applyNumberFormat="1" applyFont="1" applyFill="1" applyBorder="1" applyAlignment="1">
      <alignment horizontal="center"/>
    </xf>
    <xf numFmtId="1" fontId="29" fillId="0" borderId="10" xfId="0" applyNumberFormat="1" applyFont="1" applyFill="1" applyBorder="1" applyAlignment="1">
      <alignment horizontal="center"/>
    </xf>
    <xf numFmtId="0" fontId="29" fillId="0" borderId="116" xfId="0" applyFont="1" applyFill="1" applyBorder="1" applyAlignment="1">
      <alignment horizontal="center"/>
    </xf>
    <xf numFmtId="0" fontId="29" fillId="0" borderId="193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40" xfId="0" applyFont="1" applyFill="1" applyBorder="1" applyAlignment="1">
      <alignment horizontal="center"/>
    </xf>
    <xf numFmtId="0" fontId="29" fillId="0" borderId="185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208" xfId="0" applyFont="1" applyFill="1" applyBorder="1" applyAlignment="1">
      <alignment horizontal="center"/>
    </xf>
    <xf numFmtId="0" fontId="29" fillId="0" borderId="242" xfId="0" applyFont="1" applyFill="1" applyBorder="1" applyAlignment="1">
      <alignment horizontal="center"/>
    </xf>
    <xf numFmtId="0" fontId="29" fillId="0" borderId="111" xfId="0" applyFont="1" applyFill="1" applyBorder="1" applyAlignment="1">
      <alignment horizontal="center"/>
    </xf>
    <xf numFmtId="0" fontId="111" fillId="0" borderId="205" xfId="0" applyFont="1" applyFill="1" applyBorder="1" applyAlignment="1">
      <alignment horizontal="center" vertical="center"/>
    </xf>
    <xf numFmtId="49" fontId="29" fillId="0" borderId="116" xfId="0" applyNumberFormat="1" applyFont="1" applyFill="1" applyBorder="1" applyAlignment="1">
      <alignment horizontal="center" vertical="center"/>
    </xf>
    <xf numFmtId="0" fontId="29" fillId="0" borderId="193" xfId="0" applyFont="1" applyFill="1" applyBorder="1" applyAlignment="1">
      <alignment vertical="center"/>
    </xf>
    <xf numFmtId="3" fontId="29" fillId="0" borderId="116" xfId="0" applyNumberFormat="1" applyFont="1" applyFill="1" applyBorder="1" applyAlignment="1">
      <alignment vertical="center"/>
    </xf>
    <xf numFmtId="4" fontId="29" fillId="0" borderId="116" xfId="0" applyNumberFormat="1" applyFont="1" applyFill="1" applyBorder="1" applyAlignment="1">
      <alignment vertical="center"/>
    </xf>
    <xf numFmtId="0" fontId="31" fillId="22" borderId="116" xfId="0" applyFont="1" applyFill="1" applyBorder="1" applyAlignment="1">
      <alignment vertical="center"/>
    </xf>
    <xf numFmtId="49" fontId="110" fillId="22" borderId="205" xfId="0" applyNumberFormat="1" applyFont="1" applyFill="1" applyBorder="1" applyAlignment="1">
      <alignment horizontal="center" vertical="center"/>
    </xf>
    <xf numFmtId="0" fontId="110" fillId="22" borderId="205" xfId="0" applyFont="1" applyFill="1" applyBorder="1" applyAlignment="1">
      <alignment vertical="center"/>
    </xf>
    <xf numFmtId="3" fontId="111" fillId="0" borderId="208" xfId="0" applyNumberFormat="1" applyFont="1" applyFill="1" applyBorder="1" applyAlignment="1">
      <alignment vertical="center"/>
    </xf>
    <xf numFmtId="4" fontId="111" fillId="0" borderId="205" xfId="0" applyNumberFormat="1" applyFont="1" applyFill="1" applyBorder="1" applyAlignment="1">
      <alignment vertical="center"/>
    </xf>
    <xf numFmtId="3" fontId="26" fillId="0" borderId="243" xfId="0" applyNumberFormat="1" applyFont="1" applyFill="1" applyBorder="1" applyAlignment="1">
      <alignment vertical="center"/>
    </xf>
    <xf numFmtId="49" fontId="29" fillId="22" borderId="116" xfId="0" applyNumberFormat="1" applyFont="1" applyFill="1" applyBorder="1" applyAlignment="1">
      <alignment horizontal="center" vertical="center"/>
    </xf>
    <xf numFmtId="0" fontId="29" fillId="22" borderId="116" xfId="0" applyFont="1" applyFill="1" applyBorder="1" applyAlignment="1">
      <alignment vertical="center"/>
    </xf>
    <xf numFmtId="4" fontId="29" fillId="0" borderId="244" xfId="0" applyNumberFormat="1" applyFont="1" applyFill="1" applyBorder="1" applyAlignment="1">
      <alignment vertical="center"/>
    </xf>
    <xf numFmtId="0" fontId="29" fillId="22" borderId="116" xfId="0" applyFont="1" applyFill="1" applyBorder="1" applyAlignment="1">
      <alignment vertical="center" wrapText="1"/>
    </xf>
    <xf numFmtId="0" fontId="29" fillId="22" borderId="206" xfId="0" applyFont="1" applyFill="1" applyBorder="1" applyAlignment="1">
      <alignment vertical="center"/>
    </xf>
    <xf numFmtId="4" fontId="29" fillId="0" borderId="206" xfId="0" applyNumberFormat="1" applyFont="1" applyFill="1" applyBorder="1" applyAlignment="1">
      <alignment vertical="center"/>
    </xf>
    <xf numFmtId="0" fontId="111" fillId="22" borderId="205" xfId="0" applyFont="1" applyFill="1" applyBorder="1" applyAlignment="1">
      <alignment horizontal="center" vertical="center"/>
    </xf>
    <xf numFmtId="0" fontId="111" fillId="22" borderId="205" xfId="0" applyFont="1" applyFill="1" applyBorder="1" applyAlignment="1">
      <alignment vertical="center"/>
    </xf>
    <xf numFmtId="49" fontId="110" fillId="22" borderId="206" xfId="0" applyNumberFormat="1" applyFont="1" applyFill="1" applyBorder="1" applyAlignment="1">
      <alignment horizontal="center" vertical="center"/>
    </xf>
    <xf numFmtId="0" fontId="110" fillId="22" borderId="206" xfId="0" applyFont="1" applyFill="1" applyBorder="1" applyAlignment="1">
      <alignment vertical="center"/>
    </xf>
    <xf numFmtId="3" fontId="29" fillId="0" borderId="206" xfId="0" applyNumberFormat="1" applyFont="1" applyFill="1" applyBorder="1" applyAlignment="1">
      <alignment vertical="center"/>
    </xf>
    <xf numFmtId="3" fontId="29" fillId="0" borderId="244" xfId="0" applyNumberFormat="1" applyFont="1" applyFill="1" applyBorder="1" applyAlignment="1">
      <alignment vertical="center"/>
    </xf>
    <xf numFmtId="3" fontId="26" fillId="0" borderId="205" xfId="0" applyNumberFormat="1" applyFont="1" applyFill="1" applyBorder="1" applyAlignment="1">
      <alignment vertical="center"/>
    </xf>
    <xf numFmtId="3" fontId="26" fillId="0" borderId="245" xfId="0" applyNumberFormat="1" applyFont="1" applyFill="1" applyBorder="1" applyAlignment="1">
      <alignment vertical="center"/>
    </xf>
    <xf numFmtId="49" fontId="110" fillId="22" borderId="207" xfId="0" applyNumberFormat="1" applyFont="1" applyFill="1" applyBorder="1" applyAlignment="1">
      <alignment horizontal="center" vertical="center"/>
    </xf>
    <xf numFmtId="3" fontId="29" fillId="0" borderId="205" xfId="0" applyNumberFormat="1" applyFont="1" applyFill="1" applyBorder="1" applyAlignment="1">
      <alignment vertical="center"/>
    </xf>
    <xf numFmtId="3" fontId="29" fillId="0" borderId="245" xfId="0" applyNumberFormat="1" applyFont="1" applyFill="1" applyBorder="1" applyAlignment="1">
      <alignment vertical="center"/>
    </xf>
    <xf numFmtId="49" fontId="31" fillId="22" borderId="116" xfId="0" applyNumberFormat="1" applyFont="1" applyFill="1" applyBorder="1" applyAlignment="1">
      <alignment horizontal="center" vertical="center"/>
    </xf>
    <xf numFmtId="3" fontId="31" fillId="0" borderId="116" xfId="0" applyNumberFormat="1" applyFont="1" applyFill="1" applyBorder="1" applyAlignment="1">
      <alignment vertical="center"/>
    </xf>
    <xf numFmtId="49" fontId="29" fillId="22" borderId="208" xfId="0" applyNumberFormat="1" applyFont="1" applyFill="1" applyBorder="1" applyAlignment="1">
      <alignment horizontal="center" vertical="center"/>
    </xf>
    <xf numFmtId="49" fontId="29" fillId="22" borderId="209" xfId="0" applyNumberFormat="1" applyFont="1" applyFill="1" applyBorder="1" applyAlignment="1">
      <alignment horizontal="center" vertical="center"/>
    </xf>
    <xf numFmtId="0" fontId="29" fillId="22" borderId="209" xfId="0" applyFont="1" applyFill="1" applyBorder="1" applyAlignment="1">
      <alignment vertical="center"/>
    </xf>
    <xf numFmtId="49" fontId="111" fillId="22" borderId="140" xfId="0" applyNumberFormat="1" applyFont="1" applyFill="1" applyBorder="1" applyAlignment="1">
      <alignment horizontal="center" vertical="center"/>
    </xf>
    <xf numFmtId="0" fontId="111" fillId="22" borderId="140" xfId="0" applyFont="1" applyFill="1" applyBorder="1" applyAlignment="1">
      <alignment vertical="center"/>
    </xf>
    <xf numFmtId="3" fontId="26" fillId="0" borderId="83" xfId="0" applyNumberFormat="1" applyFont="1" applyFill="1" applyBorder="1" applyAlignment="1">
      <alignment vertical="center"/>
    </xf>
    <xf numFmtId="3" fontId="110" fillId="0" borderId="208" xfId="0" applyNumberFormat="1" applyFont="1" applyFill="1" applyBorder="1" applyAlignment="1">
      <alignment vertical="center"/>
    </xf>
    <xf numFmtId="4" fontId="110" fillId="0" borderId="205" xfId="0" applyNumberFormat="1" applyFont="1" applyFill="1" applyBorder="1" applyAlignment="1">
      <alignment vertical="center"/>
    </xf>
    <xf numFmtId="0" fontId="29" fillId="22" borderId="213" xfId="0" applyFont="1" applyFill="1" applyBorder="1" applyAlignment="1">
      <alignment vertical="center"/>
    </xf>
    <xf numFmtId="0" fontId="29" fillId="22" borderId="208" xfId="0" applyFont="1" applyFill="1" applyBorder="1" applyAlignment="1">
      <alignment vertical="center"/>
    </xf>
    <xf numFmtId="0" fontId="29" fillId="22" borderId="212" xfId="0" applyFont="1" applyFill="1" applyBorder="1" applyAlignment="1">
      <alignment vertical="center"/>
    </xf>
    <xf numFmtId="0" fontId="47" fillId="0" borderId="169" xfId="32" applyFont="1" applyFill="1" applyBorder="1" applyAlignment="1">
      <alignment horizontal="center" vertical="center"/>
    </xf>
    <xf numFmtId="0" fontId="47" fillId="0" borderId="64" xfId="32" applyFont="1" applyFill="1" applyBorder="1" applyAlignment="1">
      <alignment vertical="center" wrapText="1"/>
    </xf>
    <xf numFmtId="3" fontId="17" fillId="0" borderId="0" xfId="32" applyNumberFormat="1" applyFont="1" applyFill="1" applyBorder="1" applyAlignment="1">
      <alignment horizontal="center" vertical="center"/>
    </xf>
    <xf numFmtId="0" fontId="51" fillId="0" borderId="0" xfId="32" applyFont="1" applyFill="1" applyBorder="1"/>
    <xf numFmtId="0" fontId="17" fillId="0" borderId="86" xfId="32" applyFont="1" applyFill="1" applyBorder="1"/>
    <xf numFmtId="3" fontId="17" fillId="0" borderId="86" xfId="32" applyNumberFormat="1" applyFont="1" applyFill="1" applyBorder="1"/>
    <xf numFmtId="3" fontId="17" fillId="0" borderId="125" xfId="32" applyNumberFormat="1" applyFont="1" applyFill="1" applyBorder="1"/>
    <xf numFmtId="3" fontId="17" fillId="0" borderId="172" xfId="32" applyNumberFormat="1" applyFont="1" applyFill="1" applyBorder="1"/>
    <xf numFmtId="0" fontId="51" fillId="0" borderId="0" xfId="32" applyFont="1" applyBorder="1" applyAlignment="1">
      <alignment vertical="center"/>
    </xf>
    <xf numFmtId="0" fontId="17" fillId="0" borderId="127" xfId="32" applyFont="1" applyFill="1" applyBorder="1"/>
    <xf numFmtId="3" fontId="17" fillId="0" borderId="173" xfId="32" applyNumberFormat="1" applyFont="1" applyFill="1" applyBorder="1"/>
    <xf numFmtId="3" fontId="17" fillId="0" borderId="246" xfId="32" applyNumberFormat="1" applyFont="1" applyFill="1" applyBorder="1"/>
    <xf numFmtId="3" fontId="17" fillId="0" borderId="0" xfId="32" applyNumberFormat="1" applyFont="1" applyFill="1" applyBorder="1"/>
    <xf numFmtId="3" fontId="17" fillId="0" borderId="170" xfId="32" applyNumberFormat="1" applyFont="1" applyFill="1" applyBorder="1"/>
    <xf numFmtId="3" fontId="17" fillId="0" borderId="247" xfId="32" applyNumberFormat="1" applyFont="1" applyFill="1" applyBorder="1"/>
    <xf numFmtId="0" fontId="47" fillId="0" borderId="86" xfId="32" applyFont="1" applyFill="1" applyBorder="1" applyAlignment="1">
      <alignment vertical="center"/>
    </xf>
    <xf numFmtId="0" fontId="47" fillId="0" borderId="62" xfId="32" applyFont="1" applyFill="1" applyBorder="1" applyAlignment="1">
      <alignment horizontal="center" vertical="center" wrapText="1"/>
    </xf>
    <xf numFmtId="0" fontId="47" fillId="0" borderId="169" xfId="32" applyFont="1" applyFill="1" applyBorder="1" applyAlignment="1">
      <alignment horizontal="center" vertical="center" wrapText="1"/>
    </xf>
    <xf numFmtId="0" fontId="47" fillId="0" borderId="64" xfId="32" applyFont="1" applyFill="1" applyBorder="1" applyAlignment="1">
      <alignment horizontal="left" vertical="center"/>
    </xf>
    <xf numFmtId="3" fontId="51" fillId="0" borderId="0" xfId="32" applyNumberFormat="1" applyFont="1" applyFill="1" applyBorder="1" applyAlignment="1">
      <alignment vertical="center"/>
    </xf>
    <xf numFmtId="3" fontId="52" fillId="0" borderId="0" xfId="32" applyNumberFormat="1" applyFont="1" applyFill="1" applyBorder="1" applyAlignment="1">
      <alignment horizontal="center" vertical="center"/>
    </xf>
    <xf numFmtId="3" fontId="51" fillId="25" borderId="190" xfId="32" applyNumberFormat="1" applyFont="1" applyFill="1" applyBorder="1" applyAlignment="1" applyProtection="1">
      <alignment vertical="center"/>
      <protection hidden="1"/>
    </xf>
    <xf numFmtId="4" fontId="47" fillId="27" borderId="0" xfId="0" applyNumberFormat="1" applyFont="1" applyFill="1" applyBorder="1" applyAlignment="1" applyProtection="1">
      <alignment vertical="center"/>
      <protection hidden="1"/>
    </xf>
    <xf numFmtId="0" fontId="51" fillId="0" borderId="62" xfId="32" applyFont="1" applyFill="1" applyBorder="1" applyAlignment="1">
      <alignment horizontal="center" vertical="center"/>
    </xf>
    <xf numFmtId="0" fontId="47" fillId="0" borderId="62" xfId="32" applyFont="1" applyFill="1" applyBorder="1" applyAlignment="1">
      <alignment horizontal="center" vertical="top" wrapText="1"/>
    </xf>
    <xf numFmtId="0" fontId="17" fillId="25" borderId="175" xfId="32" applyFont="1" applyFill="1" applyBorder="1" applyAlignment="1"/>
    <xf numFmtId="0" fontId="17" fillId="25" borderId="174" xfId="32" applyFont="1" applyFill="1" applyBorder="1" applyAlignment="1"/>
    <xf numFmtId="49" fontId="7" fillId="22" borderId="131" xfId="0" applyNumberFormat="1" applyFont="1" applyFill="1" applyBorder="1" applyAlignment="1" applyProtection="1">
      <alignment horizontal="center" vertical="center"/>
    </xf>
    <xf numFmtId="0" fontId="3" fillId="22" borderId="132" xfId="0" applyFont="1" applyFill="1" applyBorder="1" applyAlignment="1" applyProtection="1">
      <alignment horizontal="left" vertical="center"/>
    </xf>
    <xf numFmtId="49" fontId="3" fillId="22" borderId="131" xfId="0" applyNumberFormat="1" applyFont="1" applyFill="1" applyBorder="1" applyAlignment="1" applyProtection="1">
      <alignment horizontal="center" vertical="center"/>
    </xf>
    <xf numFmtId="0" fontId="3" fillId="22" borderId="132" xfId="0" applyFont="1" applyFill="1" applyBorder="1" applyAlignment="1" applyProtection="1">
      <alignment vertical="center"/>
    </xf>
    <xf numFmtId="49" fontId="8" fillId="22" borderId="235" xfId="0" applyNumberFormat="1" applyFont="1" applyFill="1" applyBorder="1" applyAlignment="1" applyProtection="1">
      <alignment horizontal="center" vertical="center"/>
    </xf>
    <xf numFmtId="0" fontId="2" fillId="22" borderId="236" xfId="0" applyFont="1" applyFill="1" applyBorder="1" applyAlignment="1" applyProtection="1">
      <alignment vertical="center"/>
    </xf>
    <xf numFmtId="49" fontId="24" fillId="22" borderId="62" xfId="0" applyNumberFormat="1" applyFont="1" applyFill="1" applyBorder="1" applyAlignment="1" applyProtection="1">
      <alignment horizontal="center" vertical="center"/>
    </xf>
    <xf numFmtId="0" fontId="24" fillId="22" borderId="67" xfId="0" applyFont="1" applyFill="1" applyBorder="1" applyAlignment="1" applyProtection="1">
      <alignment vertical="center"/>
    </xf>
    <xf numFmtId="0" fontId="24" fillId="22" borderId="64" xfId="0" applyFont="1" applyFill="1" applyBorder="1" applyAlignment="1" applyProtection="1">
      <alignment horizontal="left" vertical="center"/>
    </xf>
    <xf numFmtId="0" fontId="24" fillId="22" borderId="90" xfId="0" applyFont="1" applyFill="1" applyBorder="1" applyAlignment="1" applyProtection="1">
      <alignment horizontal="left" vertical="center"/>
    </xf>
    <xf numFmtId="0" fontId="2" fillId="22" borderId="135" xfId="0" applyFont="1" applyFill="1" applyBorder="1" applyAlignment="1" applyProtection="1">
      <alignment vertical="center"/>
    </xf>
    <xf numFmtId="0" fontId="8" fillId="22" borderId="132" xfId="0" applyFont="1" applyFill="1" applyBorder="1" applyAlignment="1" applyProtection="1">
      <alignment horizontal="left" vertical="center"/>
    </xf>
    <xf numFmtId="0" fontId="7" fillId="22" borderId="131" xfId="0" applyFont="1" applyFill="1" applyBorder="1" applyAlignment="1" applyProtection="1">
      <alignment horizontal="center" vertical="center"/>
    </xf>
    <xf numFmtId="0" fontId="7" fillId="22" borderId="132" xfId="0" applyFont="1" applyFill="1" applyBorder="1" applyAlignment="1" applyProtection="1">
      <alignment vertical="center"/>
    </xf>
    <xf numFmtId="49" fontId="8" fillId="22" borderId="131" xfId="0" applyNumberFormat="1" applyFont="1" applyFill="1" applyBorder="1" applyAlignment="1" applyProtection="1">
      <alignment horizontal="center" vertical="center"/>
    </xf>
    <xf numFmtId="0" fontId="8" fillId="22" borderId="132" xfId="0" applyFont="1" applyFill="1" applyBorder="1" applyAlignment="1" applyProtection="1">
      <alignment vertical="center"/>
    </xf>
    <xf numFmtId="0" fontId="24" fillId="22" borderId="64" xfId="0" applyFont="1" applyFill="1" applyBorder="1" applyAlignment="1" applyProtection="1">
      <alignment vertical="center"/>
    </xf>
    <xf numFmtId="0" fontId="8" fillId="22" borderId="148" xfId="0" applyFont="1" applyFill="1" applyBorder="1" applyAlignment="1" applyProtection="1">
      <alignment vertical="center"/>
    </xf>
    <xf numFmtId="49" fontId="8" fillId="22" borderId="221" xfId="0" applyNumberFormat="1" applyFont="1" applyFill="1" applyBorder="1" applyAlignment="1" applyProtection="1">
      <alignment horizontal="center" vertical="center"/>
    </xf>
    <xf numFmtId="0" fontId="2" fillId="22" borderId="0" xfId="0" applyFont="1" applyFill="1" applyBorder="1" applyAlignment="1">
      <alignment vertical="center"/>
    </xf>
    <xf numFmtId="0" fontId="24" fillId="22" borderId="0" xfId="0" applyFont="1" applyFill="1" applyAlignment="1" applyProtection="1">
      <alignment vertical="center"/>
    </xf>
    <xf numFmtId="0" fontId="114" fillId="22" borderId="0" xfId="0" applyFont="1" applyFill="1" applyAlignment="1" applyProtection="1">
      <alignment vertical="center"/>
    </xf>
    <xf numFmtId="49" fontId="8" fillId="22" borderId="89" xfId="0" applyNumberFormat="1" applyFont="1" applyFill="1" applyBorder="1" applyAlignment="1" applyProtection="1">
      <alignment horizontal="center" vertical="center"/>
    </xf>
    <xf numFmtId="0" fontId="2" fillId="22" borderId="0" xfId="0" applyFont="1" applyFill="1" applyAlignment="1" applyProtection="1">
      <alignment vertical="center"/>
    </xf>
    <xf numFmtId="0" fontId="2" fillId="22" borderId="248" xfId="0" applyFont="1" applyFill="1" applyBorder="1" applyAlignment="1" applyProtection="1">
      <alignment vertical="center"/>
    </xf>
    <xf numFmtId="0" fontId="36" fillId="22" borderId="131" xfId="0" applyFont="1" applyFill="1" applyBorder="1" applyAlignment="1" applyProtection="1">
      <alignment horizontal="center" vertical="center"/>
    </xf>
    <xf numFmtId="3" fontId="19" fillId="22" borderId="132" xfId="0" applyNumberFormat="1" applyFont="1" applyFill="1" applyBorder="1" applyAlignment="1">
      <alignment vertical="center"/>
    </xf>
    <xf numFmtId="3" fontId="19" fillId="22" borderId="83" xfId="0" applyNumberFormat="1" applyFont="1" applyFill="1" applyBorder="1" applyAlignment="1">
      <alignment vertical="center"/>
    </xf>
    <xf numFmtId="3" fontId="8" fillId="0" borderId="249" xfId="0" applyNumberFormat="1" applyFont="1" applyFill="1" applyBorder="1" applyAlignment="1" applyProtection="1">
      <alignment vertical="center"/>
      <protection locked="0"/>
    </xf>
    <xf numFmtId="3" fontId="8" fillId="0" borderId="250" xfId="0" applyNumberFormat="1" applyFont="1" applyFill="1" applyBorder="1" applyAlignment="1" applyProtection="1">
      <alignment vertical="center"/>
      <protection locked="0"/>
    </xf>
    <xf numFmtId="3" fontId="8" fillId="0" borderId="251" xfId="0" applyNumberFormat="1" applyFont="1" applyFill="1" applyBorder="1" applyAlignment="1" applyProtection="1">
      <alignment vertical="center"/>
      <protection locked="0"/>
    </xf>
    <xf numFmtId="3" fontId="8" fillId="0" borderId="49" xfId="0" applyNumberFormat="1" applyFont="1" applyFill="1" applyBorder="1" applyAlignment="1" applyProtection="1">
      <alignment vertical="center"/>
      <protection locked="0"/>
    </xf>
    <xf numFmtId="3" fontId="8" fillId="0" borderId="28" xfId="0" applyNumberFormat="1" applyFont="1" applyFill="1" applyBorder="1" applyAlignment="1" applyProtection="1">
      <alignment vertical="center"/>
      <protection locked="0"/>
    </xf>
    <xf numFmtId="3" fontId="8" fillId="0" borderId="38" xfId="0" applyNumberFormat="1" applyFont="1" applyFill="1" applyBorder="1" applyAlignment="1" applyProtection="1">
      <alignment vertical="center"/>
      <protection locked="0"/>
    </xf>
    <xf numFmtId="3" fontId="8" fillId="0" borderId="252" xfId="0" applyNumberFormat="1" applyFont="1" applyFill="1" applyBorder="1" applyAlignment="1" applyProtection="1">
      <alignment vertical="center"/>
      <protection locked="0"/>
    </xf>
    <xf numFmtId="3" fontId="8" fillId="0" borderId="253" xfId="0" applyNumberFormat="1" applyFont="1" applyFill="1" applyBorder="1" applyAlignment="1" applyProtection="1">
      <alignment vertical="center"/>
      <protection locked="0"/>
    </xf>
    <xf numFmtId="3" fontId="8" fillId="0" borderId="254" xfId="0" applyNumberFormat="1" applyFont="1" applyFill="1" applyBorder="1" applyAlignment="1" applyProtection="1">
      <alignment vertical="center"/>
      <protection locked="0"/>
    </xf>
    <xf numFmtId="3" fontId="3" fillId="0" borderId="255" xfId="0" applyNumberFormat="1" applyFont="1" applyFill="1" applyBorder="1" applyAlignment="1" applyProtection="1">
      <alignment vertical="center"/>
    </xf>
    <xf numFmtId="3" fontId="3" fillId="0" borderId="256" xfId="0" applyNumberFormat="1" applyFont="1" applyFill="1" applyBorder="1" applyAlignment="1" applyProtection="1">
      <alignment vertical="center"/>
    </xf>
    <xf numFmtId="3" fontId="3" fillId="0" borderId="257" xfId="0" applyNumberFormat="1" applyFont="1" applyFill="1" applyBorder="1" applyAlignment="1" applyProtection="1">
      <alignment vertical="center"/>
    </xf>
    <xf numFmtId="3" fontId="3" fillId="0" borderId="204" xfId="0" applyNumberFormat="1" applyFont="1" applyFill="1" applyBorder="1" applyAlignment="1" applyProtection="1">
      <alignment vertical="center"/>
    </xf>
    <xf numFmtId="3" fontId="3" fillId="0" borderId="258" xfId="0" applyNumberFormat="1" applyFont="1" applyFill="1" applyBorder="1" applyAlignment="1" applyProtection="1">
      <alignment vertical="center"/>
    </xf>
    <xf numFmtId="3" fontId="3" fillId="0" borderId="259" xfId="0" applyNumberFormat="1" applyFont="1" applyFill="1" applyBorder="1" applyAlignment="1" applyProtection="1">
      <alignment vertical="center"/>
    </xf>
    <xf numFmtId="3" fontId="8" fillId="0" borderId="18" xfId="0" applyNumberFormat="1" applyFont="1" applyFill="1" applyBorder="1" applyAlignment="1" applyProtection="1">
      <alignment vertical="center"/>
      <protection locked="0"/>
    </xf>
    <xf numFmtId="3" fontId="8" fillId="0" borderId="41" xfId="0" applyNumberFormat="1" applyFont="1" applyFill="1" applyBorder="1" applyAlignment="1" applyProtection="1">
      <alignment vertical="center"/>
      <protection locked="0"/>
    </xf>
    <xf numFmtId="3" fontId="8" fillId="0" borderId="42" xfId="0" applyNumberFormat="1" applyFont="1" applyFill="1" applyBorder="1" applyAlignment="1" applyProtection="1">
      <alignment vertical="center"/>
      <protection locked="0"/>
    </xf>
    <xf numFmtId="3" fontId="8" fillId="0" borderId="14" xfId="0" applyNumberFormat="1" applyFont="1" applyFill="1" applyBorder="1" applyAlignment="1" applyProtection="1">
      <alignment vertical="center"/>
      <protection locked="0"/>
    </xf>
    <xf numFmtId="3" fontId="8" fillId="0" borderId="36" xfId="0" applyNumberFormat="1" applyFont="1" applyFill="1" applyBorder="1" applyAlignment="1" applyProtection="1">
      <alignment vertical="center"/>
      <protection locked="0"/>
    </xf>
    <xf numFmtId="3" fontId="8" fillId="0" borderId="50" xfId="0" applyNumberFormat="1" applyFont="1" applyFill="1" applyBorder="1" applyAlignment="1" applyProtection="1">
      <alignment vertical="center"/>
      <protection locked="0"/>
    </xf>
    <xf numFmtId="3" fontId="3" fillId="0" borderId="204" xfId="0" applyNumberFormat="1" applyFont="1" applyFill="1" applyBorder="1" applyAlignment="1" applyProtection="1">
      <alignment vertical="center"/>
      <protection locked="0"/>
    </xf>
    <xf numFmtId="3" fontId="3" fillId="0" borderId="258" xfId="0" applyNumberFormat="1" applyFont="1" applyFill="1" applyBorder="1" applyAlignment="1" applyProtection="1">
      <alignment vertical="center"/>
      <protection locked="0"/>
    </xf>
    <xf numFmtId="3" fontId="3" fillId="0" borderId="259" xfId="0" applyNumberFormat="1" applyFont="1" applyFill="1" applyBorder="1" applyAlignment="1" applyProtection="1">
      <alignment vertical="center"/>
      <protection locked="0"/>
    </xf>
    <xf numFmtId="3" fontId="7" fillId="0" borderId="49" xfId="0" applyNumberFormat="1" applyFont="1" applyFill="1" applyBorder="1" applyAlignment="1" applyProtection="1">
      <alignment vertical="center"/>
      <protection locked="0"/>
    </xf>
    <xf numFmtId="3" fontId="7" fillId="0" borderId="28" xfId="0" applyNumberFormat="1" applyFont="1" applyFill="1" applyBorder="1" applyAlignment="1" applyProtection="1">
      <alignment vertical="center"/>
      <protection locked="0"/>
    </xf>
    <xf numFmtId="3" fontId="7" fillId="0" borderId="38" xfId="0" applyNumberFormat="1" applyFont="1" applyFill="1" applyBorder="1" applyAlignment="1" applyProtection="1">
      <alignment vertical="center"/>
      <protection locked="0"/>
    </xf>
    <xf numFmtId="3" fontId="7" fillId="0" borderId="249" xfId="0" applyNumberFormat="1" applyFont="1" applyFill="1" applyBorder="1" applyAlignment="1" applyProtection="1">
      <alignment vertical="center"/>
    </xf>
    <xf numFmtId="3" fontId="7" fillId="0" borderId="250" xfId="0" applyNumberFormat="1" applyFont="1" applyFill="1" applyBorder="1" applyAlignment="1" applyProtection="1">
      <alignment vertical="center"/>
    </xf>
    <xf numFmtId="3" fontId="7" fillId="0" borderId="251" xfId="0" applyNumberFormat="1" applyFont="1" applyFill="1" applyBorder="1" applyAlignment="1" applyProtection="1">
      <alignment vertical="center"/>
    </xf>
    <xf numFmtId="3" fontId="7" fillId="0" borderId="49" xfId="0" applyNumberFormat="1" applyFont="1" applyFill="1" applyBorder="1" applyAlignment="1" applyProtection="1">
      <alignment vertical="center"/>
      <protection hidden="1"/>
    </xf>
    <xf numFmtId="3" fontId="3" fillId="0" borderId="249" xfId="0" applyNumberFormat="1" applyFont="1" applyFill="1" applyBorder="1" applyAlignment="1" applyProtection="1">
      <alignment vertical="center"/>
      <protection locked="0"/>
    </xf>
    <xf numFmtId="3" fontId="3" fillId="0" borderId="250" xfId="0" applyNumberFormat="1" applyFont="1" applyFill="1" applyBorder="1" applyAlignment="1" applyProtection="1">
      <alignment vertical="center"/>
      <protection locked="0"/>
    </xf>
    <xf numFmtId="3" fontId="3" fillId="0" borderId="251" xfId="0" applyNumberFormat="1" applyFont="1" applyFill="1" applyBorder="1" applyAlignment="1" applyProtection="1">
      <alignment vertical="center"/>
      <protection locked="0"/>
    </xf>
    <xf numFmtId="3" fontId="8" fillId="0" borderId="12" xfId="0" applyNumberFormat="1" applyFont="1" applyFill="1" applyBorder="1" applyAlignment="1" applyProtection="1">
      <alignment vertical="center"/>
      <protection hidden="1"/>
    </xf>
    <xf numFmtId="3" fontId="8" fillId="0" borderId="18" xfId="0" applyNumberFormat="1" applyFont="1" applyFill="1" applyBorder="1" applyAlignment="1" applyProtection="1">
      <alignment vertical="center"/>
    </xf>
    <xf numFmtId="3" fontId="8" fillId="0" borderId="41" xfId="0" applyNumberFormat="1" applyFont="1" applyFill="1" applyBorder="1" applyAlignment="1" applyProtection="1">
      <alignment vertical="center"/>
    </xf>
    <xf numFmtId="3" fontId="8" fillId="0" borderId="42" xfId="0" applyNumberFormat="1" applyFont="1" applyFill="1" applyBorder="1" applyAlignment="1" applyProtection="1">
      <alignment vertical="center"/>
    </xf>
    <xf numFmtId="3" fontId="24" fillId="0" borderId="49" xfId="0" applyNumberFormat="1" applyFont="1" applyFill="1" applyBorder="1" applyAlignment="1" applyProtection="1">
      <alignment vertical="center"/>
    </xf>
    <xf numFmtId="3" fontId="24" fillId="0" borderId="28" xfId="0" applyNumberFormat="1" applyFont="1" applyFill="1" applyBorder="1" applyAlignment="1" applyProtection="1">
      <alignment vertical="center"/>
    </xf>
    <xf numFmtId="3" fontId="24" fillId="0" borderId="38" xfId="0" applyNumberFormat="1" applyFont="1" applyFill="1" applyBorder="1" applyAlignment="1" applyProtection="1">
      <alignment vertical="center"/>
    </xf>
    <xf numFmtId="3" fontId="24" fillId="0" borderId="252" xfId="0" applyNumberFormat="1" applyFont="1" applyFill="1" applyBorder="1" applyAlignment="1" applyProtection="1">
      <alignment vertical="center"/>
    </xf>
    <xf numFmtId="3" fontId="24" fillId="0" borderId="253" xfId="0" applyNumberFormat="1" applyFont="1" applyFill="1" applyBorder="1" applyAlignment="1" applyProtection="1">
      <alignment vertical="center"/>
    </xf>
    <xf numFmtId="3" fontId="24" fillId="0" borderId="254" xfId="0" applyNumberFormat="1" applyFont="1" applyFill="1" applyBorder="1" applyAlignment="1" applyProtection="1">
      <alignment vertical="center"/>
    </xf>
    <xf numFmtId="3" fontId="19" fillId="0" borderId="187" xfId="0" applyNumberFormat="1" applyFont="1" applyFill="1" applyBorder="1" applyAlignment="1" applyProtection="1">
      <alignment vertical="center"/>
    </xf>
    <xf numFmtId="3" fontId="8" fillId="0" borderId="258" xfId="0" applyNumberFormat="1" applyFont="1" applyFill="1" applyBorder="1" applyAlignment="1" applyProtection="1">
      <alignment vertical="center"/>
    </xf>
    <xf numFmtId="3" fontId="8" fillId="0" borderId="259" xfId="0" applyNumberFormat="1" applyFont="1" applyFill="1" applyBorder="1" applyAlignment="1" applyProtection="1">
      <alignment vertical="center"/>
    </xf>
    <xf numFmtId="3" fontId="8" fillId="0" borderId="255" xfId="0" applyNumberFormat="1" applyFont="1" applyFill="1" applyBorder="1" applyAlignment="1" applyProtection="1">
      <alignment vertical="center"/>
    </xf>
    <xf numFmtId="3" fontId="8" fillId="0" borderId="204" xfId="0" applyNumberFormat="1" applyFont="1" applyFill="1" applyBorder="1" applyAlignment="1" applyProtection="1">
      <alignment vertical="center"/>
      <protection locked="0"/>
    </xf>
    <xf numFmtId="3" fontId="8" fillId="0" borderId="49" xfId="0" applyNumberFormat="1" applyFont="1" applyFill="1" applyBorder="1" applyAlignment="1" applyProtection="1">
      <alignment vertical="center"/>
    </xf>
    <xf numFmtId="3" fontId="8" fillId="0" borderId="28" xfId="0" applyNumberFormat="1" applyFont="1" applyFill="1" applyBorder="1" applyAlignment="1" applyProtection="1">
      <alignment vertical="center"/>
    </xf>
    <xf numFmtId="3" fontId="8" fillId="0" borderId="38" xfId="0" applyNumberFormat="1" applyFont="1" applyFill="1" applyBorder="1" applyAlignment="1" applyProtection="1">
      <alignment vertical="center"/>
    </xf>
    <xf numFmtId="3" fontId="8" fillId="0" borderId="252" xfId="0" applyNumberFormat="1" applyFont="1" applyFill="1" applyBorder="1" applyAlignment="1" applyProtection="1">
      <alignment vertical="center"/>
    </xf>
    <xf numFmtId="3" fontId="8" fillId="0" borderId="253" xfId="0" applyNumberFormat="1" applyFont="1" applyFill="1" applyBorder="1" applyAlignment="1" applyProtection="1">
      <alignment vertical="center"/>
    </xf>
    <xf numFmtId="3" fontId="8" fillId="0" borderId="254" xfId="0" applyNumberFormat="1" applyFont="1" applyFill="1" applyBorder="1" applyAlignment="1" applyProtection="1">
      <alignment vertical="center"/>
    </xf>
    <xf numFmtId="3" fontId="7" fillId="0" borderId="113" xfId="0" applyNumberFormat="1" applyFont="1" applyFill="1" applyBorder="1" applyAlignment="1" applyProtection="1">
      <alignment vertical="center"/>
      <protection hidden="1"/>
    </xf>
    <xf numFmtId="3" fontId="24" fillId="0" borderId="255" xfId="0" applyNumberFormat="1" applyFont="1" applyFill="1" applyBorder="1" applyAlignment="1" applyProtection="1">
      <alignment vertical="center"/>
    </xf>
    <xf numFmtId="3" fontId="24" fillId="0" borderId="256" xfId="0" applyNumberFormat="1" applyFont="1" applyFill="1" applyBorder="1" applyAlignment="1" applyProtection="1">
      <alignment vertical="center"/>
    </xf>
    <xf numFmtId="3" fontId="24" fillId="0" borderId="257" xfId="0" applyNumberFormat="1" applyFont="1" applyFill="1" applyBorder="1" applyAlignment="1" applyProtection="1">
      <alignment vertical="center"/>
    </xf>
    <xf numFmtId="3" fontId="24" fillId="0" borderId="18" xfId="0" applyNumberFormat="1" applyFont="1" applyFill="1" applyBorder="1" applyAlignment="1" applyProtection="1">
      <alignment vertical="center"/>
      <protection locked="0"/>
    </xf>
    <xf numFmtId="3" fontId="24" fillId="0" borderId="41" xfId="0" applyNumberFormat="1" applyFont="1" applyFill="1" applyBorder="1" applyAlignment="1" applyProtection="1">
      <alignment vertical="center"/>
      <protection locked="0"/>
    </xf>
    <xf numFmtId="3" fontId="24" fillId="0" borderId="42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3" fontId="24" fillId="0" borderId="36" xfId="0" applyNumberFormat="1" applyFont="1" applyFill="1" applyBorder="1" applyAlignment="1" applyProtection="1">
      <alignment vertical="center"/>
      <protection locked="0"/>
    </xf>
    <xf numFmtId="3" fontId="24" fillId="0" borderId="50" xfId="0" applyNumberFormat="1" applyFont="1" applyFill="1" applyBorder="1" applyAlignment="1" applyProtection="1">
      <alignment vertical="center"/>
      <protection locked="0"/>
    </xf>
    <xf numFmtId="3" fontId="25" fillId="0" borderId="204" xfId="0" applyNumberFormat="1" applyFont="1" applyFill="1" applyBorder="1" applyAlignment="1" applyProtection="1">
      <alignment vertical="center"/>
      <protection locked="0"/>
    </xf>
    <xf numFmtId="3" fontId="25" fillId="0" borderId="258" xfId="0" applyNumberFormat="1" applyFont="1" applyFill="1" applyBorder="1" applyAlignment="1" applyProtection="1">
      <alignment vertical="center"/>
      <protection locked="0"/>
    </xf>
    <xf numFmtId="3" fontId="25" fillId="0" borderId="259" xfId="0" applyNumberFormat="1" applyFont="1" applyFill="1" applyBorder="1" applyAlignment="1" applyProtection="1">
      <alignment vertical="center"/>
      <protection locked="0"/>
    </xf>
    <xf numFmtId="3" fontId="7" fillId="0" borderId="204" xfId="0" applyNumberFormat="1" applyFont="1" applyFill="1" applyBorder="1" applyAlignment="1" applyProtection="1">
      <alignment vertical="center"/>
    </xf>
    <xf numFmtId="4" fontId="29" fillId="0" borderId="260" xfId="0" applyNumberFormat="1" applyFont="1" applyFill="1" applyBorder="1" applyAlignment="1">
      <alignment vertical="center"/>
    </xf>
    <xf numFmtId="4" fontId="29" fillId="0" borderId="107" xfId="0" applyNumberFormat="1" applyFont="1" applyFill="1" applyBorder="1" applyAlignment="1">
      <alignment vertical="center"/>
    </xf>
    <xf numFmtId="4" fontId="29" fillId="0" borderId="13" xfId="0" applyNumberFormat="1" applyFont="1" applyFill="1" applyBorder="1" applyAlignment="1">
      <alignment vertical="center"/>
    </xf>
    <xf numFmtId="4" fontId="29" fillId="0" borderId="106" xfId="0" applyNumberFormat="1" applyFont="1" applyFill="1" applyBorder="1" applyAlignment="1">
      <alignment vertical="center"/>
    </xf>
    <xf numFmtId="4" fontId="31" fillId="0" borderId="106" xfId="0" applyNumberFormat="1" applyFont="1" applyFill="1" applyBorder="1" applyAlignment="1">
      <alignment vertical="center"/>
    </xf>
    <xf numFmtId="4" fontId="31" fillId="0" borderId="13" xfId="0" applyNumberFormat="1" applyFont="1" applyFill="1" applyBorder="1" applyAlignment="1">
      <alignment vertical="center"/>
    </xf>
    <xf numFmtId="4" fontId="31" fillId="0" borderId="156" xfId="0" applyNumberFormat="1" applyFont="1" applyFill="1" applyBorder="1" applyAlignment="1">
      <alignment vertical="center"/>
    </xf>
    <xf numFmtId="4" fontId="26" fillId="0" borderId="260" xfId="0" applyNumberFormat="1" applyFont="1" applyFill="1" applyBorder="1" applyAlignment="1">
      <alignment vertical="center"/>
    </xf>
    <xf numFmtId="4" fontId="26" fillId="0" borderId="261" xfId="0" applyNumberFormat="1" applyFont="1" applyFill="1" applyBorder="1" applyAlignment="1">
      <alignment vertical="center"/>
    </xf>
    <xf numFmtId="4" fontId="26" fillId="0" borderId="124" xfId="0" applyNumberFormat="1" applyFont="1" applyFill="1" applyBorder="1" applyAlignment="1">
      <alignment vertical="center"/>
    </xf>
    <xf numFmtId="3" fontId="8" fillId="0" borderId="113" xfId="0" applyNumberFormat="1" applyFont="1" applyFill="1" applyBorder="1" applyAlignment="1" applyProtection="1">
      <alignment vertical="center"/>
    </xf>
    <xf numFmtId="3" fontId="8" fillId="0" borderId="117" xfId="0" applyNumberFormat="1" applyFont="1" applyFill="1" applyBorder="1" applyAlignment="1" applyProtection="1">
      <alignment vertical="center"/>
    </xf>
    <xf numFmtId="3" fontId="8" fillId="0" borderId="114" xfId="0" applyNumberFormat="1" applyFont="1" applyFill="1" applyBorder="1" applyAlignment="1" applyProtection="1">
      <alignment vertical="center"/>
    </xf>
    <xf numFmtId="3" fontId="8" fillId="0" borderId="249" xfId="0" applyNumberFormat="1" applyFont="1" applyFill="1" applyBorder="1" applyAlignment="1" applyProtection="1">
      <alignment vertical="center"/>
    </xf>
    <xf numFmtId="3" fontId="8" fillId="0" borderId="250" xfId="0" applyNumberFormat="1" applyFont="1" applyFill="1" applyBorder="1" applyAlignment="1" applyProtection="1">
      <alignment vertical="center"/>
    </xf>
    <xf numFmtId="3" fontId="8" fillId="0" borderId="251" xfId="0" applyNumberFormat="1" applyFont="1" applyFill="1" applyBorder="1" applyAlignment="1" applyProtection="1">
      <alignment vertical="center"/>
    </xf>
    <xf numFmtId="4" fontId="29" fillId="0" borderId="262" xfId="0" applyNumberFormat="1" applyFont="1" applyFill="1" applyBorder="1" applyAlignment="1">
      <alignment vertical="center"/>
    </xf>
    <xf numFmtId="3" fontId="7" fillId="0" borderId="255" xfId="0" applyNumberFormat="1" applyFont="1" applyFill="1" applyBorder="1" applyAlignment="1" applyProtection="1">
      <alignment vertical="center"/>
    </xf>
    <xf numFmtId="3" fontId="7" fillId="0" borderId="256" xfId="0" applyNumberFormat="1" applyFont="1" applyFill="1" applyBorder="1" applyAlignment="1" applyProtection="1">
      <alignment vertical="center"/>
    </xf>
    <xf numFmtId="3" fontId="7" fillId="0" borderId="257" xfId="0" applyNumberFormat="1" applyFont="1" applyFill="1" applyBorder="1" applyAlignment="1" applyProtection="1">
      <alignment vertical="center"/>
    </xf>
    <xf numFmtId="4" fontId="26" fillId="0" borderId="53" xfId="0" applyNumberFormat="1" applyFont="1" applyFill="1" applyBorder="1" applyAlignment="1">
      <alignment vertical="center"/>
    </xf>
    <xf numFmtId="4" fontId="26" fillId="0" borderId="156" xfId="0" applyNumberFormat="1" applyFont="1" applyFill="1" applyBorder="1" applyAlignment="1">
      <alignment vertical="center"/>
    </xf>
    <xf numFmtId="4" fontId="26" fillId="0" borderId="19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horizontal="center" vertical="center"/>
    </xf>
    <xf numFmtId="3" fontId="7" fillId="20" borderId="19" xfId="0" applyNumberFormat="1" applyFont="1" applyFill="1" applyBorder="1" applyAlignment="1">
      <alignment horizontal="center" vertical="center"/>
    </xf>
    <xf numFmtId="3" fontId="8" fillId="22" borderId="116" xfId="0" applyNumberFormat="1" applyFont="1" applyFill="1" applyBorder="1"/>
    <xf numFmtId="3" fontId="8" fillId="0" borderId="116" xfId="0" applyNumberFormat="1" applyFont="1" applyFill="1" applyBorder="1"/>
    <xf numFmtId="3" fontId="8" fillId="0" borderId="256" xfId="0" applyNumberFormat="1" applyFont="1" applyFill="1" applyBorder="1" applyAlignment="1" applyProtection="1">
      <alignment vertical="center"/>
    </xf>
    <xf numFmtId="3" fontId="8" fillId="0" borderId="257" xfId="0" applyNumberFormat="1" applyFont="1" applyFill="1" applyBorder="1" applyAlignment="1" applyProtection="1">
      <alignment vertical="center"/>
    </xf>
    <xf numFmtId="3" fontId="8" fillId="0" borderId="258" xfId="0" applyNumberFormat="1" applyFont="1" applyFill="1" applyBorder="1" applyAlignment="1" applyProtection="1">
      <alignment vertical="center"/>
      <protection locked="0"/>
    </xf>
    <xf numFmtId="3" fontId="8" fillId="0" borderId="259" xfId="0" applyNumberFormat="1" applyFont="1" applyFill="1" applyBorder="1" applyAlignment="1" applyProtection="1">
      <alignment vertical="center"/>
      <protection locked="0"/>
    </xf>
    <xf numFmtId="3" fontId="7" fillId="0" borderId="12" xfId="0" applyNumberFormat="1" applyFont="1" applyFill="1" applyBorder="1" applyAlignment="1" applyProtection="1">
      <alignment vertical="center"/>
    </xf>
    <xf numFmtId="0" fontId="8" fillId="22" borderId="116" xfId="0" applyFont="1" applyFill="1" applyBorder="1" applyAlignment="1">
      <alignment horizontal="center"/>
    </xf>
    <xf numFmtId="3" fontId="84" fillId="0" borderId="0" xfId="34" applyNumberFormat="1"/>
    <xf numFmtId="4" fontId="31" fillId="0" borderId="263" xfId="0" applyNumberFormat="1" applyFont="1" applyFill="1" applyBorder="1" applyAlignment="1">
      <alignment vertical="center"/>
    </xf>
    <xf numFmtId="4" fontId="26" fillId="0" borderId="205" xfId="0" applyNumberFormat="1" applyFont="1" applyFill="1" applyBorder="1" applyAlignment="1">
      <alignment vertical="center"/>
    </xf>
    <xf numFmtId="4" fontId="26" fillId="0" borderId="206" xfId="0" applyNumberFormat="1" applyFont="1" applyFill="1" applyBorder="1" applyAlignment="1">
      <alignment vertical="center"/>
    </xf>
    <xf numFmtId="4" fontId="31" fillId="0" borderId="116" xfId="0" applyNumberFormat="1" applyFont="1" applyFill="1" applyBorder="1" applyAlignment="1">
      <alignment vertical="center"/>
    </xf>
    <xf numFmtId="4" fontId="26" fillId="0" borderId="83" xfId="0" applyNumberFormat="1" applyFont="1" applyFill="1" applyBorder="1" applyAlignment="1">
      <alignment vertical="center"/>
    </xf>
    <xf numFmtId="0" fontId="104" fillId="22" borderId="116" xfId="0" applyFont="1" applyFill="1" applyBorder="1" applyAlignment="1">
      <alignment vertical="center"/>
    </xf>
    <xf numFmtId="4" fontId="29" fillId="0" borderId="263" xfId="0" applyNumberFormat="1" applyFont="1" applyFill="1" applyBorder="1" applyAlignment="1">
      <alignment vertical="center"/>
    </xf>
    <xf numFmtId="0" fontId="81" fillId="0" borderId="10" xfId="0" applyFont="1" applyBorder="1"/>
    <xf numFmtId="0" fontId="91" fillId="0" borderId="10" xfId="0" applyFont="1" applyBorder="1" applyAlignment="1"/>
    <xf numFmtId="0" fontId="81" fillId="0" borderId="13" xfId="0" applyFont="1" applyBorder="1"/>
    <xf numFmtId="0" fontId="95" fillId="0" borderId="13" xfId="0" applyFont="1" applyBorder="1" applyAlignment="1">
      <alignment horizontal="center"/>
    </xf>
    <xf numFmtId="0" fontId="81" fillId="0" borderId="13" xfId="0" applyFont="1" applyBorder="1" applyAlignment="1">
      <alignment horizontal="center"/>
    </xf>
    <xf numFmtId="0" fontId="95" fillId="0" borderId="13" xfId="0" applyFont="1" applyBorder="1" applyAlignment="1">
      <alignment horizontal="center" vertical="center"/>
    </xf>
    <xf numFmtId="0" fontId="81" fillId="0" borderId="13" xfId="0" applyFont="1" applyBorder="1" applyAlignment="1">
      <alignment horizontal="center" vertical="center"/>
    </xf>
    <xf numFmtId="0" fontId="94" fillId="0" borderId="13" xfId="0" applyFont="1" applyBorder="1" applyAlignment="1">
      <alignment horizontal="center" vertical="center"/>
    </xf>
    <xf numFmtId="0" fontId="96" fillId="0" borderId="13" xfId="0" applyFont="1" applyBorder="1" applyAlignment="1">
      <alignment horizontal="center"/>
    </xf>
    <xf numFmtId="0" fontId="81" fillId="0" borderId="107" xfId="0" applyFont="1" applyBorder="1" applyAlignment="1">
      <alignment horizontal="center"/>
    </xf>
    <xf numFmtId="0" fontId="81" fillId="0" borderId="106" xfId="0" applyFont="1" applyBorder="1" applyAlignment="1">
      <alignment horizontal="center"/>
    </xf>
    <xf numFmtId="3" fontId="81" fillId="0" borderId="13" xfId="0" applyNumberFormat="1" applyFont="1" applyBorder="1" applyAlignment="1">
      <alignment horizontal="right"/>
    </xf>
    <xf numFmtId="0" fontId="96" fillId="0" borderId="107" xfId="0" applyFont="1" applyBorder="1"/>
    <xf numFmtId="0" fontId="97" fillId="0" borderId="16" xfId="0" applyFont="1" applyBorder="1"/>
    <xf numFmtId="0" fontId="96" fillId="0" borderId="13" xfId="0" applyFont="1" applyBorder="1"/>
    <xf numFmtId="3" fontId="96" fillId="0" borderId="13" xfId="0" applyNumberFormat="1" applyFont="1" applyBorder="1" applyAlignment="1">
      <alignment horizontal="right"/>
    </xf>
    <xf numFmtId="3" fontId="106" fillId="0" borderId="107" xfId="0" applyNumberFormat="1" applyFont="1" applyBorder="1" applyAlignment="1">
      <alignment horizontal="right"/>
    </xf>
    <xf numFmtId="0" fontId="29" fillId="0" borderId="0" xfId="0" applyFont="1" applyAlignment="1"/>
    <xf numFmtId="0" fontId="91" fillId="0" borderId="13" xfId="0" applyFont="1" applyBorder="1" applyAlignment="1"/>
    <xf numFmtId="0" fontId="26" fillId="0" borderId="0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83" fillId="0" borderId="30" xfId="0" applyFont="1" applyBorder="1"/>
    <xf numFmtId="0" fontId="83" fillId="0" borderId="17" xfId="0" applyFont="1" applyBorder="1"/>
    <xf numFmtId="0" fontId="115" fillId="0" borderId="16" xfId="0" applyFont="1" applyBorder="1" applyAlignment="1">
      <alignment horizontal="center"/>
    </xf>
    <xf numFmtId="0" fontId="106" fillId="0" borderId="16" xfId="0" applyFont="1" applyFill="1" applyBorder="1" applyAlignment="1">
      <alignment horizontal="center"/>
    </xf>
    <xf numFmtId="0" fontId="95" fillId="0" borderId="156" xfId="0" applyFont="1" applyBorder="1" applyAlignment="1">
      <alignment horizontal="center"/>
    </xf>
    <xf numFmtId="0" fontId="81" fillId="0" borderId="24" xfId="0" applyFont="1" applyBorder="1"/>
    <xf numFmtId="0" fontId="115" fillId="0" borderId="16" xfId="0" applyFont="1" applyFill="1" applyBorder="1" applyAlignment="1">
      <alignment horizontal="center"/>
    </xf>
    <xf numFmtId="0" fontId="97" fillId="0" borderId="13" xfId="0" applyFont="1" applyBorder="1"/>
    <xf numFmtId="0" fontId="97" fillId="0" borderId="13" xfId="0" applyFont="1" applyFill="1" applyBorder="1" applyAlignment="1">
      <alignment horizontal="left"/>
    </xf>
    <xf numFmtId="0" fontId="96" fillId="0" borderId="16" xfId="0" applyFont="1" applyBorder="1"/>
    <xf numFmtId="0" fontId="97" fillId="0" borderId="107" xfId="0" applyFont="1" applyBorder="1"/>
    <xf numFmtId="3" fontId="106" fillId="0" borderId="28" xfId="0" applyNumberFormat="1" applyFont="1" applyBorder="1" applyAlignment="1">
      <alignment horizontal="right"/>
    </xf>
    <xf numFmtId="3" fontId="106" fillId="0" borderId="123" xfId="0" applyNumberFormat="1" applyFont="1" applyBorder="1" applyAlignment="1">
      <alignment horizontal="right"/>
    </xf>
    <xf numFmtId="0" fontId="98" fillId="0" borderId="13" xfId="0" applyFont="1" applyBorder="1"/>
    <xf numFmtId="0" fontId="98" fillId="0" borderId="13" xfId="0" applyFont="1" applyBorder="1" applyAlignment="1">
      <alignment wrapText="1"/>
    </xf>
    <xf numFmtId="0" fontId="59" fillId="0" borderId="10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81" fillId="0" borderId="156" xfId="0" applyFont="1" applyBorder="1" applyAlignment="1">
      <alignment horizontal="center" vertical="center" wrapText="1"/>
    </xf>
    <xf numFmtId="3" fontId="13" fillId="0" borderId="30" xfId="0" applyNumberFormat="1" applyFont="1" applyFill="1" applyBorder="1"/>
    <xf numFmtId="0" fontId="98" fillId="0" borderId="16" xfId="0" applyFont="1" applyBorder="1"/>
    <xf numFmtId="0" fontId="60" fillId="0" borderId="25" xfId="0" applyFont="1" applyBorder="1" applyAlignment="1">
      <alignment horizontal="center"/>
    </xf>
    <xf numFmtId="0" fontId="60" fillId="0" borderId="23" xfId="0" applyFont="1" applyBorder="1" applyAlignment="1">
      <alignment horizontal="center"/>
    </xf>
    <xf numFmtId="0" fontId="81" fillId="0" borderId="48" xfId="0" applyFont="1" applyBorder="1" applyAlignment="1">
      <alignment horizontal="center" vertical="center" wrapText="1"/>
    </xf>
    <xf numFmtId="3" fontId="51" fillId="22" borderId="16" xfId="0" applyNumberFormat="1" applyFont="1" applyFill="1" applyBorder="1" applyAlignment="1">
      <alignment vertical="center"/>
    </xf>
    <xf numFmtId="0" fontId="47" fillId="22" borderId="16" xfId="0" applyFont="1" applyFill="1" applyBorder="1" applyAlignment="1">
      <alignment vertical="center" wrapText="1"/>
    </xf>
    <xf numFmtId="3" fontId="47" fillId="22" borderId="16" xfId="0" applyNumberFormat="1" applyFont="1" applyFill="1" applyBorder="1"/>
    <xf numFmtId="0" fontId="0" fillId="0" borderId="0" xfId="0" applyFont="1"/>
    <xf numFmtId="0" fontId="12" fillId="22" borderId="140" xfId="0" applyFont="1" applyFill="1" applyBorder="1" applyAlignment="1">
      <alignment horizontal="center"/>
    </xf>
    <xf numFmtId="3" fontId="12" fillId="0" borderId="197" xfId="0" applyNumberFormat="1" applyFont="1" applyFill="1" applyBorder="1" applyAlignment="1">
      <alignment horizontal="right" vertical="center"/>
    </xf>
    <xf numFmtId="167" fontId="84" fillId="0" borderId="0" xfId="34" applyNumberFormat="1"/>
    <xf numFmtId="0" fontId="81" fillId="0" borderId="123" xfId="0" applyFont="1" applyFill="1" applyBorder="1" applyAlignment="1">
      <alignment horizontal="center"/>
    </xf>
    <xf numFmtId="3" fontId="13" fillId="0" borderId="17" xfId="0" applyNumberFormat="1" applyFont="1" applyFill="1" applyBorder="1" applyAlignment="1">
      <alignment horizontal="right"/>
    </xf>
    <xf numFmtId="4" fontId="7" fillId="22" borderId="73" xfId="0" applyNumberFormat="1" applyFont="1" applyFill="1" applyBorder="1" applyAlignment="1">
      <alignment vertical="center"/>
    </xf>
    <xf numFmtId="167" fontId="2" fillId="22" borderId="0" xfId="0" applyNumberFormat="1" applyFont="1" applyFill="1"/>
    <xf numFmtId="167" fontId="0" fillId="22" borderId="0" xfId="0" applyNumberFormat="1" applyFont="1" applyFill="1"/>
    <xf numFmtId="0" fontId="10" fillId="21" borderId="43" xfId="0" applyFont="1" applyFill="1" applyBorder="1" applyAlignment="1">
      <alignment horizontal="center"/>
    </xf>
    <xf numFmtId="0" fontId="6" fillId="21" borderId="18" xfId="0" applyFont="1" applyFill="1" applyBorder="1" applyAlignment="1">
      <alignment horizontal="center"/>
    </xf>
    <xf numFmtId="0" fontId="6" fillId="21" borderId="41" xfId="0" applyFont="1" applyFill="1" applyBorder="1" applyAlignment="1">
      <alignment horizontal="center"/>
    </xf>
    <xf numFmtId="0" fontId="10" fillId="21" borderId="41" xfId="0" applyFont="1" applyFill="1" applyBorder="1" applyAlignment="1">
      <alignment horizontal="center" vertical="top" wrapText="1"/>
    </xf>
    <xf numFmtId="3" fontId="2" fillId="21" borderId="41" xfId="0" applyNumberFormat="1" applyFont="1" applyFill="1" applyBorder="1" applyAlignment="1">
      <alignment vertical="center" wrapText="1"/>
    </xf>
    <xf numFmtId="0" fontId="2" fillId="21" borderId="41" xfId="0" applyFont="1" applyFill="1" applyBorder="1" applyAlignment="1">
      <alignment vertical="center" wrapText="1"/>
    </xf>
    <xf numFmtId="0" fontId="3" fillId="21" borderId="49" xfId="0" applyFont="1" applyFill="1" applyBorder="1" applyAlignment="1">
      <alignment horizontal="center" vertical="center"/>
    </xf>
    <xf numFmtId="0" fontId="24" fillId="21" borderId="18" xfId="0" applyFont="1" applyFill="1" applyBorder="1" applyAlignment="1">
      <alignment horizontal="center" vertical="center"/>
    </xf>
    <xf numFmtId="3" fontId="25" fillId="21" borderId="41" xfId="0" applyNumberFormat="1" applyFont="1" applyFill="1" applyBorder="1" applyAlignment="1">
      <alignment vertical="center" wrapText="1"/>
    </xf>
    <xf numFmtId="0" fontId="24" fillId="21" borderId="41" xfId="0" applyFont="1" applyFill="1" applyBorder="1" applyAlignment="1">
      <alignment vertical="center" wrapText="1"/>
    </xf>
    <xf numFmtId="0" fontId="3" fillId="21" borderId="41" xfId="0" applyFont="1" applyFill="1" applyBorder="1" applyAlignment="1">
      <alignment vertical="center" wrapText="1"/>
    </xf>
    <xf numFmtId="0" fontId="54" fillId="21" borderId="28" xfId="0" applyFont="1" applyFill="1" applyBorder="1" applyAlignment="1">
      <alignment horizontal="center"/>
    </xf>
    <xf numFmtId="0" fontId="54" fillId="21" borderId="38" xfId="0" applyFont="1" applyFill="1" applyBorder="1" applyAlignment="1">
      <alignment horizontal="center"/>
    </xf>
    <xf numFmtId="3" fontId="24" fillId="21" borderId="41" xfId="0" applyNumberFormat="1" applyFont="1" applyFill="1" applyBorder="1" applyAlignment="1">
      <alignment vertical="center"/>
    </xf>
    <xf numFmtId="3" fontId="25" fillId="21" borderId="41" xfId="0" applyNumberFormat="1" applyFont="1" applyFill="1" applyBorder="1" applyAlignment="1">
      <alignment vertical="center"/>
    </xf>
    <xf numFmtId="3" fontId="7" fillId="21" borderId="42" xfId="0" applyNumberFormat="1" applyFont="1" applyFill="1" applyBorder="1" applyAlignment="1">
      <alignment vertical="center"/>
    </xf>
    <xf numFmtId="3" fontId="25" fillId="21" borderId="42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3" fontId="2" fillId="22" borderId="0" xfId="0" applyNumberFormat="1" applyFont="1" applyFill="1" applyAlignment="1"/>
    <xf numFmtId="3" fontId="3" fillId="21" borderId="41" xfId="0" applyNumberFormat="1" applyFont="1" applyFill="1" applyBorder="1" applyAlignment="1">
      <alignment vertical="center" wrapText="1"/>
    </xf>
    <xf numFmtId="3" fontId="17" fillId="0" borderId="64" xfId="32" applyNumberFormat="1" applyFont="1" applyFill="1" applyBorder="1" applyAlignment="1" applyProtection="1">
      <alignment vertical="center"/>
      <protection hidden="1"/>
    </xf>
    <xf numFmtId="4" fontId="47" fillId="27" borderId="265" xfId="0" applyNumberFormat="1" applyFont="1" applyFill="1" applyBorder="1" applyAlignment="1" applyProtection="1">
      <alignment vertical="center"/>
      <protection hidden="1"/>
    </xf>
    <xf numFmtId="165" fontId="19" fillId="0" borderId="75" xfId="0" applyNumberFormat="1" applyFont="1" applyFill="1" applyBorder="1" applyAlignment="1">
      <alignment vertical="center"/>
    </xf>
    <xf numFmtId="0" fontId="13" fillId="22" borderId="0" xfId="0" applyFont="1" applyFill="1" applyBorder="1" applyAlignment="1">
      <alignment horizontal="right"/>
    </xf>
    <xf numFmtId="0" fontId="95" fillId="0" borderId="59" xfId="0" applyFont="1" applyBorder="1" applyAlignment="1">
      <alignment horizontal="center"/>
    </xf>
    <xf numFmtId="0" fontId="81" fillId="0" borderId="23" xfId="0" applyFont="1" applyFill="1" applyBorder="1"/>
    <xf numFmtId="0" fontId="97" fillId="0" borderId="16" xfId="0" applyFont="1" applyFill="1" applyBorder="1" applyAlignment="1">
      <alignment horizontal="left"/>
    </xf>
    <xf numFmtId="164" fontId="81" fillId="0" borderId="23" xfId="0" applyNumberFormat="1" applyFont="1" applyFill="1" applyBorder="1"/>
    <xf numFmtId="0" fontId="81" fillId="0" borderId="16" xfId="0" applyFont="1" applyFill="1" applyBorder="1"/>
    <xf numFmtId="165" fontId="81" fillId="0" borderId="23" xfId="0" applyNumberFormat="1" applyFont="1" applyFill="1" applyBorder="1"/>
    <xf numFmtId="3" fontId="96" fillId="0" borderId="23" xfId="0" applyNumberFormat="1" applyFont="1" applyFill="1" applyBorder="1" applyAlignment="1">
      <alignment horizontal="right"/>
    </xf>
    <xf numFmtId="3" fontId="106" fillId="0" borderId="66" xfId="0" applyNumberFormat="1" applyFont="1" applyBorder="1" applyAlignment="1">
      <alignment horizontal="right"/>
    </xf>
    <xf numFmtId="165" fontId="81" fillId="0" borderId="123" xfId="0" applyNumberFormat="1" applyFont="1" applyFill="1" applyBorder="1" applyAlignment="1">
      <alignment horizontal="right"/>
    </xf>
    <xf numFmtId="3" fontId="81" fillId="0" borderId="54" xfId="0" applyNumberFormat="1" applyFont="1" applyBorder="1"/>
    <xf numFmtId="3" fontId="81" fillId="0" borderId="123" xfId="0" applyNumberFormat="1" applyFont="1" applyBorder="1"/>
    <xf numFmtId="0" fontId="81" fillId="29" borderId="123" xfId="0" applyFont="1" applyFill="1" applyBorder="1"/>
    <xf numFmtId="0" fontId="98" fillId="0" borderId="16" xfId="0" applyFont="1" applyBorder="1" applyAlignment="1">
      <alignment wrapText="1"/>
    </xf>
    <xf numFmtId="0" fontId="13" fillId="0" borderId="10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3" fontId="13" fillId="0" borderId="17" xfId="0" applyNumberFormat="1" applyFont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0" fontId="13" fillId="0" borderId="13" xfId="0" applyFont="1" applyBorder="1"/>
    <xf numFmtId="3" fontId="13" fillId="0" borderId="46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3" fontId="13" fillId="0" borderId="30" xfId="0" applyNumberFormat="1" applyFont="1" applyBorder="1"/>
    <xf numFmtId="3" fontId="13" fillId="0" borderId="15" xfId="0" applyNumberFormat="1" applyFont="1" applyBorder="1"/>
    <xf numFmtId="3" fontId="13" fillId="0" borderId="21" xfId="0" applyNumberFormat="1" applyFont="1" applyBorder="1"/>
    <xf numFmtId="3" fontId="13" fillId="0" borderId="17" xfId="0" applyNumberFormat="1" applyFont="1" applyBorder="1"/>
    <xf numFmtId="3" fontId="13" fillId="0" borderId="12" xfId="0" applyNumberFormat="1" applyFont="1" applyBorder="1"/>
    <xf numFmtId="0" fontId="37" fillId="0" borderId="13" xfId="0" applyFont="1" applyBorder="1"/>
    <xf numFmtId="3" fontId="37" fillId="0" borderId="15" xfId="0" applyNumberFormat="1" applyFont="1" applyBorder="1"/>
    <xf numFmtId="3" fontId="37" fillId="0" borderId="21" xfId="0" applyNumberFormat="1" applyFont="1" applyBorder="1"/>
    <xf numFmtId="3" fontId="37" fillId="0" borderId="17" xfId="0" applyNumberFormat="1" applyFont="1" applyBorder="1"/>
    <xf numFmtId="3" fontId="37" fillId="0" borderId="30" xfId="0" applyNumberFormat="1" applyFont="1" applyBorder="1"/>
    <xf numFmtId="3" fontId="37" fillId="0" borderId="12" xfId="0" applyNumberFormat="1" applyFont="1" applyBorder="1"/>
    <xf numFmtId="3" fontId="78" fillId="0" borderId="15" xfId="0" applyNumberFormat="1" applyFont="1" applyBorder="1"/>
    <xf numFmtId="3" fontId="78" fillId="0" borderId="21" xfId="0" applyNumberFormat="1" applyFont="1" applyBorder="1"/>
    <xf numFmtId="3" fontId="13" fillId="0" borderId="266" xfId="0" applyNumberFormat="1" applyFont="1" applyBorder="1"/>
    <xf numFmtId="0" fontId="13" fillId="0" borderId="123" xfId="0" applyFont="1" applyBorder="1" applyAlignment="1">
      <alignment horizontal="center"/>
    </xf>
    <xf numFmtId="0" fontId="97" fillId="0" borderId="23" xfId="0" applyFont="1" applyBorder="1"/>
    <xf numFmtId="0" fontId="13" fillId="0" borderId="23" xfId="0" applyFont="1" applyFill="1" applyBorder="1"/>
    <xf numFmtId="0" fontId="13" fillId="0" borderId="23" xfId="0" applyFont="1" applyBorder="1"/>
    <xf numFmtId="0" fontId="37" fillId="0" borderId="23" xfId="0" applyFont="1" applyBorder="1"/>
    <xf numFmtId="0" fontId="79" fillId="0" borderId="23" xfId="0" applyFont="1" applyBorder="1" applyAlignment="1">
      <alignment wrapText="1"/>
    </xf>
    <xf numFmtId="3" fontId="0" fillId="22" borderId="0" xfId="0" applyNumberFormat="1" applyFont="1" applyFill="1" applyBorder="1" applyAlignment="1">
      <alignment horizontal="center"/>
    </xf>
    <xf numFmtId="3" fontId="3" fillId="22" borderId="32" xfId="0" applyNumberFormat="1" applyFont="1" applyFill="1" applyBorder="1" applyAlignment="1">
      <alignment horizontal="center"/>
    </xf>
    <xf numFmtId="3" fontId="3" fillId="22" borderId="30" xfId="0" applyNumberFormat="1" applyFont="1" applyFill="1" applyBorder="1" applyAlignment="1">
      <alignment horizontal="center"/>
    </xf>
    <xf numFmtId="3" fontId="7" fillId="22" borderId="267" xfId="0" applyNumberFormat="1" applyFont="1" applyFill="1" applyBorder="1" applyAlignment="1">
      <alignment horizontal="center" vertical="center"/>
    </xf>
    <xf numFmtId="4" fontId="8" fillId="22" borderId="30" xfId="0" applyNumberFormat="1" applyFont="1" applyFill="1" applyBorder="1"/>
    <xf numFmtId="4" fontId="7" fillId="22" borderId="30" xfId="0" applyNumberFormat="1" applyFont="1" applyFill="1" applyBorder="1"/>
    <xf numFmtId="3" fontId="39" fillId="22" borderId="16" xfId="0" applyNumberFormat="1" applyFont="1" applyFill="1" applyBorder="1" applyAlignment="1">
      <alignment vertical="center"/>
    </xf>
    <xf numFmtId="4" fontId="3" fillId="22" borderId="73" xfId="0" applyNumberFormat="1" applyFont="1" applyFill="1" applyBorder="1" applyAlignment="1">
      <alignment vertical="center"/>
    </xf>
    <xf numFmtId="4" fontId="8" fillId="22" borderId="30" xfId="0" applyNumberFormat="1" applyFont="1" applyFill="1" applyBorder="1" applyAlignment="1">
      <alignment vertical="center"/>
    </xf>
    <xf numFmtId="0" fontId="8" fillId="22" borderId="0" xfId="0" applyFont="1" applyFill="1" applyBorder="1" applyAlignment="1">
      <alignment horizontal="right"/>
    </xf>
    <xf numFmtId="3" fontId="9" fillId="22" borderId="0" xfId="0" applyNumberFormat="1" applyFont="1" applyFill="1" applyBorder="1" applyAlignment="1">
      <alignment horizontal="center"/>
    </xf>
    <xf numFmtId="3" fontId="3" fillId="22" borderId="21" xfId="0" applyNumberFormat="1" applyFont="1" applyFill="1" applyBorder="1" applyAlignment="1">
      <alignment horizontal="center"/>
    </xf>
    <xf numFmtId="3" fontId="2" fillId="22" borderId="21" xfId="0" applyNumberFormat="1" applyFont="1" applyFill="1" applyBorder="1"/>
    <xf numFmtId="3" fontId="3" fillId="22" borderId="21" xfId="0" applyNumberFormat="1" applyFont="1" applyFill="1" applyBorder="1"/>
    <xf numFmtId="3" fontId="8" fillId="22" borderId="21" xfId="0" applyNumberFormat="1" applyFont="1" applyFill="1" applyBorder="1"/>
    <xf numFmtId="3" fontId="2" fillId="22" borderId="21" xfId="0" applyNumberFormat="1" applyFont="1" applyFill="1" applyBorder="1" applyAlignment="1">
      <alignment vertical="center"/>
    </xf>
    <xf numFmtId="3" fontId="7" fillId="22" borderId="68" xfId="0" applyNumberFormat="1" applyFont="1" applyFill="1" applyBorder="1" applyAlignment="1">
      <alignment vertical="center"/>
    </xf>
    <xf numFmtId="0" fontId="33" fillId="0" borderId="57" xfId="0" applyFont="1" applyFill="1" applyBorder="1" applyAlignment="1">
      <alignment horizontal="center"/>
    </xf>
    <xf numFmtId="0" fontId="17" fillId="0" borderId="0" xfId="32" applyFont="1" applyFill="1" applyBorder="1" applyAlignment="1">
      <alignment vertical="center"/>
    </xf>
    <xf numFmtId="0" fontId="17" fillId="25" borderId="125" xfId="32" applyFont="1" applyFill="1" applyBorder="1"/>
    <xf numFmtId="4" fontId="47" fillId="0" borderId="128" xfId="32" applyNumberFormat="1" applyFont="1" applyFill="1" applyBorder="1" applyAlignment="1">
      <alignment vertical="center"/>
    </xf>
    <xf numFmtId="4" fontId="29" fillId="0" borderId="237" xfId="0" applyNumberFormat="1" applyFont="1" applyFill="1" applyBorder="1" applyAlignment="1">
      <alignment vertical="center"/>
    </xf>
    <xf numFmtId="0" fontId="96" fillId="0" borderId="16" xfId="0" applyFont="1" applyBorder="1" applyAlignment="1">
      <alignment horizontal="center"/>
    </xf>
    <xf numFmtId="3" fontId="3" fillId="0" borderId="278" xfId="0" applyNumberFormat="1" applyFont="1" applyFill="1" applyBorder="1" applyAlignment="1" applyProtection="1">
      <alignment vertical="center"/>
    </xf>
    <xf numFmtId="3" fontId="8" fillId="0" borderId="239" xfId="0" applyNumberFormat="1" applyFont="1" applyFill="1" applyBorder="1" applyAlignment="1" applyProtection="1">
      <alignment vertical="center"/>
      <protection locked="0"/>
    </xf>
    <xf numFmtId="3" fontId="8" fillId="0" borderId="17" xfId="0" applyNumberFormat="1" applyFont="1" applyFill="1" applyBorder="1" applyAlignment="1" applyProtection="1">
      <alignment vertical="center"/>
      <protection locked="0"/>
    </xf>
    <xf numFmtId="3" fontId="24" fillId="0" borderId="17" xfId="0" applyNumberFormat="1" applyFont="1" applyFill="1" applyBorder="1" applyAlignment="1" applyProtection="1">
      <alignment vertical="center"/>
      <protection locked="0"/>
    </xf>
    <xf numFmtId="3" fontId="3" fillId="0" borderId="278" xfId="0" applyNumberFormat="1" applyFont="1" applyFill="1" applyBorder="1" applyAlignment="1" applyProtection="1">
      <alignment vertical="center"/>
      <protection locked="0"/>
    </xf>
    <xf numFmtId="3" fontId="8" fillId="0" borderId="58" xfId="0" applyNumberFormat="1" applyFont="1" applyFill="1" applyBorder="1" applyAlignment="1" applyProtection="1">
      <alignment vertical="center"/>
      <protection locked="0"/>
    </xf>
    <xf numFmtId="3" fontId="7" fillId="0" borderId="58" xfId="0" applyNumberFormat="1" applyFont="1" applyFill="1" applyBorder="1" applyAlignment="1" applyProtection="1">
      <alignment vertical="center"/>
      <protection locked="0"/>
    </xf>
    <xf numFmtId="3" fontId="8" fillId="0" borderId="279" xfId="0" applyNumberFormat="1" applyFont="1" applyFill="1" applyBorder="1" applyAlignment="1" applyProtection="1">
      <alignment vertical="center"/>
      <protection locked="0"/>
    </xf>
    <xf numFmtId="3" fontId="3" fillId="0" borderId="280" xfId="0" applyNumberFormat="1" applyFont="1" applyFill="1" applyBorder="1" applyAlignment="1" applyProtection="1">
      <alignment vertical="center"/>
    </xf>
    <xf numFmtId="3" fontId="8" fillId="0" borderId="51" xfId="0" applyNumberFormat="1" applyFont="1" applyFill="1" applyBorder="1" applyAlignment="1" applyProtection="1">
      <alignment vertical="center"/>
      <protection locked="0"/>
    </xf>
    <xf numFmtId="3" fontId="8" fillId="0" borderId="47" xfId="0" applyNumberFormat="1" applyFont="1" applyFill="1" applyBorder="1" applyAlignment="1" applyProtection="1">
      <alignment vertical="center"/>
      <protection locked="0"/>
    </xf>
    <xf numFmtId="3" fontId="3" fillId="0" borderId="238" xfId="0" applyNumberFormat="1" applyFont="1" applyFill="1" applyBorder="1" applyAlignment="1" applyProtection="1">
      <alignment vertical="center"/>
      <protection locked="0"/>
    </xf>
    <xf numFmtId="3" fontId="8" fillId="0" borderId="17" xfId="0" applyNumberFormat="1" applyFont="1" applyFill="1" applyBorder="1" applyAlignment="1" applyProtection="1">
      <alignment vertical="center"/>
    </xf>
    <xf numFmtId="3" fontId="24" fillId="0" borderId="17" xfId="0" applyNumberFormat="1" applyFont="1" applyFill="1" applyBorder="1" applyAlignment="1" applyProtection="1">
      <alignment vertical="center"/>
    </xf>
    <xf numFmtId="3" fontId="3" fillId="0" borderId="238" xfId="0" applyNumberFormat="1" applyFont="1" applyFill="1" applyBorder="1" applyAlignment="1" applyProtection="1">
      <alignment vertical="center"/>
    </xf>
    <xf numFmtId="3" fontId="7" fillId="0" borderId="239" xfId="0" applyNumberFormat="1" applyFont="1" applyFill="1" applyBorder="1" applyAlignment="1" applyProtection="1">
      <alignment vertical="center"/>
    </xf>
    <xf numFmtId="3" fontId="3" fillId="0" borderId="239" xfId="0" applyNumberFormat="1" applyFont="1" applyFill="1" applyBorder="1" applyAlignment="1" applyProtection="1">
      <alignment vertical="center"/>
      <protection locked="0"/>
    </xf>
    <xf numFmtId="3" fontId="8" fillId="0" borderId="47" xfId="0" applyNumberFormat="1" applyFont="1" applyFill="1" applyBorder="1" applyAlignment="1" applyProtection="1">
      <alignment vertical="center"/>
    </xf>
    <xf numFmtId="3" fontId="24" fillId="0" borderId="58" xfId="0" applyNumberFormat="1" applyFont="1" applyFill="1" applyBorder="1" applyAlignment="1" applyProtection="1">
      <alignment vertical="center"/>
    </xf>
    <xf numFmtId="3" fontId="24" fillId="0" borderId="279" xfId="0" applyNumberFormat="1" applyFont="1" applyFill="1" applyBorder="1" applyAlignment="1" applyProtection="1">
      <alignment vertical="center"/>
    </xf>
    <xf numFmtId="3" fontId="7" fillId="0" borderId="278" xfId="0" applyNumberFormat="1" applyFont="1" applyFill="1" applyBorder="1" applyAlignment="1" applyProtection="1">
      <alignment vertical="center"/>
    </xf>
    <xf numFmtId="3" fontId="7" fillId="0" borderId="278" xfId="0" applyNumberFormat="1" applyFont="1" applyFill="1" applyBorder="1" applyAlignment="1" applyProtection="1">
      <alignment vertical="center"/>
      <protection locked="0"/>
    </xf>
    <xf numFmtId="3" fontId="8" fillId="0" borderId="278" xfId="0" applyNumberFormat="1" applyFont="1" applyFill="1" applyBorder="1" applyAlignment="1" applyProtection="1">
      <alignment vertical="center"/>
      <protection locked="0"/>
    </xf>
    <xf numFmtId="3" fontId="19" fillId="0" borderId="99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3" fontId="3" fillId="0" borderId="21" xfId="0" applyNumberFormat="1" applyFont="1" applyFill="1" applyBorder="1" applyAlignment="1" applyProtection="1">
      <alignment vertical="center"/>
      <protection locked="0"/>
    </xf>
    <xf numFmtId="3" fontId="3" fillId="0" borderId="30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</xf>
    <xf numFmtId="3" fontId="3" fillId="0" borderId="21" xfId="0" applyNumberFormat="1" applyFont="1" applyFill="1" applyBorder="1" applyAlignment="1" applyProtection="1">
      <alignment vertical="center"/>
    </xf>
    <xf numFmtId="3" fontId="3" fillId="0" borderId="30" xfId="0" applyNumberFormat="1" applyFont="1" applyFill="1" applyBorder="1" applyAlignment="1" applyProtection="1">
      <alignment vertical="center"/>
    </xf>
    <xf numFmtId="3" fontId="24" fillId="0" borderId="14" xfId="0" applyNumberFormat="1" applyFont="1" applyFill="1" applyBorder="1" applyAlignment="1" applyProtection="1">
      <alignment vertical="center"/>
    </xf>
    <xf numFmtId="3" fontId="24" fillId="0" borderId="36" xfId="0" applyNumberFormat="1" applyFont="1" applyFill="1" applyBorder="1" applyAlignment="1" applyProtection="1">
      <alignment vertical="center"/>
    </xf>
    <xf numFmtId="3" fontId="24" fillId="0" borderId="50" xfId="0" applyNumberFormat="1" applyFont="1" applyFill="1" applyBorder="1" applyAlignment="1" applyProtection="1">
      <alignment vertical="center"/>
    </xf>
    <xf numFmtId="3" fontId="52" fillId="22" borderId="64" xfId="32" applyNumberFormat="1" applyFont="1" applyFill="1" applyBorder="1" applyAlignment="1" applyProtection="1">
      <alignment vertical="center"/>
      <protection locked="0"/>
    </xf>
    <xf numFmtId="3" fontId="52" fillId="0" borderId="64" xfId="32" applyNumberFormat="1" applyFont="1" applyFill="1" applyBorder="1" applyAlignment="1" applyProtection="1">
      <alignment vertical="center"/>
      <protection locked="0"/>
    </xf>
    <xf numFmtId="0" fontId="52" fillId="0" borderId="64" xfId="32" applyFont="1" applyFill="1" applyBorder="1" applyAlignment="1">
      <alignment vertical="center" wrapText="1"/>
    </xf>
    <xf numFmtId="3" fontId="47" fillId="25" borderId="142" xfId="32" applyNumberFormat="1" applyFont="1" applyFill="1" applyBorder="1" applyAlignment="1">
      <alignment horizontal="center"/>
    </xf>
    <xf numFmtId="3" fontId="47" fillId="25" borderId="85" xfId="32" applyNumberFormat="1" applyFont="1" applyFill="1" applyBorder="1" applyAlignment="1">
      <alignment horizontal="center" vertical="center"/>
    </xf>
    <xf numFmtId="3" fontId="47" fillId="25" borderId="142" xfId="32" applyNumberFormat="1" applyFont="1" applyFill="1" applyBorder="1" applyAlignment="1">
      <alignment horizontal="center" vertical="center"/>
    </xf>
    <xf numFmtId="3" fontId="47" fillId="25" borderId="85" xfId="0" applyNumberFormat="1" applyFont="1" applyFill="1" applyBorder="1" applyAlignment="1">
      <alignment horizontal="center" vertical="center"/>
    </xf>
    <xf numFmtId="0" fontId="2" fillId="0" borderId="132" xfId="34" applyFont="1" applyFill="1" applyBorder="1" applyAlignment="1">
      <alignment horizontal="center" vertical="center"/>
    </xf>
    <xf numFmtId="0" fontId="83" fillId="0" borderId="26" xfId="0" applyFont="1" applyBorder="1"/>
    <xf numFmtId="3" fontId="81" fillId="0" borderId="23" xfId="0" applyNumberFormat="1" applyFont="1" applyFill="1" applyBorder="1"/>
    <xf numFmtId="3" fontId="7" fillId="22" borderId="32" xfId="0" applyNumberFormat="1" applyFont="1" applyFill="1" applyBorder="1" applyAlignment="1">
      <alignment horizontal="center"/>
    </xf>
    <xf numFmtId="0" fontId="3" fillId="22" borderId="16" xfId="0" applyFont="1" applyFill="1" applyBorder="1" applyAlignment="1">
      <alignment horizontal="center"/>
    </xf>
    <xf numFmtId="0" fontId="7" fillId="22" borderId="34" xfId="0" applyFont="1" applyFill="1" applyBorder="1" applyAlignment="1">
      <alignment horizontal="center"/>
    </xf>
    <xf numFmtId="0" fontId="19" fillId="22" borderId="34" xfId="0" applyFont="1" applyFill="1" applyBorder="1" applyAlignment="1">
      <alignment horizontal="center"/>
    </xf>
    <xf numFmtId="3" fontId="7" fillId="22" borderId="34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3" fillId="22" borderId="16" xfId="0" applyFont="1" applyFill="1" applyBorder="1" applyAlignment="1">
      <alignment horizontal="center" vertical="center"/>
    </xf>
    <xf numFmtId="0" fontId="3" fillId="22" borderId="267" xfId="0" applyFont="1" applyFill="1" applyBorder="1" applyAlignment="1">
      <alignment horizontal="center" vertical="center"/>
    </xf>
    <xf numFmtId="3" fontId="3" fillId="22" borderId="227" xfId="0" applyNumberFormat="1" applyFont="1" applyFill="1" applyBorder="1" applyAlignment="1">
      <alignment horizontal="center" vertical="center"/>
    </xf>
    <xf numFmtId="0" fontId="111" fillId="0" borderId="20" xfId="0" applyFont="1" applyBorder="1" applyAlignment="1">
      <alignment vertical="center"/>
    </xf>
    <xf numFmtId="3" fontId="7" fillId="22" borderId="44" xfId="0" applyNumberFormat="1" applyFont="1" applyFill="1" applyBorder="1" applyAlignment="1">
      <alignment vertical="center"/>
    </xf>
    <xf numFmtId="0" fontId="108" fillId="0" borderId="16" xfId="0" applyFont="1" applyBorder="1" applyAlignment="1">
      <alignment vertical="center"/>
    </xf>
    <xf numFmtId="3" fontId="3" fillId="22" borderId="31" xfId="0" applyNumberFormat="1" applyFont="1" applyFill="1" applyBorder="1" applyAlignment="1">
      <alignment vertical="center"/>
    </xf>
    <xf numFmtId="0" fontId="36" fillId="21" borderId="151" xfId="0" applyFont="1" applyFill="1" applyBorder="1" applyAlignment="1">
      <alignment horizontal="center"/>
    </xf>
    <xf numFmtId="0" fontId="36" fillId="21" borderId="116" xfId="0" applyFont="1" applyFill="1" applyBorder="1" applyAlignment="1">
      <alignment horizontal="center"/>
    </xf>
    <xf numFmtId="0" fontId="36" fillId="21" borderId="109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8" fillId="0" borderId="165" xfId="32" applyFont="1" applyFill="1" applyBorder="1" applyAlignment="1">
      <alignment horizontal="center"/>
    </xf>
    <xf numFmtId="0" fontId="8" fillId="0" borderId="132" xfId="0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>
      <alignment horizontal="center"/>
    </xf>
    <xf numFmtId="0" fontId="2" fillId="0" borderId="155" xfId="0" applyNumberFormat="1" applyFont="1" applyFill="1" applyBorder="1" applyAlignment="1">
      <alignment horizontal="center"/>
    </xf>
    <xf numFmtId="0" fontId="2" fillId="0" borderId="268" xfId="0" applyNumberFormat="1" applyFont="1" applyFill="1" applyBorder="1" applyAlignment="1">
      <alignment horizontal="center"/>
    </xf>
    <xf numFmtId="0" fontId="0" fillId="0" borderId="51" xfId="0" applyFill="1" applyBorder="1"/>
    <xf numFmtId="0" fontId="0" fillId="0" borderId="17" xfId="0" applyFill="1" applyBorder="1"/>
    <xf numFmtId="0" fontId="0" fillId="0" borderId="58" xfId="0" applyFill="1" applyBorder="1"/>
    <xf numFmtId="3" fontId="19" fillId="0" borderId="281" xfId="0" applyNumberFormat="1" applyFont="1" applyFill="1" applyBorder="1" applyAlignment="1">
      <alignment vertical="center"/>
    </xf>
    <xf numFmtId="3" fontId="39" fillId="0" borderId="219" xfId="0" applyNumberFormat="1" applyFont="1" applyFill="1" applyBorder="1" applyAlignment="1">
      <alignment vertical="center"/>
    </xf>
    <xf numFmtId="0" fontId="0" fillId="0" borderId="38" xfId="0" applyFill="1" applyBorder="1"/>
    <xf numFmtId="0" fontId="0" fillId="0" borderId="79" xfId="0" applyFill="1" applyBorder="1"/>
    <xf numFmtId="0" fontId="10" fillId="0" borderId="34" xfId="0" applyFont="1" applyFill="1" applyBorder="1" applyAlignment="1">
      <alignment horizontal="center"/>
    </xf>
    <xf numFmtId="3" fontId="2" fillId="0" borderId="51" xfId="0" applyNumberFormat="1" applyFont="1" applyFill="1" applyBorder="1" applyAlignment="1">
      <alignment vertical="center"/>
    </xf>
    <xf numFmtId="3" fontId="8" fillId="0" borderId="282" xfId="0" applyNumberFormat="1" applyFont="1" applyFill="1" applyBorder="1" applyAlignment="1">
      <alignment vertical="center"/>
    </xf>
    <xf numFmtId="3" fontId="8" fillId="0" borderId="283" xfId="0" applyNumberFormat="1" applyFont="1" applyFill="1" applyBorder="1" applyAlignment="1">
      <alignment vertical="center"/>
    </xf>
    <xf numFmtId="3" fontId="3" fillId="0" borderId="284" xfId="0" applyNumberFormat="1" applyFont="1" applyFill="1" applyBorder="1" applyAlignment="1">
      <alignment vertical="center"/>
    </xf>
    <xf numFmtId="3" fontId="2" fillId="0" borderId="52" xfId="0" applyNumberFormat="1" applyFont="1" applyFill="1" applyBorder="1" applyAlignment="1">
      <alignment horizontal="center"/>
    </xf>
    <xf numFmtId="3" fontId="8" fillId="0" borderId="52" xfId="0" applyNumberFormat="1" applyFont="1" applyFill="1" applyBorder="1" applyAlignment="1">
      <alignment vertical="center"/>
    </xf>
    <xf numFmtId="0" fontId="0" fillId="0" borderId="52" xfId="0" applyFill="1" applyBorder="1"/>
    <xf numFmtId="0" fontId="0" fillId="0" borderId="15" xfId="0" applyFill="1" applyBorder="1"/>
    <xf numFmtId="0" fontId="0" fillId="0" borderId="77" xfId="0" applyFill="1" applyBorder="1"/>
    <xf numFmtId="0" fontId="0" fillId="0" borderId="285" xfId="0" applyFill="1" applyBorder="1"/>
    <xf numFmtId="0" fontId="6" fillId="0" borderId="3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5" fontId="19" fillId="0" borderId="286" xfId="0" applyNumberFormat="1" applyFont="1" applyFill="1" applyBorder="1" applyAlignment="1">
      <alignment vertical="center"/>
    </xf>
    <xf numFmtId="165" fontId="19" fillId="0" borderId="287" xfId="0" applyNumberFormat="1" applyFont="1" applyFill="1" applyBorder="1" applyAlignment="1">
      <alignment vertical="center"/>
    </xf>
    <xf numFmtId="165" fontId="19" fillId="0" borderId="288" xfId="0" applyNumberFormat="1" applyFont="1" applyFill="1" applyBorder="1" applyAlignment="1">
      <alignment vertical="center"/>
    </xf>
    <xf numFmtId="3" fontId="0" fillId="0" borderId="0" xfId="0" applyNumberFormat="1" applyFill="1"/>
    <xf numFmtId="3" fontId="19" fillId="0" borderId="100" xfId="0" applyNumberFormat="1" applyFont="1" applyFill="1" applyBorder="1" applyAlignment="1" applyProtection="1">
      <alignment vertical="center"/>
    </xf>
    <xf numFmtId="3" fontId="19" fillId="0" borderId="71" xfId="0" applyNumberFormat="1" applyFont="1" applyFill="1" applyBorder="1" applyAlignment="1" applyProtection="1">
      <alignment vertical="center"/>
    </xf>
    <xf numFmtId="3" fontId="19" fillId="0" borderId="75" xfId="0" applyNumberFormat="1" applyFont="1" applyFill="1" applyBorder="1" applyAlignment="1" applyProtection="1">
      <alignment vertical="center"/>
    </xf>
    <xf numFmtId="3" fontId="3" fillId="0" borderId="187" xfId="0" applyNumberFormat="1" applyFont="1" applyFill="1" applyBorder="1" applyAlignment="1" applyProtection="1">
      <alignment vertical="center"/>
    </xf>
    <xf numFmtId="167" fontId="8" fillId="0" borderId="21" xfId="0" applyNumberFormat="1" applyFont="1" applyFill="1" applyBorder="1" applyAlignment="1" applyProtection="1">
      <alignment vertical="center"/>
    </xf>
    <xf numFmtId="167" fontId="3" fillId="0" borderId="117" xfId="0" applyNumberFormat="1" applyFont="1" applyFill="1" applyBorder="1" applyAlignment="1" applyProtection="1">
      <alignment vertical="center"/>
    </xf>
    <xf numFmtId="167" fontId="3" fillId="0" borderId="38" xfId="0" applyNumberFormat="1" applyFont="1" applyFill="1" applyBorder="1" applyAlignment="1">
      <alignment vertical="center"/>
    </xf>
    <xf numFmtId="167" fontId="2" fillId="0" borderId="64" xfId="39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46" xfId="0" applyFont="1" applyBorder="1" applyAlignment="1">
      <alignment horizontal="center" vertical="center" wrapText="1"/>
    </xf>
    <xf numFmtId="0" fontId="91" fillId="0" borderId="0" xfId="0" applyFont="1" applyAlignment="1">
      <alignment horizontal="center"/>
    </xf>
    <xf numFmtId="0" fontId="19" fillId="22" borderId="0" xfId="0" applyFont="1" applyFill="1" applyBorder="1" applyAlignment="1">
      <alignment horizontal="center"/>
    </xf>
    <xf numFmtId="167" fontId="8" fillId="0" borderId="38" xfId="0" applyNumberFormat="1" applyFont="1" applyFill="1" applyBorder="1" applyAlignment="1" applyProtection="1">
      <alignment vertical="center"/>
      <protection locked="0"/>
    </xf>
    <xf numFmtId="0" fontId="17" fillId="22" borderId="194" xfId="0" applyFont="1" applyFill="1" applyBorder="1" applyAlignment="1">
      <alignment vertical="center"/>
    </xf>
    <xf numFmtId="0" fontId="83" fillId="0" borderId="33" xfId="0" applyFont="1" applyBorder="1"/>
    <xf numFmtId="0" fontId="83" fillId="0" borderId="35" xfId="0" applyFont="1" applyBorder="1"/>
    <xf numFmtId="0" fontId="94" fillId="0" borderId="0" xfId="0" applyFont="1" applyFill="1" applyBorder="1"/>
    <xf numFmtId="0" fontId="94" fillId="0" borderId="0" xfId="0" applyFont="1" applyFill="1" applyBorder="1" applyAlignment="1">
      <alignment horizontal="center"/>
    </xf>
    <xf numFmtId="0" fontId="94" fillId="0" borderId="15" xfId="0" applyFont="1" applyFill="1" applyBorder="1" applyAlignment="1">
      <alignment horizontal="center"/>
    </xf>
    <xf numFmtId="0" fontId="94" fillId="0" borderId="41" xfId="0" applyFont="1" applyFill="1" applyBorder="1" applyAlignment="1">
      <alignment horizontal="center"/>
    </xf>
    <xf numFmtId="0" fontId="81" fillId="0" borderId="28" xfId="0" applyFont="1" applyFill="1" applyBorder="1" applyAlignment="1">
      <alignment horizontal="center"/>
    </xf>
    <xf numFmtId="0" fontId="81" fillId="0" borderId="13" xfId="0" applyFont="1" applyFill="1" applyBorder="1" applyAlignment="1">
      <alignment horizontal="center"/>
    </xf>
    <xf numFmtId="0" fontId="97" fillId="0" borderId="16" xfId="0" applyFont="1" applyFill="1" applyBorder="1"/>
    <xf numFmtId="3" fontId="81" fillId="0" borderId="13" xfId="0" applyNumberFormat="1" applyFont="1" applyFill="1" applyBorder="1" applyAlignment="1">
      <alignment horizontal="right"/>
    </xf>
    <xf numFmtId="3" fontId="81" fillId="0" borderId="0" xfId="0" applyNumberFormat="1" applyFont="1" applyFill="1" applyBorder="1"/>
    <xf numFmtId="164" fontId="81" fillId="0" borderId="21" xfId="0" applyNumberFormat="1" applyFont="1" applyFill="1" applyBorder="1"/>
    <xf numFmtId="3" fontId="83" fillId="0" borderId="0" xfId="0" applyNumberFormat="1" applyFont="1" applyFill="1"/>
    <xf numFmtId="0" fontId="83" fillId="0" borderId="0" xfId="0" applyFont="1" applyFill="1"/>
    <xf numFmtId="0" fontId="81" fillId="0" borderId="13" xfId="0" applyFont="1" applyFill="1" applyBorder="1"/>
    <xf numFmtId="0" fontId="81" fillId="0" borderId="21" xfId="0" applyFont="1" applyFill="1" applyBorder="1"/>
    <xf numFmtId="0" fontId="96" fillId="0" borderId="107" xfId="0" applyFont="1" applyFill="1" applyBorder="1" applyAlignment="1">
      <alignment vertical="center"/>
    </xf>
    <xf numFmtId="0" fontId="96" fillId="0" borderId="54" xfId="0" applyFont="1" applyFill="1" applyBorder="1" applyAlignment="1">
      <alignment vertical="center"/>
    </xf>
    <xf numFmtId="3" fontId="96" fillId="0" borderId="107" xfId="0" applyNumberFormat="1" applyFont="1" applyFill="1" applyBorder="1" applyAlignment="1">
      <alignment horizontal="right" vertical="center"/>
    </xf>
    <xf numFmtId="3" fontId="96" fillId="0" borderId="289" xfId="0" applyNumberFormat="1" applyFont="1" applyFill="1" applyBorder="1" applyAlignment="1">
      <alignment horizontal="right" vertical="center"/>
    </xf>
    <xf numFmtId="3" fontId="96" fillId="0" borderId="28" xfId="0" applyNumberFormat="1" applyFont="1" applyFill="1" applyBorder="1" applyAlignment="1">
      <alignment vertical="center"/>
    </xf>
    <xf numFmtId="3" fontId="96" fillId="0" borderId="54" xfId="0" applyNumberFormat="1" applyFont="1" applyFill="1" applyBorder="1" applyAlignment="1">
      <alignment vertical="center"/>
    </xf>
    <xf numFmtId="3" fontId="96" fillId="0" borderId="289" xfId="0" applyNumberFormat="1" applyFont="1" applyFill="1" applyBorder="1" applyAlignment="1">
      <alignment vertical="center"/>
    </xf>
    <xf numFmtId="3" fontId="96" fillId="0" borderId="38" xfId="0" applyNumberFormat="1" applyFont="1" applyFill="1" applyBorder="1" applyAlignment="1">
      <alignment vertical="center"/>
    </xf>
    <xf numFmtId="0" fontId="96" fillId="0" borderId="28" xfId="0" applyFont="1" applyFill="1" applyBorder="1" applyAlignment="1">
      <alignment vertical="center"/>
    </xf>
    <xf numFmtId="165" fontId="96" fillId="0" borderId="123" xfId="0" applyNumberFormat="1" applyFont="1" applyFill="1" applyBorder="1" applyAlignment="1">
      <alignment horizontal="right" vertical="center"/>
    </xf>
    <xf numFmtId="0" fontId="83" fillId="0" borderId="55" xfId="0" applyFont="1" applyFill="1" applyBorder="1"/>
    <xf numFmtId="3" fontId="81" fillId="0" borderId="106" xfId="0" applyNumberFormat="1" applyFont="1" applyFill="1" applyBorder="1" applyAlignment="1">
      <alignment horizontal="right"/>
    </xf>
    <xf numFmtId="0" fontId="81" fillId="0" borderId="36" xfId="0" applyFont="1" applyFill="1" applyBorder="1"/>
    <xf numFmtId="0" fontId="81" fillId="0" borderId="41" xfId="0" applyFont="1" applyFill="1" applyBorder="1"/>
    <xf numFmtId="0" fontId="96" fillId="0" borderId="107" xfId="0" applyFont="1" applyBorder="1" applyAlignment="1">
      <alignment vertical="center"/>
    </xf>
    <xf numFmtId="3" fontId="96" fillId="0" borderId="289" xfId="0" applyNumberFormat="1" applyFont="1" applyBorder="1" applyAlignment="1">
      <alignment horizontal="right" vertical="center"/>
    </xf>
    <xf numFmtId="3" fontId="96" fillId="0" borderId="28" xfId="0" applyNumberFormat="1" applyFont="1" applyBorder="1" applyAlignment="1">
      <alignment horizontal="right" vertical="center"/>
    </xf>
    <xf numFmtId="3" fontId="96" fillId="0" borderId="54" xfId="0" applyNumberFormat="1" applyFont="1" applyBorder="1" applyAlignment="1">
      <alignment horizontal="right" vertical="center"/>
    </xf>
    <xf numFmtId="3" fontId="96" fillId="0" borderId="38" xfId="0" applyNumberFormat="1" applyFont="1" applyBorder="1" applyAlignment="1">
      <alignment horizontal="right" vertical="center"/>
    </xf>
    <xf numFmtId="164" fontId="96" fillId="0" borderId="28" xfId="0" applyNumberFormat="1" applyFont="1" applyBorder="1" applyAlignment="1">
      <alignment vertical="center"/>
    </xf>
    <xf numFmtId="164" fontId="81" fillId="0" borderId="21" xfId="0" applyNumberFormat="1" applyFont="1" applyBorder="1"/>
    <xf numFmtId="0" fontId="96" fillId="0" borderId="54" xfId="0" applyFont="1" applyBorder="1" applyAlignment="1">
      <alignment vertical="center"/>
    </xf>
    <xf numFmtId="3" fontId="96" fillId="0" borderId="13" xfId="0" applyNumberFormat="1" applyFont="1" applyFill="1" applyBorder="1" applyAlignment="1">
      <alignment horizontal="right"/>
    </xf>
    <xf numFmtId="164" fontId="96" fillId="0" borderId="21" xfId="0" applyNumberFormat="1" applyFont="1" applyBorder="1"/>
    <xf numFmtId="3" fontId="106" fillId="0" borderId="107" xfId="0" applyNumberFormat="1" applyFont="1" applyFill="1" applyBorder="1" applyAlignment="1">
      <alignment horizontal="right"/>
    </xf>
    <xf numFmtId="164" fontId="81" fillId="0" borderId="28" xfId="0" applyNumberFormat="1" applyFont="1" applyBorder="1"/>
    <xf numFmtId="3" fontId="96" fillId="0" borderId="107" xfId="0" applyNumberFormat="1" applyFont="1" applyFill="1" applyBorder="1" applyAlignment="1">
      <alignment horizontal="right"/>
    </xf>
    <xf numFmtId="3" fontId="81" fillId="0" borderId="289" xfId="0" applyNumberFormat="1" applyFont="1" applyBorder="1"/>
    <xf numFmtId="0" fontId="81" fillId="0" borderId="28" xfId="0" applyFont="1" applyBorder="1"/>
    <xf numFmtId="0" fontId="96" fillId="0" borderId="237" xfId="0" applyFont="1" applyBorder="1" applyAlignment="1">
      <alignment vertical="center"/>
    </xf>
    <xf numFmtId="0" fontId="96" fillId="0" borderId="202" xfId="0" applyFont="1" applyBorder="1" applyAlignment="1">
      <alignment vertical="center"/>
    </xf>
    <xf numFmtId="3" fontId="96" fillId="0" borderId="237" xfId="0" applyNumberFormat="1" applyFont="1" applyFill="1" applyBorder="1" applyAlignment="1">
      <alignment horizontal="right" vertical="center"/>
    </xf>
    <xf numFmtId="3" fontId="96" fillId="0" borderId="201" xfId="0" applyNumberFormat="1" applyFont="1" applyFill="1" applyBorder="1" applyAlignment="1">
      <alignment horizontal="right" vertical="center"/>
    </xf>
    <xf numFmtId="3" fontId="96" fillId="0" borderId="200" xfId="0" applyNumberFormat="1" applyFont="1" applyFill="1" applyBorder="1" applyAlignment="1">
      <alignment horizontal="right" vertical="center"/>
    </xf>
    <xf numFmtId="3" fontId="96" fillId="0" borderId="202" xfId="0" applyNumberFormat="1" applyFont="1" applyFill="1" applyBorder="1" applyAlignment="1">
      <alignment horizontal="right" vertical="center"/>
    </xf>
    <xf numFmtId="3" fontId="96" fillId="0" borderId="200" xfId="0" applyNumberFormat="1" applyFont="1" applyBorder="1" applyAlignment="1">
      <alignment horizontal="right" vertical="center"/>
    </xf>
    <xf numFmtId="3" fontId="96" fillId="0" borderId="202" xfId="0" applyNumberFormat="1" applyFont="1" applyBorder="1" applyAlignment="1">
      <alignment horizontal="right" vertical="center"/>
    </xf>
    <xf numFmtId="3" fontId="96" fillId="0" borderId="79" xfId="0" applyNumberFormat="1" applyFont="1" applyBorder="1" applyAlignment="1">
      <alignment horizontal="right" vertical="center"/>
    </xf>
    <xf numFmtId="164" fontId="96" fillId="0" borderId="76" xfId="0" applyNumberFormat="1" applyFont="1" applyBorder="1" applyAlignment="1">
      <alignment vertical="center"/>
    </xf>
    <xf numFmtId="165" fontId="96" fillId="0" borderId="79" xfId="0" applyNumberFormat="1" applyFont="1" applyFill="1" applyBorder="1" applyAlignment="1">
      <alignment horizontal="right" vertical="center"/>
    </xf>
    <xf numFmtId="3" fontId="81" fillId="0" borderId="0" xfId="0" applyNumberFormat="1" applyFont="1" applyFill="1" applyAlignment="1">
      <alignment horizontal="right"/>
    </xf>
    <xf numFmtId="0" fontId="118" fillId="0" borderId="0" xfId="0" applyFont="1"/>
    <xf numFmtId="0" fontId="81" fillId="0" borderId="0" xfId="0" applyFont="1" applyFill="1" applyAlignment="1">
      <alignment horizontal="right"/>
    </xf>
    <xf numFmtId="0" fontId="81" fillId="0" borderId="289" xfId="0" applyFont="1" applyBorder="1" applyAlignment="1">
      <alignment horizontal="center"/>
    </xf>
    <xf numFmtId="0" fontId="97" fillId="0" borderId="13" xfId="0" applyFont="1" applyFill="1" applyBorder="1"/>
    <xf numFmtId="3" fontId="83" fillId="0" borderId="0" xfId="0" applyNumberFormat="1" applyFont="1" applyFill="1" applyBorder="1"/>
    <xf numFmtId="3" fontId="96" fillId="0" borderId="28" xfId="0" applyNumberFormat="1" applyFont="1" applyFill="1" applyBorder="1" applyAlignment="1">
      <alignment horizontal="right" vertical="center"/>
    </xf>
    <xf numFmtId="3" fontId="96" fillId="0" borderId="38" xfId="0" applyNumberFormat="1" applyFont="1" applyFill="1" applyBorder="1" applyAlignment="1">
      <alignment horizontal="right" vertical="center"/>
    </xf>
    <xf numFmtId="3" fontId="96" fillId="0" borderId="54" xfId="0" applyNumberFormat="1" applyFont="1" applyFill="1" applyBorder="1" applyAlignment="1">
      <alignment horizontal="right" vertical="center"/>
    </xf>
    <xf numFmtId="3" fontId="96" fillId="0" borderId="123" xfId="0" applyNumberFormat="1" applyFont="1" applyFill="1" applyBorder="1" applyAlignment="1">
      <alignment horizontal="right" vertical="center"/>
    </xf>
    <xf numFmtId="0" fontId="97" fillId="0" borderId="106" xfId="0" applyFont="1" applyFill="1" applyBorder="1"/>
    <xf numFmtId="3" fontId="96" fillId="0" borderId="107" xfId="0" applyNumberFormat="1" applyFont="1" applyBorder="1" applyAlignment="1">
      <alignment horizontal="right" vertical="center"/>
    </xf>
    <xf numFmtId="3" fontId="96" fillId="0" borderId="123" xfId="0" applyNumberFormat="1" applyFont="1" applyBorder="1" applyAlignment="1">
      <alignment horizontal="right" vertical="center"/>
    </xf>
    <xf numFmtId="3" fontId="106" fillId="0" borderId="289" xfId="0" applyNumberFormat="1" applyFont="1" applyBorder="1" applyAlignment="1">
      <alignment horizontal="right"/>
    </xf>
    <xf numFmtId="0" fontId="96" fillId="0" borderId="20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3" fontId="96" fillId="0" borderId="19" xfId="0" applyNumberFormat="1" applyFont="1" applyBorder="1" applyAlignment="1">
      <alignment horizontal="right" vertical="center"/>
    </xf>
    <xf numFmtId="3" fontId="96" fillId="0" borderId="37" xfId="0" applyNumberFormat="1" applyFont="1" applyFill="1" applyBorder="1" applyAlignment="1">
      <alignment horizontal="right" vertical="center"/>
    </xf>
    <xf numFmtId="3" fontId="96" fillId="0" borderId="68" xfId="0" applyNumberFormat="1" applyFont="1" applyBorder="1" applyAlignment="1">
      <alignment horizontal="right" vertical="center"/>
    </xf>
    <xf numFmtId="3" fontId="96" fillId="0" borderId="73" xfId="0" applyNumberFormat="1" applyFont="1" applyBorder="1" applyAlignment="1">
      <alignment horizontal="right" vertical="center"/>
    </xf>
    <xf numFmtId="3" fontId="96" fillId="0" borderId="20" xfId="0" applyNumberFormat="1" applyFont="1" applyBorder="1" applyAlignment="1">
      <alignment horizontal="right" vertical="center"/>
    </xf>
    <xf numFmtId="3" fontId="96" fillId="0" borderId="65" xfId="0" applyNumberFormat="1" applyFont="1" applyBorder="1" applyAlignment="1">
      <alignment horizontal="right" vertical="center"/>
    </xf>
    <xf numFmtId="0" fontId="119" fillId="0" borderId="0" xfId="0" applyFont="1"/>
    <xf numFmtId="0" fontId="81" fillId="0" borderId="18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97" fillId="0" borderId="23" xfId="0" applyFont="1" applyFill="1" applyBorder="1" applyAlignment="1">
      <alignment horizontal="left"/>
    </xf>
    <xf numFmtId="0" fontId="37" fillId="0" borderId="107" xfId="0" applyFont="1" applyBorder="1" applyAlignment="1">
      <alignment vertical="center"/>
    </xf>
    <xf numFmtId="0" fontId="96" fillId="0" borderId="123" xfId="0" applyFont="1" applyFill="1" applyBorder="1" applyAlignment="1">
      <alignment vertical="center"/>
    </xf>
    <xf numFmtId="3" fontId="37" fillId="0" borderId="77" xfId="0" applyNumberFormat="1" applyFont="1" applyBorder="1" applyAlignment="1">
      <alignment horizontal="right" vertical="center"/>
    </xf>
    <xf numFmtId="3" fontId="37" fillId="0" borderId="28" xfId="0" applyNumberFormat="1" applyFont="1" applyBorder="1" applyAlignment="1">
      <alignment horizontal="right" vertical="center"/>
    </xf>
    <xf numFmtId="3" fontId="37" fillId="0" borderId="58" xfId="0" applyNumberFormat="1" applyFont="1" applyBorder="1" applyAlignment="1">
      <alignment horizontal="right" vertical="center"/>
    </xf>
    <xf numFmtId="3" fontId="37" fillId="0" borderId="49" xfId="0" applyNumberFormat="1" applyFont="1" applyBorder="1" applyAlignment="1">
      <alignment horizontal="right" vertical="center"/>
    </xf>
    <xf numFmtId="3" fontId="37" fillId="0" borderId="38" xfId="0" applyNumberFormat="1" applyFont="1" applyBorder="1" applyAlignment="1">
      <alignment horizontal="right" vertical="center"/>
    </xf>
    <xf numFmtId="0" fontId="0" fillId="0" borderId="53" xfId="0" applyBorder="1"/>
    <xf numFmtId="2" fontId="0" fillId="0" borderId="0" xfId="0" applyNumberFormat="1"/>
    <xf numFmtId="3" fontId="37" fillId="0" borderId="77" xfId="0" applyNumberFormat="1" applyFont="1" applyBorder="1" applyAlignment="1">
      <alignment vertical="center"/>
    </xf>
    <xf numFmtId="3" fontId="37" fillId="0" borderId="28" xfId="0" applyNumberFormat="1" applyFont="1" applyBorder="1" applyAlignment="1">
      <alignment vertical="center"/>
    </xf>
    <xf numFmtId="3" fontId="37" fillId="0" borderId="58" xfId="0" applyNumberFormat="1" applyFont="1" applyBorder="1" applyAlignment="1">
      <alignment vertical="center"/>
    </xf>
    <xf numFmtId="3" fontId="37" fillId="0" borderId="49" xfId="0" applyNumberFormat="1" applyFont="1" applyBorder="1" applyAlignment="1">
      <alignment vertical="center"/>
    </xf>
    <xf numFmtId="3" fontId="37" fillId="0" borderId="38" xfId="0" applyNumberFormat="1" applyFont="1" applyBorder="1" applyAlignment="1">
      <alignment vertical="center"/>
    </xf>
    <xf numFmtId="3" fontId="13" fillId="0" borderId="21" xfId="0" applyNumberFormat="1" applyFont="1" applyFill="1" applyBorder="1"/>
    <xf numFmtId="3" fontId="13" fillId="0" borderId="23" xfId="0" applyNumberFormat="1" applyFont="1" applyFill="1" applyBorder="1"/>
    <xf numFmtId="0" fontId="37" fillId="0" borderId="12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0" fillId="0" borderId="199" xfId="0" applyFont="1" applyBorder="1" applyAlignment="1">
      <alignment vertical="center"/>
    </xf>
    <xf numFmtId="3" fontId="80" fillId="0" borderId="92" xfId="0" applyNumberFormat="1" applyFont="1" applyBorder="1" applyAlignment="1">
      <alignment vertical="center"/>
    </xf>
    <xf numFmtId="3" fontId="80" fillId="0" borderId="37" xfId="0" applyNumberFormat="1" applyFont="1" applyBorder="1" applyAlignment="1">
      <alignment vertical="center"/>
    </xf>
    <xf numFmtId="3" fontId="80" fillId="0" borderId="93" xfId="0" applyNumberFormat="1" applyFont="1" applyBorder="1" applyAlignment="1">
      <alignment vertical="center"/>
    </xf>
    <xf numFmtId="3" fontId="80" fillId="0" borderId="68" xfId="0" applyNumberFormat="1" applyFont="1" applyBorder="1" applyAlignment="1">
      <alignment vertical="center"/>
    </xf>
    <xf numFmtId="3" fontId="80" fillId="0" borderId="73" xfId="0" applyNumberFormat="1" applyFont="1" applyBorder="1" applyAlignment="1">
      <alignment vertical="center"/>
    </xf>
    <xf numFmtId="3" fontId="7" fillId="22" borderId="13" xfId="0" applyNumberFormat="1" applyFont="1" applyFill="1" applyBorder="1" applyAlignment="1">
      <alignment horizontal="center"/>
    </xf>
    <xf numFmtId="3" fontId="3" fillId="22" borderId="267" xfId="0" applyNumberFormat="1" applyFont="1" applyFill="1" applyBorder="1" applyAlignment="1">
      <alignment horizontal="center" vertical="center"/>
    </xf>
    <xf numFmtId="3" fontId="3" fillId="22" borderId="290" xfId="0" applyNumberFormat="1" applyFont="1" applyFill="1" applyBorder="1" applyAlignment="1">
      <alignment horizontal="center" vertical="center"/>
    </xf>
    <xf numFmtId="3" fontId="3" fillId="22" borderId="23" xfId="0" applyNumberFormat="1" applyFont="1" applyFill="1" applyBorder="1" applyAlignment="1">
      <alignment horizontal="center"/>
    </xf>
    <xf numFmtId="3" fontId="2" fillId="22" borderId="23" xfId="0" applyNumberFormat="1" applyFont="1" applyFill="1" applyBorder="1"/>
    <xf numFmtId="3" fontId="3" fillId="22" borderId="23" xfId="0" applyNumberFormat="1" applyFont="1" applyFill="1" applyBorder="1"/>
    <xf numFmtId="3" fontId="2" fillId="0" borderId="21" xfId="0" applyNumberFormat="1" applyFont="1" applyFill="1" applyBorder="1"/>
    <xf numFmtId="4" fontId="2" fillId="22" borderId="23" xfId="0" applyNumberFormat="1" applyFont="1" applyFill="1" applyBorder="1"/>
    <xf numFmtId="3" fontId="7" fillId="0" borderId="21" xfId="0" applyNumberFormat="1" applyFont="1" applyFill="1" applyBorder="1" applyAlignment="1">
      <alignment vertical="center"/>
    </xf>
    <xf numFmtId="4" fontId="7" fillId="22" borderId="23" xfId="0" applyNumberFormat="1" applyFont="1" applyFill="1" applyBorder="1"/>
    <xf numFmtId="3" fontId="7" fillId="22" borderId="23" xfId="0" applyNumberFormat="1" applyFont="1" applyFill="1" applyBorder="1" applyAlignment="1">
      <alignment vertical="center"/>
    </xf>
    <xf numFmtId="3" fontId="8" fillId="22" borderId="23" xfId="0" applyNumberFormat="1" applyFont="1" applyFill="1" applyBorder="1" applyAlignment="1">
      <alignment vertical="center"/>
    </xf>
    <xf numFmtId="4" fontId="7" fillId="22" borderId="199" xfId="0" applyNumberFormat="1" applyFont="1" applyFill="1" applyBorder="1" applyAlignment="1">
      <alignment vertical="center"/>
    </xf>
    <xf numFmtId="3" fontId="8" fillId="22" borderId="23" xfId="0" applyNumberFormat="1" applyFont="1" applyFill="1" applyBorder="1"/>
    <xf numFmtId="3" fontId="2" fillId="22" borderId="23" xfId="0" applyNumberFormat="1" applyFont="1" applyFill="1" applyBorder="1" applyAlignment="1">
      <alignment vertical="center"/>
    </xf>
    <xf numFmtId="3" fontId="7" fillId="22" borderId="16" xfId="0" applyNumberFormat="1" applyFont="1" applyFill="1" applyBorder="1"/>
    <xf numFmtId="3" fontId="7" fillId="22" borderId="23" xfId="0" applyNumberFormat="1" applyFont="1" applyFill="1" applyBorder="1"/>
    <xf numFmtId="3" fontId="7" fillId="22" borderId="32" xfId="0" applyNumberFormat="1" applyFont="1" applyFill="1" applyBorder="1" applyAlignment="1">
      <alignment vertical="center"/>
    </xf>
    <xf numFmtId="3" fontId="7" fillId="22" borderId="25" xfId="0" applyNumberFormat="1" applyFont="1" applyFill="1" applyBorder="1" applyAlignment="1">
      <alignment vertical="center"/>
    </xf>
    <xf numFmtId="3" fontId="3" fillId="22" borderId="23" xfId="0" applyNumberFormat="1" applyFont="1" applyFill="1" applyBorder="1" applyAlignment="1">
      <alignment vertical="center"/>
    </xf>
    <xf numFmtId="3" fontId="3" fillId="22" borderId="199" xfId="0" applyNumberFormat="1" applyFont="1" applyFill="1" applyBorder="1" applyAlignment="1">
      <alignment vertical="center"/>
    </xf>
    <xf numFmtId="0" fontId="3" fillId="22" borderId="198" xfId="0" applyFont="1" applyFill="1" applyBorder="1" applyAlignment="1">
      <alignment horizontal="center" vertical="center"/>
    </xf>
    <xf numFmtId="3" fontId="8" fillId="22" borderId="16" xfId="0" applyNumberFormat="1" applyFont="1" applyFill="1" applyBorder="1"/>
    <xf numFmtId="3" fontId="47" fillId="0" borderId="16" xfId="0" applyNumberFormat="1" applyFont="1" applyFill="1" applyBorder="1"/>
    <xf numFmtId="3" fontId="8" fillId="0" borderId="16" xfId="0" applyNumberFormat="1" applyFont="1" applyFill="1" applyBorder="1" applyAlignment="1">
      <alignment vertical="center"/>
    </xf>
    <xf numFmtId="3" fontId="36" fillId="22" borderId="203" xfId="0" applyNumberFormat="1" applyFont="1" applyFill="1" applyBorder="1" applyAlignment="1">
      <alignment vertical="center"/>
    </xf>
    <xf numFmtId="3" fontId="3" fillId="22" borderId="291" xfId="0" applyNumberFormat="1" applyFont="1" applyFill="1" applyBorder="1" applyAlignment="1">
      <alignment vertical="center"/>
    </xf>
    <xf numFmtId="3" fontId="3" fillId="22" borderId="292" xfId="0" applyNumberFormat="1" applyFont="1" applyFill="1" applyBorder="1" applyAlignment="1">
      <alignment vertical="center"/>
    </xf>
    <xf numFmtId="3" fontId="51" fillId="0" borderId="16" xfId="0" applyNumberFormat="1" applyFont="1" applyFill="1" applyBorder="1"/>
    <xf numFmtId="0" fontId="9" fillId="0" borderId="0" xfId="0" applyFont="1" applyBorder="1"/>
    <xf numFmtId="3" fontId="7" fillId="22" borderId="0" xfId="0" applyNumberFormat="1" applyFont="1" applyFill="1" applyBorder="1"/>
    <xf numFmtId="0" fontId="120" fillId="0" borderId="0" xfId="0" applyFont="1"/>
    <xf numFmtId="3" fontId="7" fillId="22" borderId="65" xfId="0" applyNumberFormat="1" applyFont="1" applyFill="1" applyBorder="1" applyAlignment="1">
      <alignment vertical="center"/>
    </xf>
    <xf numFmtId="3" fontId="3" fillId="22" borderId="0" xfId="0" applyNumberFormat="1" applyFont="1" applyFill="1" applyBorder="1" applyAlignment="1">
      <alignment vertical="center"/>
    </xf>
    <xf numFmtId="3" fontId="121" fillId="0" borderId="0" xfId="0" applyNumberFormat="1" applyFont="1"/>
    <xf numFmtId="3" fontId="17" fillId="22" borderId="20" xfId="0" applyNumberFormat="1" applyFont="1" applyFill="1" applyBorder="1" applyAlignment="1">
      <alignment vertical="center"/>
    </xf>
    <xf numFmtId="3" fontId="19" fillId="22" borderId="37" xfId="0" applyNumberFormat="1" applyFont="1" applyFill="1" applyBorder="1" applyAlignment="1">
      <alignment vertical="center"/>
    </xf>
    <xf numFmtId="3" fontId="0" fillId="0" borderId="0" xfId="0" applyNumberFormat="1" applyFont="1"/>
    <xf numFmtId="3" fontId="19" fillId="22" borderId="93" xfId="0" applyNumberFormat="1" applyFont="1" applyFill="1" applyBorder="1" applyAlignment="1">
      <alignment vertical="center"/>
    </xf>
    <xf numFmtId="167" fontId="0" fillId="0" borderId="0" xfId="0" applyNumberFormat="1"/>
    <xf numFmtId="167" fontId="7" fillId="0" borderId="58" xfId="0" applyNumberFormat="1" applyFont="1" applyFill="1" applyBorder="1" applyAlignment="1">
      <alignment vertical="center"/>
    </xf>
    <xf numFmtId="167" fontId="2" fillId="0" borderId="58" xfId="0" applyNumberFormat="1" applyFont="1" applyFill="1" applyBorder="1" applyAlignment="1">
      <alignment vertical="center"/>
    </xf>
    <xf numFmtId="167" fontId="7" fillId="22" borderId="68" xfId="0" applyNumberFormat="1" applyFont="1" applyFill="1" applyBorder="1" applyAlignment="1">
      <alignment vertical="center"/>
    </xf>
    <xf numFmtId="0" fontId="2" fillId="0" borderId="56" xfId="0" applyNumberFormat="1" applyFont="1" applyFill="1" applyBorder="1" applyAlignment="1">
      <alignment horizontal="center"/>
    </xf>
    <xf numFmtId="0" fontId="2" fillId="0" borderId="57" xfId="0" applyNumberFormat="1" applyFont="1" applyFill="1" applyBorder="1" applyAlignment="1">
      <alignment horizontal="center"/>
    </xf>
    <xf numFmtId="0" fontId="2" fillId="0" borderId="84" xfId="0" applyNumberFormat="1" applyFont="1" applyFill="1" applyBorder="1" applyAlignment="1">
      <alignment horizontal="center"/>
    </xf>
    <xf numFmtId="0" fontId="33" fillId="0" borderId="56" xfId="0" applyFont="1" applyFill="1" applyBorder="1" applyAlignment="1">
      <alignment horizontal="center"/>
    </xf>
    <xf numFmtId="0" fontId="33" fillId="0" borderId="155" xfId="0" applyFont="1" applyFill="1" applyBorder="1" applyAlignment="1">
      <alignment horizontal="center"/>
    </xf>
    <xf numFmtId="0" fontId="2" fillId="0" borderId="148" xfId="0" applyFont="1" applyFill="1" applyBorder="1" applyAlignment="1" applyProtection="1">
      <alignment horizontal="center" vertical="center"/>
    </xf>
    <xf numFmtId="0" fontId="8" fillId="0" borderId="72" xfId="32" applyFont="1" applyFill="1" applyBorder="1" applyAlignment="1">
      <alignment horizontal="center"/>
    </xf>
    <xf numFmtId="0" fontId="2" fillId="0" borderId="264" xfId="32" applyFont="1" applyFill="1" applyBorder="1" applyAlignment="1">
      <alignment horizontal="center"/>
    </xf>
    <xf numFmtId="0" fontId="19" fillId="22" borderId="0" xfId="0" applyFont="1" applyFill="1" applyBorder="1" applyAlignment="1">
      <alignment horizontal="center"/>
    </xf>
    <xf numFmtId="3" fontId="36" fillId="22" borderId="20" xfId="0" applyNumberFormat="1" applyFont="1" applyFill="1" applyBorder="1" applyAlignment="1">
      <alignment vertical="center" wrapText="1"/>
    </xf>
    <xf numFmtId="0" fontId="7" fillId="22" borderId="116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22" borderId="95" xfId="0" applyNumberFormat="1" applyFont="1" applyFill="1" applyBorder="1" applyAlignment="1">
      <alignment horizontal="center" vertical="center"/>
    </xf>
    <xf numFmtId="3" fontId="3" fillId="0" borderId="96" xfId="0" applyNumberFormat="1" applyFont="1" applyFill="1" applyBorder="1" applyAlignment="1">
      <alignment horizontal="center" vertical="center"/>
    </xf>
    <xf numFmtId="3" fontId="3" fillId="22" borderId="69" xfId="0" applyNumberFormat="1" applyFont="1" applyFill="1" applyBorder="1" applyAlignment="1">
      <alignment horizontal="center" vertical="center"/>
    </xf>
    <xf numFmtId="3" fontId="19" fillId="22" borderId="140" xfId="0" applyNumberFormat="1" applyFont="1" applyFill="1" applyBorder="1"/>
    <xf numFmtId="3" fontId="19" fillId="0" borderId="140" xfId="0" applyNumberFormat="1" applyFont="1" applyFill="1" applyBorder="1"/>
    <xf numFmtId="0" fontId="17" fillId="25" borderId="270" xfId="32" applyFont="1" applyFill="1" applyBorder="1" applyAlignment="1">
      <alignment horizontal="center" vertical="center"/>
    </xf>
    <xf numFmtId="0" fontId="17" fillId="25" borderId="271" xfId="32" applyFont="1" applyFill="1" applyBorder="1" applyAlignment="1">
      <alignment horizontal="center" vertical="center"/>
    </xf>
    <xf numFmtId="0" fontId="17" fillId="25" borderId="272" xfId="32" applyFont="1" applyFill="1" applyBorder="1" applyAlignment="1">
      <alignment horizontal="center" vertical="center"/>
    </xf>
    <xf numFmtId="0" fontId="17" fillId="25" borderId="273" xfId="32" applyFont="1" applyFill="1" applyBorder="1" applyAlignment="1">
      <alignment horizontal="center" vertical="center"/>
    </xf>
    <xf numFmtId="0" fontId="17" fillId="25" borderId="274" xfId="32" applyFont="1" applyFill="1" applyBorder="1" applyAlignment="1">
      <alignment horizontal="center" vertical="center"/>
    </xf>
    <xf numFmtId="0" fontId="17" fillId="25" borderId="137" xfId="32" applyFont="1" applyFill="1" applyBorder="1" applyAlignment="1">
      <alignment horizontal="center" vertical="center"/>
    </xf>
    <xf numFmtId="0" fontId="14" fillId="22" borderId="0" xfId="32" applyFont="1" applyFill="1" applyBorder="1" applyAlignment="1">
      <alignment horizontal="center"/>
    </xf>
    <xf numFmtId="0" fontId="2" fillId="22" borderId="0" xfId="32" applyFont="1" applyFill="1" applyBorder="1" applyAlignment="1">
      <alignment horizontal="center"/>
    </xf>
    <xf numFmtId="0" fontId="17" fillId="25" borderId="69" xfId="32" applyFont="1" applyFill="1" applyBorder="1" applyAlignment="1">
      <alignment horizontal="center" vertical="center"/>
    </xf>
    <xf numFmtId="0" fontId="17" fillId="25" borderId="269" xfId="32" applyFont="1" applyFill="1" applyBorder="1" applyAlignment="1">
      <alignment horizontal="center" vertical="center"/>
    </xf>
    <xf numFmtId="3" fontId="17" fillId="25" borderId="247" xfId="32" applyNumberFormat="1" applyFont="1" applyFill="1" applyBorder="1" applyAlignment="1">
      <alignment horizontal="center" vertical="center"/>
    </xf>
    <xf numFmtId="3" fontId="17" fillId="25" borderId="275" xfId="32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32" xfId="0" applyNumberFormat="1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29" fillId="0" borderId="0" xfId="0" applyFont="1" applyFill="1" applyAlignment="1">
      <alignment horizontal="center" wrapText="1"/>
    </xf>
    <xf numFmtId="0" fontId="7" fillId="0" borderId="34" xfId="0" applyNumberFormat="1" applyFont="1" applyFill="1" applyBorder="1" applyAlignment="1">
      <alignment horizontal="center"/>
    </xf>
    <xf numFmtId="0" fontId="7" fillId="0" borderId="35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 wrapText="1"/>
    </xf>
    <xf numFmtId="0" fontId="2" fillId="0" borderId="35" xfId="0" applyNumberFormat="1" applyFont="1" applyFill="1" applyBorder="1" applyAlignment="1">
      <alignment horizontal="center" wrapText="1"/>
    </xf>
    <xf numFmtId="0" fontId="2" fillId="0" borderId="26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 wrapText="1"/>
    </xf>
    <xf numFmtId="0" fontId="2" fillId="0" borderId="33" xfId="0" applyNumberFormat="1" applyFont="1" applyFill="1" applyBorder="1" applyAlignment="1">
      <alignment horizontal="center" wrapText="1"/>
    </xf>
    <xf numFmtId="0" fontId="2" fillId="0" borderId="25" xfId="0" applyNumberFormat="1" applyFont="1" applyFill="1" applyBorder="1" applyAlignment="1">
      <alignment horizontal="center" wrapText="1"/>
    </xf>
    <xf numFmtId="0" fontId="82" fillId="0" borderId="0" xfId="0" applyFont="1" applyFill="1" applyAlignment="1">
      <alignment horizontal="center" wrapText="1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/>
    </xf>
    <xf numFmtId="0" fontId="7" fillId="0" borderId="33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33" fillId="0" borderId="34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37" xfId="0" applyFont="1" applyBorder="1" applyAlignment="1">
      <alignment horizontal="center"/>
    </xf>
    <xf numFmtId="0" fontId="93" fillId="0" borderId="35" xfId="0" applyFont="1" applyBorder="1" applyAlignment="1">
      <alignment horizontal="center"/>
    </xf>
    <xf numFmtId="0" fontId="93" fillId="0" borderId="34" xfId="0" applyFont="1" applyBorder="1" applyAlignment="1">
      <alignment horizontal="center"/>
    </xf>
    <xf numFmtId="0" fontId="93" fillId="0" borderId="0" xfId="0" applyFont="1" applyBorder="1" applyAlignment="1">
      <alignment horizontal="center"/>
    </xf>
    <xf numFmtId="0" fontId="93" fillId="0" borderId="23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9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199" xfId="0" applyFont="1" applyBorder="1" applyAlignment="1">
      <alignment horizontal="center"/>
    </xf>
    <xf numFmtId="0" fontId="81" fillId="0" borderId="59" xfId="0" applyFont="1" applyBorder="1" applyAlignment="1">
      <alignment horizontal="center" vertical="center" wrapText="1"/>
    </xf>
    <xf numFmtId="0" fontId="81" fillId="0" borderId="46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vertical="center" wrapText="1"/>
    </xf>
    <xf numFmtId="0" fontId="81" fillId="0" borderId="4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99" xfId="0" applyFont="1" applyBorder="1" applyAlignment="1">
      <alignment horizontal="center"/>
    </xf>
    <xf numFmtId="0" fontId="37" fillId="0" borderId="20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199" xfId="0" applyFont="1" applyBorder="1" applyAlignment="1">
      <alignment horizontal="center" vertical="center"/>
    </xf>
    <xf numFmtId="0" fontId="107" fillId="0" borderId="47" xfId="0" applyFont="1" applyBorder="1" applyAlignment="1">
      <alignment horizontal="center" vertical="center" wrapText="1"/>
    </xf>
    <xf numFmtId="0" fontId="107" fillId="0" borderId="24" xfId="0" applyFont="1" applyBorder="1" applyAlignment="1">
      <alignment horizontal="center" vertical="center" wrapText="1"/>
    </xf>
    <xf numFmtId="0" fontId="19" fillId="21" borderId="0" xfId="0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19" fillId="22" borderId="0" xfId="0" applyFont="1" applyFill="1" applyBorder="1" applyAlignment="1"/>
    <xf numFmtId="0" fontId="51" fillId="22" borderId="0" xfId="0" applyFont="1" applyFill="1" applyBorder="1" applyAlignment="1">
      <alignment horizontal="center"/>
    </xf>
    <xf numFmtId="0" fontId="14" fillId="21" borderId="0" xfId="0" applyFont="1" applyFill="1" applyAlignment="1">
      <alignment horizontal="center"/>
    </xf>
    <xf numFmtId="0" fontId="17" fillId="21" borderId="0" xfId="0" applyFont="1" applyFill="1" applyAlignment="1">
      <alignment horizontal="center"/>
    </xf>
    <xf numFmtId="0" fontId="17" fillId="21" borderId="0" xfId="0" applyFont="1" applyFill="1" applyAlignment="1">
      <alignment horizontal="center" vertical="center"/>
    </xf>
    <xf numFmtId="0" fontId="51" fillId="21" borderId="0" xfId="0" applyFont="1" applyFill="1" applyAlignment="1">
      <alignment horizontal="center"/>
    </xf>
    <xf numFmtId="0" fontId="3" fillId="22" borderId="0" xfId="0" applyFont="1" applyFill="1" applyBorder="1" applyAlignment="1"/>
    <xf numFmtId="0" fontId="3" fillId="22" borderId="0" xfId="0" applyFont="1" applyFill="1" applyBorder="1" applyAlignment="1">
      <alignment vertical="center"/>
    </xf>
    <xf numFmtId="0" fontId="48" fillId="21" borderId="0" xfId="0" applyFont="1" applyFill="1" applyAlignment="1">
      <alignment horizontal="center"/>
    </xf>
    <xf numFmtId="0" fontId="4" fillId="21" borderId="0" xfId="0" applyFont="1" applyFill="1" applyAlignment="1"/>
    <xf numFmtId="0" fontId="2" fillId="20" borderId="0" xfId="0" applyFont="1" applyFill="1" applyBorder="1" applyAlignment="1">
      <alignment horizontal="right"/>
    </xf>
    <xf numFmtId="0" fontId="19" fillId="22" borderId="0" xfId="0" applyFont="1" applyFill="1" applyBorder="1" applyAlignment="1">
      <alignment horizontal="center"/>
    </xf>
    <xf numFmtId="0" fontId="4" fillId="22" borderId="0" xfId="0" applyFont="1" applyFill="1" applyBorder="1" applyAlignment="1">
      <alignment horizontal="center"/>
    </xf>
    <xf numFmtId="0" fontId="88" fillId="22" borderId="0" xfId="0" applyFont="1" applyFill="1" applyBorder="1" applyAlignment="1">
      <alignment horizontal="center"/>
    </xf>
    <xf numFmtId="0" fontId="2" fillId="22" borderId="0" xfId="0" applyFont="1" applyFill="1" applyBorder="1" applyAlignment="1">
      <alignment horizontal="center"/>
    </xf>
    <xf numFmtId="3" fontId="19" fillId="22" borderId="0" xfId="0" applyNumberFormat="1" applyFont="1" applyFill="1" applyBorder="1" applyAlignment="1">
      <alignment horizontal="center"/>
    </xf>
    <xf numFmtId="3" fontId="29" fillId="22" borderId="0" xfId="0" applyNumberFormat="1" applyFont="1" applyFill="1" applyBorder="1" applyAlignment="1">
      <alignment horizontal="center"/>
    </xf>
    <xf numFmtId="0" fontId="15" fillId="22" borderId="163" xfId="34" applyFont="1" applyFill="1" applyBorder="1" applyAlignment="1">
      <alignment horizontal="center" vertical="center"/>
    </xf>
    <xf numFmtId="0" fontId="3" fillId="22" borderId="165" xfId="34" applyFont="1" applyFill="1" applyBorder="1" applyAlignment="1">
      <alignment horizontal="center" vertical="center"/>
    </xf>
    <xf numFmtId="0" fontId="3" fillId="2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54" fillId="21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1" fillId="0" borderId="20" xfId="0" applyFont="1" applyFill="1" applyBorder="1" applyAlignment="1">
      <alignment horizontal="center" vertical="center"/>
    </xf>
    <xf numFmtId="0" fontId="51" fillId="0" borderId="199" xfId="0" applyFont="1" applyFill="1" applyBorder="1" applyAlignment="1">
      <alignment horizontal="center" vertical="center"/>
    </xf>
    <xf numFmtId="0" fontId="51" fillId="21" borderId="10" xfId="0" applyFont="1" applyFill="1" applyBorder="1" applyAlignment="1">
      <alignment horizontal="center" vertical="center"/>
    </xf>
    <xf numFmtId="0" fontId="51" fillId="21" borderId="11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21" borderId="0" xfId="0" applyFont="1" applyFill="1" applyBorder="1" applyAlignment="1">
      <alignment horizontal="center"/>
    </xf>
    <xf numFmtId="0" fontId="2" fillId="21" borderId="44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2" fillId="21" borderId="41" xfId="0" applyFont="1" applyFill="1" applyBorder="1" applyAlignment="1">
      <alignment horizontal="center" vertical="center"/>
    </xf>
    <xf numFmtId="0" fontId="10" fillId="21" borderId="51" xfId="0" applyFont="1" applyFill="1" applyBorder="1" applyAlignment="1">
      <alignment horizontal="center"/>
    </xf>
    <xf numFmtId="0" fontId="10" fillId="21" borderId="52" xfId="0" applyFont="1" applyFill="1" applyBorder="1" applyAlignment="1">
      <alignment horizontal="center"/>
    </xf>
    <xf numFmtId="0" fontId="10" fillId="21" borderId="44" xfId="0" applyFont="1" applyFill="1" applyBorder="1" applyAlignment="1">
      <alignment horizontal="center" wrapText="1"/>
    </xf>
    <xf numFmtId="0" fontId="0" fillId="0" borderId="21" xfId="0" applyBorder="1" applyAlignment="1">
      <alignment wrapText="1"/>
    </xf>
    <xf numFmtId="0" fontId="14" fillId="21" borderId="0" xfId="0" applyFont="1" applyFill="1" applyAlignment="1" applyProtection="1">
      <alignment horizontal="center"/>
      <protection locked="0" hidden="1"/>
    </xf>
    <xf numFmtId="0" fontId="10" fillId="21" borderId="0" xfId="0" applyFont="1" applyFill="1" applyBorder="1" applyAlignment="1" applyProtection="1">
      <protection locked="0" hidden="1"/>
    </xf>
    <xf numFmtId="0" fontId="39" fillId="21" borderId="17" xfId="0" applyFont="1" applyFill="1" applyBorder="1" applyAlignment="1" applyProtection="1">
      <alignment horizontal="center"/>
      <protection locked="0" hidden="1"/>
    </xf>
    <xf numFmtId="0" fontId="39" fillId="21" borderId="15" xfId="0" applyFont="1" applyFill="1" applyBorder="1" applyAlignment="1" applyProtection="1">
      <alignment horizontal="center"/>
      <protection locked="0" hidden="1"/>
    </xf>
    <xf numFmtId="0" fontId="39" fillId="21" borderId="60" xfId="0" applyFont="1" applyFill="1" applyBorder="1" applyAlignment="1" applyProtection="1">
      <alignment horizontal="center"/>
      <protection locked="0" hidden="1"/>
    </xf>
    <xf numFmtId="0" fontId="39" fillId="21" borderId="45" xfId="0" applyFont="1" applyFill="1" applyBorder="1" applyAlignment="1" applyProtection="1">
      <alignment horizontal="center"/>
      <protection locked="0" hidden="1"/>
    </xf>
    <xf numFmtId="0" fontId="39" fillId="21" borderId="47" xfId="0" applyFont="1" applyFill="1" applyBorder="1" applyAlignment="1" applyProtection="1">
      <alignment horizontal="center"/>
      <protection locked="0" hidden="1"/>
    </xf>
    <xf numFmtId="0" fontId="39" fillId="21" borderId="46" xfId="0" applyFont="1" applyFill="1" applyBorder="1" applyAlignment="1" applyProtection="1">
      <alignment horizontal="center"/>
      <protection locked="0" hidden="1"/>
    </xf>
    <xf numFmtId="3" fontId="4" fillId="21" borderId="17" xfId="0" applyNumberFormat="1" applyFont="1" applyFill="1" applyBorder="1" applyAlignment="1">
      <alignment horizontal="center"/>
    </xf>
    <xf numFmtId="3" fontId="4" fillId="21" borderId="23" xfId="0" applyNumberFormat="1" applyFont="1" applyFill="1" applyBorder="1" applyAlignment="1">
      <alignment horizontal="center"/>
    </xf>
    <xf numFmtId="0" fontId="19" fillId="21" borderId="0" xfId="0" applyFont="1" applyFill="1" applyBorder="1" applyAlignment="1">
      <alignment horizontal="center"/>
    </xf>
    <xf numFmtId="0" fontId="39" fillId="21" borderId="0" xfId="0" applyFont="1" applyFill="1" applyBorder="1" applyAlignment="1">
      <alignment horizontal="center"/>
    </xf>
    <xf numFmtId="3" fontId="4" fillId="21" borderId="15" xfId="0" applyNumberFormat="1" applyFont="1" applyFill="1" applyBorder="1" applyAlignment="1">
      <alignment horizontal="center"/>
    </xf>
    <xf numFmtId="3" fontId="4" fillId="21" borderId="60" xfId="0" applyNumberFormat="1" applyFont="1" applyFill="1" applyBorder="1" applyAlignment="1">
      <alignment horizontal="center"/>
    </xf>
    <xf numFmtId="3" fontId="4" fillId="21" borderId="45" xfId="0" applyNumberFormat="1" applyFont="1" applyFill="1" applyBorder="1" applyAlignment="1">
      <alignment horizontal="center"/>
    </xf>
    <xf numFmtId="0" fontId="0" fillId="0" borderId="45" xfId="0" applyBorder="1"/>
    <xf numFmtId="0" fontId="0" fillId="0" borderId="15" xfId="0" applyBorder="1"/>
    <xf numFmtId="0" fontId="22" fillId="21" borderId="15" xfId="0" applyFont="1" applyFill="1" applyBorder="1" applyAlignment="1">
      <alignment horizontal="center"/>
    </xf>
    <xf numFmtId="3" fontId="4" fillId="21" borderId="58" xfId="0" applyNumberFormat="1" applyFont="1" applyFill="1" applyBorder="1" applyAlignment="1">
      <alignment horizontal="center"/>
    </xf>
    <xf numFmtId="3" fontId="4" fillId="21" borderId="22" xfId="0" applyNumberFormat="1" applyFont="1" applyFill="1" applyBorder="1" applyAlignment="1">
      <alignment horizontal="center"/>
    </xf>
    <xf numFmtId="3" fontId="40" fillId="21" borderId="17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3" fontId="100" fillId="21" borderId="65" xfId="0" applyNumberFormat="1" applyFont="1" applyFill="1" applyBorder="1" applyAlignment="1">
      <alignment horizontal="center" vertical="center"/>
    </xf>
    <xf numFmtId="0" fontId="101" fillId="21" borderId="92" xfId="0" applyFont="1" applyFill="1" applyBorder="1" applyAlignment="1">
      <alignment horizontal="center" vertical="center"/>
    </xf>
    <xf numFmtId="3" fontId="4" fillId="21" borderId="47" xfId="0" applyNumberFormat="1" applyFont="1" applyFill="1" applyBorder="1" applyAlignment="1">
      <alignment horizontal="center"/>
    </xf>
    <xf numFmtId="3" fontId="4" fillId="21" borderId="46" xfId="0" applyNumberFormat="1" applyFont="1" applyFill="1" applyBorder="1" applyAlignment="1">
      <alignment horizontal="center"/>
    </xf>
    <xf numFmtId="3" fontId="4" fillId="21" borderId="77" xfId="0" applyNumberFormat="1" applyFont="1" applyFill="1" applyBorder="1" applyAlignment="1">
      <alignment horizontal="center"/>
    </xf>
    <xf numFmtId="3" fontId="102" fillId="21" borderId="58" xfId="0" applyNumberFormat="1" applyFont="1" applyFill="1" applyBorder="1" applyAlignment="1">
      <alignment horizontal="center" vertical="center"/>
    </xf>
    <xf numFmtId="0" fontId="103" fillId="21" borderId="77" xfId="0" applyFont="1" applyFill="1" applyBorder="1" applyAlignment="1">
      <alignment horizontal="center" vertical="center"/>
    </xf>
    <xf numFmtId="0" fontId="101" fillId="21" borderId="199" xfId="0" applyFont="1" applyFill="1" applyBorder="1" applyAlignment="1">
      <alignment horizontal="center" vertical="center"/>
    </xf>
    <xf numFmtId="0" fontId="103" fillId="21" borderId="123" xfId="0" applyFont="1" applyFill="1" applyBorder="1" applyAlignment="1">
      <alignment horizontal="center" vertical="center"/>
    </xf>
    <xf numFmtId="3" fontId="4" fillId="21" borderId="123" xfId="0" applyNumberFormat="1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4" fillId="20" borderId="56" xfId="0" applyFont="1" applyFill="1" applyBorder="1" applyAlignment="1">
      <alignment horizontal="center"/>
    </xf>
    <xf numFmtId="0" fontId="4" fillId="20" borderId="57" xfId="0" applyFont="1" applyFill="1" applyBorder="1" applyAlignment="1">
      <alignment horizontal="center"/>
    </xf>
    <xf numFmtId="0" fontId="4" fillId="20" borderId="40" xfId="0" applyFont="1" applyFill="1" applyBorder="1" applyAlignment="1">
      <alignment horizontal="center"/>
    </xf>
    <xf numFmtId="0" fontId="4" fillId="20" borderId="276" xfId="0" applyFont="1" applyFill="1" applyBorder="1" applyAlignment="1">
      <alignment horizontal="center"/>
    </xf>
    <xf numFmtId="0" fontId="4" fillId="20" borderId="84" xfId="0" applyFont="1" applyFill="1" applyBorder="1" applyAlignment="1">
      <alignment horizontal="center"/>
    </xf>
    <xf numFmtId="0" fontId="4" fillId="20" borderId="120" xfId="0" applyFont="1" applyFill="1" applyBorder="1" applyAlignment="1">
      <alignment horizontal="center"/>
    </xf>
    <xf numFmtId="0" fontId="4" fillId="20" borderId="49" xfId="0" applyFont="1" applyFill="1" applyBorder="1" applyAlignment="1">
      <alignment horizontal="center" vertical="center" wrapText="1"/>
    </xf>
    <xf numFmtId="0" fontId="4" fillId="20" borderId="78" xfId="0" applyFont="1" applyFill="1" applyBorder="1" applyAlignment="1">
      <alignment horizontal="center" vertical="center" wrapText="1"/>
    </xf>
    <xf numFmtId="0" fontId="4" fillId="20" borderId="28" xfId="0" applyFont="1" applyFill="1" applyBorder="1" applyAlignment="1">
      <alignment horizontal="center" vertical="center"/>
    </xf>
    <xf numFmtId="0" fontId="4" fillId="20" borderId="38" xfId="0" applyFont="1" applyFill="1" applyBorder="1" applyAlignment="1">
      <alignment horizontal="center" vertical="center"/>
    </xf>
    <xf numFmtId="0" fontId="4" fillId="20" borderId="14" xfId="0" applyFont="1" applyFill="1" applyBorder="1" applyAlignment="1">
      <alignment horizontal="center" vertical="center" wrapText="1"/>
    </xf>
    <xf numFmtId="0" fontId="4" fillId="20" borderId="12" xfId="0" applyFont="1" applyFill="1" applyBorder="1" applyAlignment="1">
      <alignment horizontal="center" vertical="center" wrapText="1"/>
    </xf>
    <xf numFmtId="0" fontId="4" fillId="20" borderId="61" xfId="0" applyFont="1" applyFill="1" applyBorder="1" applyAlignment="1">
      <alignment horizontal="center" vertical="center" wrapText="1"/>
    </xf>
    <xf numFmtId="0" fontId="4" fillId="20" borderId="58" xfId="0" applyFont="1" applyFill="1" applyBorder="1" applyAlignment="1">
      <alignment horizontal="center" vertical="center"/>
    </xf>
    <xf numFmtId="0" fontId="4" fillId="20" borderId="123" xfId="0" applyFont="1" applyFill="1" applyBorder="1" applyAlignment="1">
      <alignment horizontal="center" vertical="center"/>
    </xf>
    <xf numFmtId="0" fontId="4" fillId="20" borderId="22" xfId="0" applyFont="1" applyFill="1" applyBorder="1" applyAlignment="1">
      <alignment horizontal="center" vertical="center"/>
    </xf>
    <xf numFmtId="0" fontId="4" fillId="20" borderId="200" xfId="0" applyFont="1" applyFill="1" applyBorder="1" applyAlignment="1">
      <alignment horizontal="center" vertical="center"/>
    </xf>
    <xf numFmtId="0" fontId="22" fillId="0" borderId="201" xfId="0" applyFont="1" applyBorder="1" applyAlignment="1">
      <alignment horizontal="center" vertical="center"/>
    </xf>
    <xf numFmtId="0" fontId="19" fillId="20" borderId="0" xfId="0" applyFont="1" applyFill="1" applyAlignment="1">
      <alignment horizontal="center"/>
    </xf>
    <xf numFmtId="0" fontId="4" fillId="20" borderId="36" xfId="0" applyFont="1" applyFill="1" applyBorder="1" applyAlignment="1">
      <alignment vertical="center" wrapText="1"/>
    </xf>
    <xf numFmtId="0" fontId="4" fillId="20" borderId="27" xfId="0" applyFont="1" applyFill="1" applyBorder="1" applyAlignment="1">
      <alignment vertical="center" wrapText="1"/>
    </xf>
    <xf numFmtId="0" fontId="4" fillId="20" borderId="50" xfId="0" applyFont="1" applyFill="1" applyBorder="1" applyAlignment="1">
      <alignment vertical="center" wrapText="1"/>
    </xf>
    <xf numFmtId="0" fontId="4" fillId="20" borderId="31" xfId="0" applyFont="1" applyFill="1" applyBorder="1" applyAlignment="1">
      <alignment vertical="center" wrapText="1"/>
    </xf>
    <xf numFmtId="0" fontId="4" fillId="20" borderId="76" xfId="0" applyFont="1" applyFill="1" applyBorder="1" applyAlignment="1">
      <alignment horizontal="center" vertical="center"/>
    </xf>
    <xf numFmtId="0" fontId="4" fillId="20" borderId="79" xfId="0" applyFont="1" applyFill="1" applyBorder="1" applyAlignment="1">
      <alignment horizontal="center" vertical="center"/>
    </xf>
    <xf numFmtId="0" fontId="4" fillId="20" borderId="201" xfId="0" applyFont="1" applyFill="1" applyBorder="1" applyAlignment="1">
      <alignment horizontal="center" vertical="center"/>
    </xf>
    <xf numFmtId="0" fontId="4" fillId="20" borderId="277" xfId="0" applyFont="1" applyFill="1" applyBorder="1" applyAlignment="1">
      <alignment horizontal="center" vertical="center"/>
    </xf>
  </cellXfs>
  <cellStyles count="4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39" builtinId="3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_1.számú melléklet" xfId="32"/>
    <cellStyle name="Normal_KARSZJ3" xfId="33"/>
    <cellStyle name="Normál_Tartalék felhasználás" xfId="34"/>
    <cellStyle name="Összesen" xfId="35" builtinId="25" customBuiltin="1"/>
    <cellStyle name="Rossz" xfId="36" builtinId="27" customBuiltin="1"/>
    <cellStyle name="Semleges" xfId="37" builtinId="28" customBuiltin="1"/>
    <cellStyle name="Számítás" xfId="38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tabSelected="1" zoomScale="75" zoomScaleNormal="100" workbookViewId="0">
      <selection activeCell="N2" sqref="N2"/>
    </sheetView>
  </sheetViews>
  <sheetFormatPr defaultRowHeight="12.75" x14ac:dyDescent="0.2"/>
  <cols>
    <col min="1" max="1" width="4.28515625" style="800" customWidth="1"/>
    <col min="2" max="2" width="50.7109375" style="800" customWidth="1"/>
    <col min="3" max="3" width="11.140625" style="800" customWidth="1"/>
    <col min="4" max="5" width="11.140625" style="799" customWidth="1"/>
    <col min="6" max="6" width="11.140625" style="800" customWidth="1"/>
    <col min="7" max="7" width="9.7109375" style="797" customWidth="1"/>
    <col min="8" max="8" width="4.28515625" style="800" customWidth="1"/>
    <col min="9" max="9" width="55.7109375" style="800" customWidth="1"/>
    <col min="10" max="10" width="11.140625" style="800" customWidth="1"/>
    <col min="11" max="12" width="11.140625" style="799" customWidth="1"/>
    <col min="13" max="13" width="11.140625" style="800" customWidth="1"/>
    <col min="14" max="14" width="9.7109375" style="797" customWidth="1"/>
    <col min="15" max="17" width="11.7109375" style="800" customWidth="1"/>
    <col min="18" max="16384" width="9.140625" style="800"/>
  </cols>
  <sheetData>
    <row r="1" spans="1:17" ht="7.5" customHeight="1" x14ac:dyDescent="0.2"/>
    <row r="2" spans="1:17" x14ac:dyDescent="0.2">
      <c r="A2" s="792"/>
      <c r="B2" s="793"/>
      <c r="C2" s="793"/>
      <c r="D2" s="794"/>
      <c r="E2" s="794"/>
      <c r="F2" s="795"/>
      <c r="G2" s="796"/>
      <c r="H2" s="797"/>
      <c r="I2" s="798"/>
      <c r="J2" s="798"/>
      <c r="M2" s="545"/>
      <c r="N2" s="545" t="s">
        <v>1193</v>
      </c>
      <c r="Q2" s="545"/>
    </row>
    <row r="3" spans="1:17" x14ac:dyDescent="0.2">
      <c r="A3" s="797"/>
      <c r="B3" s="797"/>
      <c r="C3" s="797"/>
      <c r="F3" s="798"/>
      <c r="G3" s="798"/>
      <c r="H3" s="797"/>
      <c r="I3" s="798"/>
      <c r="J3" s="798"/>
      <c r="M3" s="545"/>
      <c r="N3" s="545" t="s">
        <v>57</v>
      </c>
      <c r="Q3" s="545"/>
    </row>
    <row r="4" spans="1:17" hidden="1" x14ac:dyDescent="0.2">
      <c r="A4" s="797"/>
      <c r="B4" s="797"/>
      <c r="C4" s="797"/>
      <c r="F4" s="798"/>
      <c r="G4" s="798"/>
      <c r="H4" s="797"/>
      <c r="I4" s="798"/>
      <c r="J4" s="798"/>
      <c r="M4" s="545"/>
      <c r="N4" s="145" t="s">
        <v>583</v>
      </c>
      <c r="Q4" s="545"/>
    </row>
    <row r="5" spans="1:17" ht="18.75" x14ac:dyDescent="0.3">
      <c r="A5" s="2246" t="s">
        <v>1194</v>
      </c>
      <c r="B5" s="2246"/>
      <c r="C5" s="2246"/>
      <c r="D5" s="2246"/>
      <c r="E5" s="2246"/>
      <c r="F5" s="2246"/>
      <c r="G5" s="2246"/>
      <c r="H5" s="2246"/>
      <c r="I5" s="2246"/>
      <c r="J5" s="2246"/>
      <c r="K5" s="2246"/>
      <c r="L5" s="2246"/>
      <c r="M5" s="2246"/>
      <c r="N5" s="2246"/>
    </row>
    <row r="6" spans="1:17" x14ac:dyDescent="0.2">
      <c r="A6" s="2247" t="s">
        <v>58</v>
      </c>
      <c r="B6" s="2247"/>
      <c r="C6" s="2247"/>
      <c r="D6" s="2247"/>
      <c r="E6" s="2247"/>
      <c r="F6" s="2247"/>
      <c r="G6" s="2247"/>
      <c r="H6" s="2247"/>
      <c r="I6" s="2247"/>
      <c r="J6" s="2247"/>
      <c r="K6" s="2247"/>
      <c r="L6" s="2247"/>
      <c r="M6" s="2247"/>
      <c r="N6" s="2247"/>
      <c r="O6" s="802"/>
      <c r="P6" s="802"/>
      <c r="Q6" s="802"/>
    </row>
    <row r="7" spans="1:17" hidden="1" x14ac:dyDescent="0.2">
      <c r="A7" s="801"/>
      <c r="B7" s="801"/>
      <c r="C7" s="801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  <c r="O7" s="801"/>
      <c r="P7" s="801"/>
      <c r="Q7" s="801"/>
    </row>
    <row r="8" spans="1:17" ht="13.5" thickBot="1" x14ac:dyDescent="0.25">
      <c r="A8" s="797"/>
      <c r="B8" s="797"/>
      <c r="C8" s="797"/>
      <c r="F8" s="797"/>
      <c r="H8" s="797"/>
      <c r="I8" s="798"/>
      <c r="J8" s="798"/>
    </row>
    <row r="9" spans="1:17" x14ac:dyDescent="0.2">
      <c r="A9" s="1072" t="s">
        <v>571</v>
      </c>
      <c r="B9" s="1072"/>
      <c r="C9" s="619" t="s">
        <v>1135</v>
      </c>
      <c r="D9" s="1073" t="s">
        <v>1181</v>
      </c>
      <c r="E9" s="1073" t="s">
        <v>1181</v>
      </c>
      <c r="F9" s="619" t="s">
        <v>1181</v>
      </c>
      <c r="G9" s="403" t="s">
        <v>1181</v>
      </c>
      <c r="H9" s="1074"/>
      <c r="I9" s="1072"/>
      <c r="J9" s="619" t="s">
        <v>1135</v>
      </c>
      <c r="K9" s="1073" t="s">
        <v>1181</v>
      </c>
      <c r="L9" s="1073" t="s">
        <v>1181</v>
      </c>
      <c r="M9" s="619" t="s">
        <v>1181</v>
      </c>
      <c r="N9" s="1162" t="s">
        <v>1181</v>
      </c>
    </row>
    <row r="10" spans="1:17" x14ac:dyDescent="0.2">
      <c r="A10" s="1075" t="s">
        <v>369</v>
      </c>
      <c r="B10" s="1075" t="s">
        <v>390</v>
      </c>
      <c r="C10" s="620" t="s">
        <v>143</v>
      </c>
      <c r="D10" s="1076" t="s">
        <v>38</v>
      </c>
      <c r="E10" s="1076" t="s">
        <v>333</v>
      </c>
      <c r="F10" s="620" t="s">
        <v>143</v>
      </c>
      <c r="G10" s="146" t="s">
        <v>143</v>
      </c>
      <c r="H10" s="1077" t="s">
        <v>369</v>
      </c>
      <c r="I10" s="1075" t="s">
        <v>391</v>
      </c>
      <c r="J10" s="620" t="s">
        <v>143</v>
      </c>
      <c r="K10" s="1076" t="s">
        <v>38</v>
      </c>
      <c r="L10" s="1076" t="s">
        <v>333</v>
      </c>
      <c r="M10" s="620" t="s">
        <v>143</v>
      </c>
      <c r="N10" s="1163" t="s">
        <v>143</v>
      </c>
    </row>
    <row r="11" spans="1:17" ht="13.5" thickBot="1" x14ac:dyDescent="0.25">
      <c r="A11" s="1078"/>
      <c r="B11" s="1078" t="s">
        <v>89</v>
      </c>
      <c r="C11" s="811"/>
      <c r="D11" s="1079" t="s">
        <v>8</v>
      </c>
      <c r="E11" s="1161" t="s">
        <v>8</v>
      </c>
      <c r="F11" s="811"/>
      <c r="G11" s="812" t="s">
        <v>197</v>
      </c>
      <c r="H11" s="1190"/>
      <c r="I11" s="1191" t="s">
        <v>89</v>
      </c>
      <c r="J11" s="811"/>
      <c r="K11" s="1079" t="s">
        <v>8</v>
      </c>
      <c r="L11" s="1161" t="s">
        <v>8</v>
      </c>
      <c r="M11" s="811"/>
      <c r="N11" s="1164" t="s">
        <v>197</v>
      </c>
    </row>
    <row r="12" spans="1:17" ht="15" x14ac:dyDescent="0.25">
      <c r="A12" s="1080">
        <v>1</v>
      </c>
      <c r="B12" s="1081">
        <v>2</v>
      </c>
      <c r="C12" s="2029">
        <v>3</v>
      </c>
      <c r="D12" s="2230">
        <v>4</v>
      </c>
      <c r="E12" s="2029">
        <v>5</v>
      </c>
      <c r="F12" s="2029">
        <v>6</v>
      </c>
      <c r="G12" s="1082">
        <v>7</v>
      </c>
      <c r="H12" s="1188">
        <v>8</v>
      </c>
      <c r="I12" s="1189">
        <v>9</v>
      </c>
      <c r="J12" s="2029">
        <v>10</v>
      </c>
      <c r="K12" s="2029">
        <v>11</v>
      </c>
      <c r="L12" s="2229">
        <v>12</v>
      </c>
      <c r="M12" s="2029">
        <v>13</v>
      </c>
      <c r="N12" s="1165">
        <v>14</v>
      </c>
      <c r="O12" s="803"/>
      <c r="P12" s="803"/>
      <c r="Q12" s="804"/>
    </row>
    <row r="13" spans="1:17" ht="15" x14ac:dyDescent="0.25">
      <c r="A13" s="1083"/>
      <c r="B13" s="1084"/>
      <c r="C13" s="1086"/>
      <c r="D13" s="1085"/>
      <c r="E13" s="1085"/>
      <c r="F13" s="1086"/>
      <c r="G13" s="805"/>
      <c r="H13" s="1087" t="s">
        <v>571</v>
      </c>
      <c r="I13" s="1088"/>
      <c r="J13" s="1089"/>
      <c r="K13" s="1085"/>
      <c r="L13" s="1085"/>
      <c r="M13" s="1089"/>
      <c r="N13" s="1090"/>
      <c r="O13" s="806"/>
      <c r="P13" s="806"/>
      <c r="Q13" s="806"/>
    </row>
    <row r="14" spans="1:17" s="807" customFormat="1" ht="24.95" customHeight="1" x14ac:dyDescent="0.25">
      <c r="A14" s="1091">
        <v>1</v>
      </c>
      <c r="B14" s="1071" t="s">
        <v>328</v>
      </c>
      <c r="C14" s="1092">
        <v>4684465.4270000001</v>
      </c>
      <c r="D14" s="1092">
        <f>T_2_kiadás!C15</f>
        <v>5234900.07</v>
      </c>
      <c r="E14" s="1092">
        <f>T_2_kiadás!D15</f>
        <v>5458128.6389999995</v>
      </c>
      <c r="F14" s="1092">
        <f>T_2_kiadás!E15</f>
        <v>5116507.5469999993</v>
      </c>
      <c r="G14" s="814">
        <f t="shared" ref="G14:G20" si="0">F14/E14*100</f>
        <v>93.741058252841228</v>
      </c>
      <c r="H14" s="1093">
        <v>1</v>
      </c>
      <c r="I14" s="1094" t="s">
        <v>909</v>
      </c>
      <c r="J14" s="1096">
        <v>2234247.1640000003</v>
      </c>
      <c r="K14" s="1096">
        <f>T_3_bevétel!C15</f>
        <v>2201180.682</v>
      </c>
      <c r="L14" s="1096">
        <f>T_3_bevétel!D15</f>
        <v>2438424.952</v>
      </c>
      <c r="M14" s="1096">
        <f>T_3_bevétel!E15</f>
        <v>2472302.6460000002</v>
      </c>
      <c r="N14" s="815">
        <f t="shared" ref="N14:N19" si="1">M14/L14*100</f>
        <v>101.38932690842969</v>
      </c>
      <c r="O14" s="806"/>
      <c r="P14" s="806"/>
      <c r="Q14" s="804"/>
    </row>
    <row r="15" spans="1:17" ht="24.95" customHeight="1" x14ac:dyDescent="0.25">
      <c r="A15" s="1091">
        <v>2</v>
      </c>
      <c r="B15" s="1071" t="s">
        <v>62</v>
      </c>
      <c r="C15" s="1092">
        <v>1330708.6000000001</v>
      </c>
      <c r="D15" s="1092">
        <f>T_2_kiadás!C16</f>
        <v>1270201.9180000001</v>
      </c>
      <c r="E15" s="1092">
        <f>T_2_kiadás!D16</f>
        <v>1382043.0759999999</v>
      </c>
      <c r="F15" s="1092">
        <f>T_2_kiadás!E16</f>
        <v>1237823.5890000002</v>
      </c>
      <c r="G15" s="814">
        <f t="shared" si="0"/>
        <v>89.564761800521495</v>
      </c>
      <c r="H15" s="1097">
        <v>2</v>
      </c>
      <c r="I15" s="1098" t="s">
        <v>910</v>
      </c>
      <c r="J15" s="1096">
        <v>3750</v>
      </c>
      <c r="K15" s="1096">
        <f>T_3_bevétel!C22</f>
        <v>0</v>
      </c>
      <c r="L15" s="1096">
        <f>T_3_bevétel!D22</f>
        <v>89858.422000000006</v>
      </c>
      <c r="M15" s="1096">
        <f>T_3_bevétel!E22</f>
        <v>89858.422000000006</v>
      </c>
      <c r="N15" s="815">
        <v>0</v>
      </c>
      <c r="O15" s="806"/>
      <c r="P15" s="806"/>
      <c r="Q15" s="806"/>
    </row>
    <row r="16" spans="1:17" ht="24.95" customHeight="1" x14ac:dyDescent="0.25">
      <c r="A16" s="1091">
        <v>3</v>
      </c>
      <c r="B16" s="1071" t="s">
        <v>23</v>
      </c>
      <c r="C16" s="1092">
        <v>5522859.4985149996</v>
      </c>
      <c r="D16" s="1092">
        <f>T_2_kiadás!C17</f>
        <v>5762906.352</v>
      </c>
      <c r="E16" s="1092">
        <f>T_2_kiadás!D17</f>
        <v>6358452.8029999994</v>
      </c>
      <c r="F16" s="1092">
        <f>T_2_kiadás!E17</f>
        <v>5247222.2570000002</v>
      </c>
      <c r="G16" s="814">
        <f t="shared" si="0"/>
        <v>82.523570113224608</v>
      </c>
      <c r="H16" s="1097">
        <v>3</v>
      </c>
      <c r="I16" s="1099" t="s">
        <v>911</v>
      </c>
      <c r="J16" s="1096">
        <v>1323434.9480000001</v>
      </c>
      <c r="K16" s="1096">
        <f>T_3_bevétel!C26</f>
        <v>1388173.4</v>
      </c>
      <c r="L16" s="1096">
        <f>T_3_bevétel!D26</f>
        <v>1410817.027</v>
      </c>
      <c r="M16" s="1096">
        <f>T_3_bevétel!E26</f>
        <v>1410817.1979999999</v>
      </c>
      <c r="N16" s="815">
        <f t="shared" si="1"/>
        <v>100.00001212063626</v>
      </c>
      <c r="O16" s="806"/>
      <c r="P16" s="806"/>
      <c r="Q16" s="806"/>
    </row>
    <row r="17" spans="1:18" ht="24.95" customHeight="1" x14ac:dyDescent="0.25">
      <c r="A17" s="1100">
        <v>4</v>
      </c>
      <c r="B17" s="1101" t="s">
        <v>221</v>
      </c>
      <c r="C17" s="1096">
        <v>151694.875</v>
      </c>
      <c r="D17" s="1096">
        <f>T_2_kiadás!C19</f>
        <v>172850</v>
      </c>
      <c r="E17" s="1096">
        <f>T_2_kiadás!D19</f>
        <v>198425</v>
      </c>
      <c r="F17" s="1096">
        <f>T_2_kiadás!E19</f>
        <v>154740.51099999997</v>
      </c>
      <c r="G17" s="814">
        <f t="shared" si="0"/>
        <v>77.984382512284228</v>
      </c>
      <c r="H17" s="1097">
        <v>4</v>
      </c>
      <c r="I17" s="1099" t="s">
        <v>545</v>
      </c>
      <c r="J17" s="1096">
        <v>8722315.6870000008</v>
      </c>
      <c r="K17" s="1096">
        <f>T_3_bevétel!C27</f>
        <v>8495156</v>
      </c>
      <c r="L17" s="1096">
        <f>T_3_bevétel!D27</f>
        <v>8343301</v>
      </c>
      <c r="M17" s="1096">
        <f>T_3_bevétel!E27</f>
        <v>8746041.443</v>
      </c>
      <c r="N17" s="815">
        <f t="shared" si="1"/>
        <v>104.827111511379</v>
      </c>
      <c r="O17" s="806"/>
      <c r="P17" s="806"/>
      <c r="Q17" s="806"/>
    </row>
    <row r="18" spans="1:18" ht="24.95" customHeight="1" x14ac:dyDescent="0.25">
      <c r="A18" s="1091">
        <v>5</v>
      </c>
      <c r="B18" s="1101" t="s">
        <v>880</v>
      </c>
      <c r="C18" s="1096">
        <v>17226.407999999999</v>
      </c>
      <c r="D18" s="1096">
        <f>T_2_kiadás!C22</f>
        <v>150591</v>
      </c>
      <c r="E18" s="1096">
        <f>T_2_kiadás!D22</f>
        <v>240449.91800000001</v>
      </c>
      <c r="F18" s="1096">
        <f>T_2_kiadás!E22</f>
        <v>232449.91800000001</v>
      </c>
      <c r="G18" s="814">
        <f t="shared" si="0"/>
        <v>96.672903835217767</v>
      </c>
      <c r="H18" s="1093">
        <v>5</v>
      </c>
      <c r="I18" s="1099" t="s">
        <v>251</v>
      </c>
      <c r="J18" s="1096">
        <v>2672556.0421099998</v>
      </c>
      <c r="K18" s="1096">
        <f>T_3_bevétel!C48</f>
        <v>2717062.2580000004</v>
      </c>
      <c r="L18" s="1096">
        <f>T_3_bevétel!D48</f>
        <v>2813807.9169999999</v>
      </c>
      <c r="M18" s="1096">
        <f>T_3_bevétel!E48</f>
        <v>2699766.9979999997</v>
      </c>
      <c r="N18" s="815">
        <f t="shared" si="1"/>
        <v>95.947096519595149</v>
      </c>
      <c r="O18" s="806"/>
      <c r="P18" s="806"/>
      <c r="Q18" s="804"/>
    </row>
    <row r="19" spans="1:18" ht="24.95" customHeight="1" x14ac:dyDescent="0.25">
      <c r="A19" s="1100">
        <v>6</v>
      </c>
      <c r="B19" s="1071" t="s">
        <v>884</v>
      </c>
      <c r="C19" s="1096">
        <v>58507.103000000003</v>
      </c>
      <c r="D19" s="1096">
        <f>T_2_kiadás!C26</f>
        <v>54512</v>
      </c>
      <c r="E19" s="1096">
        <f>T_2_kiadás!D26</f>
        <v>70493</v>
      </c>
      <c r="F19" s="1096">
        <f>T_2_kiadás!E26</f>
        <v>63321.834999999999</v>
      </c>
      <c r="G19" s="814">
        <f t="shared" si="0"/>
        <v>89.82712467904615</v>
      </c>
      <c r="H19" s="1093">
        <v>6</v>
      </c>
      <c r="I19" s="1094" t="s">
        <v>912</v>
      </c>
      <c r="J19" s="1096">
        <v>3370</v>
      </c>
      <c r="K19" s="1096">
        <f>T_3_bevétel!C60</f>
        <v>0</v>
      </c>
      <c r="L19" s="1096">
        <f>T_3_bevétel!D60</f>
        <v>3278</v>
      </c>
      <c r="M19" s="1096">
        <f>T_3_bevétel!E60</f>
        <v>3277.5</v>
      </c>
      <c r="N19" s="815">
        <f t="shared" si="1"/>
        <v>99.984746796827324</v>
      </c>
      <c r="O19" s="806"/>
      <c r="P19" s="806"/>
      <c r="Q19" s="804"/>
    </row>
    <row r="20" spans="1:18" ht="24.95" customHeight="1" x14ac:dyDescent="0.25">
      <c r="A20" s="1100">
        <v>7</v>
      </c>
      <c r="B20" s="1071" t="s">
        <v>887</v>
      </c>
      <c r="C20" s="1096">
        <v>606072.91</v>
      </c>
      <c r="D20" s="1096">
        <f>T_2_kiadás!C29</f>
        <v>669332</v>
      </c>
      <c r="E20" s="1096">
        <f>T_2_kiadás!D29+T_2_kiadás!D28</f>
        <v>680624.755</v>
      </c>
      <c r="F20" s="1096">
        <f>T_2_kiadás!E29</f>
        <v>651403.72899999993</v>
      </c>
      <c r="G20" s="814">
        <f t="shared" si="0"/>
        <v>95.706734763122142</v>
      </c>
      <c r="H20" s="1093"/>
      <c r="I20" s="1098"/>
      <c r="J20" s="1095"/>
      <c r="K20" s="1095"/>
      <c r="L20" s="1095"/>
      <c r="M20" s="1095"/>
      <c r="N20" s="815"/>
      <c r="O20" s="806"/>
      <c r="P20" s="806"/>
      <c r="Q20" s="804"/>
    </row>
    <row r="21" spans="1:18" ht="24.95" customHeight="1" x14ac:dyDescent="0.25">
      <c r="A21" s="1100">
        <v>8</v>
      </c>
      <c r="B21" s="1101" t="s">
        <v>46</v>
      </c>
      <c r="C21" s="1096"/>
      <c r="D21" s="1096">
        <v>75000</v>
      </c>
      <c r="E21" s="1096">
        <v>287130.74699999997</v>
      </c>
      <c r="F21" s="1096"/>
      <c r="G21" s="814">
        <v>0</v>
      </c>
      <c r="H21" s="1104"/>
      <c r="I21" s="1105"/>
      <c r="J21" s="1095"/>
      <c r="K21" s="1095"/>
      <c r="L21" s="1095"/>
      <c r="M21" s="1095"/>
      <c r="N21" s="815"/>
      <c r="O21" s="804"/>
      <c r="P21" s="804"/>
      <c r="Q21" s="804"/>
    </row>
    <row r="22" spans="1:18" ht="24.95" customHeight="1" thickBot="1" x14ac:dyDescent="0.3">
      <c r="A22" s="1100">
        <v>9</v>
      </c>
      <c r="B22" s="1101" t="s">
        <v>47</v>
      </c>
      <c r="C22" s="1096"/>
      <c r="D22" s="1096">
        <v>158695</v>
      </c>
      <c r="E22" s="1096">
        <v>106129.11599999999</v>
      </c>
      <c r="F22" s="1096"/>
      <c r="G22" s="814">
        <v>0</v>
      </c>
      <c r="H22" s="1093"/>
      <c r="I22" s="808"/>
      <c r="J22" s="1108"/>
      <c r="K22" s="1107"/>
      <c r="L22" s="1107"/>
      <c r="M22" s="1108"/>
      <c r="N22" s="1187"/>
      <c r="O22" s="1109" t="s">
        <v>392</v>
      </c>
      <c r="P22" s="1109"/>
      <c r="Q22" s="1109"/>
    </row>
    <row r="23" spans="1:18" ht="17.100000000000001" customHeight="1" thickBot="1" x14ac:dyDescent="0.3">
      <c r="A23" s="2248" t="s">
        <v>134</v>
      </c>
      <c r="B23" s="1110" t="s">
        <v>63</v>
      </c>
      <c r="C23" s="1112"/>
      <c r="D23" s="1111"/>
      <c r="E23" s="1111"/>
      <c r="F23" s="1112"/>
      <c r="G23" s="1106"/>
      <c r="H23" s="2249" t="s">
        <v>134</v>
      </c>
      <c r="I23" s="1114" t="s">
        <v>650</v>
      </c>
      <c r="J23" s="1112"/>
      <c r="K23" s="1115"/>
      <c r="L23" s="1115"/>
      <c r="M23" s="1112"/>
      <c r="N23" s="1170"/>
      <c r="O23" s="1168" t="s">
        <v>153</v>
      </c>
      <c r="P23" s="2005" t="s">
        <v>683</v>
      </c>
      <c r="Q23" s="570" t="s">
        <v>196</v>
      </c>
    </row>
    <row r="24" spans="1:18" ht="17.100000000000001" customHeight="1" thickBot="1" x14ac:dyDescent="0.25">
      <c r="A24" s="2248"/>
      <c r="B24" s="1116" t="s">
        <v>572</v>
      </c>
      <c r="C24" s="1113">
        <v>12371534.821515001</v>
      </c>
      <c r="D24" s="1113">
        <f>SUM(D14:D23)</f>
        <v>13548988.34</v>
      </c>
      <c r="E24" s="1113">
        <f>SUM(E14:E23)</f>
        <v>14781877.054</v>
      </c>
      <c r="F24" s="1113">
        <f>SUM(F14:F23)</f>
        <v>12703469.386</v>
      </c>
      <c r="G24" s="813">
        <f>F24/E24*100</f>
        <v>85.939487519701842</v>
      </c>
      <c r="H24" s="2249"/>
      <c r="I24" s="1117" t="s">
        <v>572</v>
      </c>
      <c r="J24" s="1113">
        <v>14959673.841110002</v>
      </c>
      <c r="K24" s="1113">
        <f>SUM(K14:K22)</f>
        <v>14801572.34</v>
      </c>
      <c r="L24" s="1113">
        <f>SUM(L14:L22)</f>
        <v>15099487.318</v>
      </c>
      <c r="M24" s="1113">
        <f>SUM(M14:M22)</f>
        <v>15422064.206999999</v>
      </c>
      <c r="N24" s="816">
        <f>M24/L24*100</f>
        <v>102.13634332216999</v>
      </c>
      <c r="O24" s="1169">
        <f>K24-D24</f>
        <v>1252584</v>
      </c>
      <c r="P24" s="1166">
        <f>L24-E24</f>
        <v>317610.26400000043</v>
      </c>
      <c r="Q24" s="1167">
        <f>M24-F24</f>
        <v>2718594.8209999986</v>
      </c>
    </row>
    <row r="25" spans="1:18" ht="9.9499999999999993" customHeight="1" x14ac:dyDescent="0.2">
      <c r="A25" s="1132"/>
      <c r="B25" s="1654"/>
      <c r="C25" s="1656"/>
      <c r="D25" s="1656"/>
      <c r="E25" s="1657"/>
      <c r="F25" s="1656"/>
      <c r="G25" s="1663"/>
      <c r="H25" s="1664"/>
      <c r="I25" s="1655"/>
      <c r="J25" s="1095"/>
      <c r="K25" s="1095"/>
      <c r="L25" s="1095"/>
      <c r="M25" s="1095"/>
      <c r="N25" s="1659"/>
      <c r="O25" s="1660"/>
      <c r="P25" s="1661"/>
      <c r="Q25" s="1661"/>
      <c r="R25" s="1662"/>
    </row>
    <row r="26" spans="1:18" ht="24.95" customHeight="1" x14ac:dyDescent="0.2">
      <c r="A26" s="1091">
        <v>10</v>
      </c>
      <c r="B26" s="1071" t="s">
        <v>394</v>
      </c>
      <c r="C26" s="1096">
        <v>2735185.0328499996</v>
      </c>
      <c r="D26" s="1096">
        <f>T_2_kiadás!C32</f>
        <v>2099857</v>
      </c>
      <c r="E26" s="1096">
        <f>T_2_kiadás!D32</f>
        <v>5140973.6999999993</v>
      </c>
      <c r="F26" s="1096">
        <f>T_2_kiadás!E32</f>
        <v>3313894.1099999994</v>
      </c>
      <c r="G26" s="814">
        <f>F26/E26*100</f>
        <v>64.46043694018509</v>
      </c>
      <c r="H26" s="1093">
        <v>7</v>
      </c>
      <c r="I26" s="1094" t="s">
        <v>982</v>
      </c>
      <c r="J26" s="2002">
        <v>300000</v>
      </c>
      <c r="K26" s="2002">
        <f>T_3_bevétel!C63</f>
        <v>200000</v>
      </c>
      <c r="L26" s="2002">
        <f>T_3_bevétel!D63</f>
        <v>200000</v>
      </c>
      <c r="M26" s="2002">
        <f>T_3_bevétel!E63</f>
        <v>0</v>
      </c>
      <c r="N26" s="815">
        <f>M26/L26*100</f>
        <v>0</v>
      </c>
      <c r="O26" s="1658"/>
      <c r="P26" s="1658"/>
      <c r="Q26" s="1658"/>
    </row>
    <row r="27" spans="1:18" ht="24.95" customHeight="1" x14ac:dyDescent="0.2">
      <c r="A27" s="1100">
        <v>11</v>
      </c>
      <c r="B27" s="1101" t="s">
        <v>395</v>
      </c>
      <c r="C27" s="1096">
        <v>83302.662000000011</v>
      </c>
      <c r="D27" s="1096">
        <f>T_2_kiadás!C33</f>
        <v>32820</v>
      </c>
      <c r="E27" s="1096">
        <f>T_2_kiadás!D33</f>
        <v>65909.631999999998</v>
      </c>
      <c r="F27" s="1096">
        <f>T_2_kiadás!E33</f>
        <v>50477.381000000001</v>
      </c>
      <c r="G27" s="814">
        <f>F27/E27*100</f>
        <v>76.585742429877328</v>
      </c>
      <c r="H27" s="1093">
        <v>8</v>
      </c>
      <c r="I27" s="1099" t="s">
        <v>998</v>
      </c>
      <c r="J27" s="1119">
        <v>45768.873</v>
      </c>
      <c r="K27" s="1119">
        <f>T_3_bevétel!C67</f>
        <v>0</v>
      </c>
      <c r="L27" s="1119">
        <f>T_3_bevétel!D67</f>
        <v>304449.20500000002</v>
      </c>
      <c r="M27" s="1119">
        <f>T_3_bevétel!E67</f>
        <v>304449.20500000002</v>
      </c>
      <c r="N27" s="815">
        <f>M27/L27*100</f>
        <v>100</v>
      </c>
      <c r="O27" s="1158"/>
      <c r="P27" s="1158"/>
      <c r="Q27" s="808"/>
    </row>
    <row r="28" spans="1:18" ht="24.95" customHeight="1" x14ac:dyDescent="0.2">
      <c r="A28" s="1100">
        <v>12</v>
      </c>
      <c r="B28" s="1071" t="s">
        <v>876</v>
      </c>
      <c r="C28" s="1096">
        <v>1345.933</v>
      </c>
      <c r="D28" s="1096">
        <f>T_2_kiadás!C38</f>
        <v>600</v>
      </c>
      <c r="E28" s="1096">
        <f>T_2_kiadás!D38</f>
        <v>58478</v>
      </c>
      <c r="F28" s="1096">
        <f>T_2_kiadás!E38</f>
        <v>57243.025000000001</v>
      </c>
      <c r="G28" s="814">
        <f>F28/E28*100</f>
        <v>97.888137419200376</v>
      </c>
      <c r="H28" s="1093">
        <v>9</v>
      </c>
      <c r="I28" s="1099" t="s">
        <v>989</v>
      </c>
      <c r="J28" s="2003">
        <v>1315486.0560000001</v>
      </c>
      <c r="K28" s="2003">
        <f>T_3_bevétel!C68</f>
        <v>1355150</v>
      </c>
      <c r="L28" s="2003">
        <f>T_3_bevétel!D68</f>
        <v>1366385</v>
      </c>
      <c r="M28" s="2003">
        <f>T_3_bevétel!E68</f>
        <v>831772.91</v>
      </c>
      <c r="N28" s="815">
        <f>M28/L28*100</f>
        <v>60.873978417503125</v>
      </c>
      <c r="O28" s="1158"/>
      <c r="P28" s="1158"/>
      <c r="Q28" s="808"/>
    </row>
    <row r="29" spans="1:18" ht="24.95" customHeight="1" x14ac:dyDescent="0.2">
      <c r="A29" s="1100">
        <v>13</v>
      </c>
      <c r="B29" s="1071" t="s">
        <v>913</v>
      </c>
      <c r="C29" s="1096">
        <v>7066.2510000000002</v>
      </c>
      <c r="D29" s="1096">
        <f>T_2_kiadás!C40</f>
        <v>15000</v>
      </c>
      <c r="E29" s="1096">
        <f>T_2_kiadás!D40</f>
        <v>15000</v>
      </c>
      <c r="F29" s="1096">
        <f>T_2_kiadás!E40</f>
        <v>4053.596</v>
      </c>
      <c r="G29" s="814">
        <f>F29/E29*100</f>
        <v>27.023973333333334</v>
      </c>
      <c r="H29" s="1093">
        <v>10</v>
      </c>
      <c r="I29" s="1094" t="s">
        <v>999</v>
      </c>
      <c r="J29" s="2003">
        <v>19588.652000000002</v>
      </c>
      <c r="K29" s="2003">
        <f>T_3_bevétel!C85</f>
        <v>19000</v>
      </c>
      <c r="L29" s="2003">
        <f>T_3_bevétel!D85</f>
        <v>18976</v>
      </c>
      <c r="M29" s="2003">
        <f>T_3_bevétel!E85</f>
        <v>13615.005000000001</v>
      </c>
      <c r="N29" s="815">
        <f>M29/L29*100</f>
        <v>71.748550801011817</v>
      </c>
      <c r="O29" s="1158"/>
      <c r="P29" s="1158"/>
      <c r="Q29" s="808"/>
    </row>
    <row r="30" spans="1:18" ht="24.95" customHeight="1" x14ac:dyDescent="0.2">
      <c r="A30" s="1100">
        <v>14</v>
      </c>
      <c r="B30" s="1071" t="s">
        <v>873</v>
      </c>
      <c r="C30" s="1096">
        <v>389606.86</v>
      </c>
      <c r="D30" s="1096">
        <f>T_2_kiadás!C42</f>
        <v>440628</v>
      </c>
      <c r="E30" s="1096">
        <f>T_2_kiadás!D42</f>
        <v>698379</v>
      </c>
      <c r="F30" s="1096">
        <f>T_2_kiadás!E42</f>
        <v>187466.78100000002</v>
      </c>
      <c r="G30" s="814">
        <f>F30/E30*100</f>
        <v>26.84312973328236</v>
      </c>
      <c r="H30" s="1093">
        <v>11</v>
      </c>
      <c r="I30" s="807" t="s">
        <v>993</v>
      </c>
      <c r="J30" s="2003">
        <v>50508</v>
      </c>
      <c r="K30" s="2003">
        <f>T_3_bevétel!C86</f>
        <v>0</v>
      </c>
      <c r="L30" s="2003">
        <f>T_3_bevétel!D86</f>
        <v>31900.55</v>
      </c>
      <c r="M30" s="2003">
        <f>T_3_bevétel!E86</f>
        <v>31900.55</v>
      </c>
      <c r="N30" s="815">
        <f>M30/L30*100</f>
        <v>100</v>
      </c>
      <c r="O30" s="1158"/>
      <c r="P30" s="1158"/>
      <c r="Q30" s="808"/>
    </row>
    <row r="31" spans="1:18" ht="24.95" customHeight="1" thickBot="1" x14ac:dyDescent="0.3">
      <c r="A31" s="1100">
        <v>15</v>
      </c>
      <c r="B31" s="1101" t="s">
        <v>136</v>
      </c>
      <c r="C31" s="1102"/>
      <c r="D31" s="1096">
        <f>'4.tábla'!DS30-D21-D22</f>
        <v>2088119</v>
      </c>
      <c r="E31" s="1096">
        <f>'4.tábla'!DT30-E21-E22</f>
        <v>781920.99999999988</v>
      </c>
      <c r="F31" s="1102"/>
      <c r="G31" s="814">
        <v>0</v>
      </c>
      <c r="H31" s="1104"/>
      <c r="I31" s="1121"/>
      <c r="J31" s="1120"/>
      <c r="K31" s="1120"/>
      <c r="L31" s="1120"/>
      <c r="M31" s="1120"/>
      <c r="N31" s="815"/>
      <c r="O31" s="1109" t="s">
        <v>1099</v>
      </c>
      <c r="P31" s="1158"/>
      <c r="Q31" s="808"/>
    </row>
    <row r="32" spans="1:18" ht="17.100000000000001" customHeight="1" x14ac:dyDescent="0.25">
      <c r="A32" s="2244" t="s">
        <v>306</v>
      </c>
      <c r="B32" s="1123" t="s">
        <v>64</v>
      </c>
      <c r="C32" s="1126"/>
      <c r="D32" s="1125"/>
      <c r="E32" s="1124"/>
      <c r="F32" s="1126"/>
      <c r="G32" s="1122"/>
      <c r="H32" s="2250" t="s">
        <v>306</v>
      </c>
      <c r="I32" s="1126" t="s">
        <v>65</v>
      </c>
      <c r="J32" s="1126"/>
      <c r="K32" s="1128"/>
      <c r="L32" s="1128"/>
      <c r="M32" s="1126"/>
      <c r="N32" s="1171"/>
      <c r="O32" s="1168" t="s">
        <v>153</v>
      </c>
      <c r="P32" s="2005" t="s">
        <v>683</v>
      </c>
      <c r="Q32" s="570" t="s">
        <v>196</v>
      </c>
    </row>
    <row r="33" spans="1:23" ht="17.100000000000001" customHeight="1" thickBot="1" x14ac:dyDescent="0.25">
      <c r="A33" s="2245"/>
      <c r="B33" s="1129" t="s">
        <v>572</v>
      </c>
      <c r="C33" s="1127">
        <v>3216506.7388499998</v>
      </c>
      <c r="D33" s="1127">
        <f>SUM(D26:D31)</f>
        <v>4677024</v>
      </c>
      <c r="E33" s="1127">
        <f>SUM(E26:E31)</f>
        <v>6760661.3319999995</v>
      </c>
      <c r="F33" s="1127">
        <f>SUM(F26:F31)</f>
        <v>3613134.8929999992</v>
      </c>
      <c r="G33" s="813">
        <f>F33/E33*100</f>
        <v>53.443512632382216</v>
      </c>
      <c r="H33" s="2251"/>
      <c r="I33" s="1127" t="s">
        <v>572</v>
      </c>
      <c r="J33" s="1127">
        <v>1731351.581</v>
      </c>
      <c r="K33" s="1127">
        <f>SUM(K26:K32)</f>
        <v>1574150</v>
      </c>
      <c r="L33" s="1127">
        <f>SUM(L26:L32)</f>
        <v>1921710.7550000001</v>
      </c>
      <c r="M33" s="1127">
        <f>SUM(M26:M32)</f>
        <v>1181737.67</v>
      </c>
      <c r="N33" s="816">
        <f>M33/L33*100</f>
        <v>61.494044664385505</v>
      </c>
      <c r="O33" s="1169">
        <f>K33-D33</f>
        <v>-3102874</v>
      </c>
      <c r="P33" s="1166">
        <f>L33-E33</f>
        <v>-4838950.5769999996</v>
      </c>
      <c r="Q33" s="1167">
        <f>M33-F33</f>
        <v>-2431397.2229999993</v>
      </c>
      <c r="T33" s="799"/>
    </row>
    <row r="34" spans="1:23" ht="9.9499999999999993" customHeight="1" thickBot="1" x14ac:dyDescent="0.25">
      <c r="A34" s="1132"/>
      <c r="B34" s="1133"/>
      <c r="C34" s="1130"/>
      <c r="D34" s="1134"/>
      <c r="E34" s="1130"/>
      <c r="F34" s="1130"/>
      <c r="G34" s="1131"/>
      <c r="H34" s="1136"/>
      <c r="I34" s="1130"/>
      <c r="J34" s="1130"/>
      <c r="K34" s="1130"/>
      <c r="L34" s="1130"/>
      <c r="M34" s="1130"/>
      <c r="N34" s="1172"/>
      <c r="O34" s="1159"/>
      <c r="P34" s="1159"/>
      <c r="Q34" s="1159"/>
      <c r="S34" s="799"/>
    </row>
    <row r="35" spans="1:23" s="799" customFormat="1" ht="17.100000000000001" customHeight="1" thickBot="1" x14ac:dyDescent="0.3">
      <c r="A35" s="2240" t="s">
        <v>9</v>
      </c>
      <c r="B35" s="1137" t="s">
        <v>66</v>
      </c>
      <c r="C35" s="1140"/>
      <c r="D35" s="1139"/>
      <c r="E35" s="1138"/>
      <c r="F35" s="1140"/>
      <c r="G35" s="1135"/>
      <c r="H35" s="2242" t="s">
        <v>9</v>
      </c>
      <c r="I35" s="1142" t="s">
        <v>67</v>
      </c>
      <c r="J35" s="1140"/>
      <c r="K35" s="1143"/>
      <c r="L35" s="1143"/>
      <c r="M35" s="1140"/>
      <c r="N35" s="1173"/>
      <c r="O35" s="1168" t="s">
        <v>153</v>
      </c>
      <c r="P35" s="2005" t="s">
        <v>683</v>
      </c>
      <c r="Q35" s="570" t="s">
        <v>196</v>
      </c>
      <c r="S35" s="800"/>
      <c r="T35" s="800"/>
      <c r="U35" s="800"/>
      <c r="V35" s="800"/>
      <c r="W35" s="800"/>
    </row>
    <row r="36" spans="1:23" ht="17.100000000000001" customHeight="1" thickBot="1" x14ac:dyDescent="0.25">
      <c r="A36" s="2241"/>
      <c r="B36" s="1144" t="s">
        <v>546</v>
      </c>
      <c r="C36" s="1141">
        <v>15588041.560365001</v>
      </c>
      <c r="D36" s="1141">
        <f>D24+D33</f>
        <v>18226012.34</v>
      </c>
      <c r="E36" s="1141">
        <f>E24+E33</f>
        <v>21542538.386</v>
      </c>
      <c r="F36" s="1141">
        <f>F24+F33</f>
        <v>16316604.278999999</v>
      </c>
      <c r="G36" s="813">
        <f>F36/E36*100</f>
        <v>75.741326238526213</v>
      </c>
      <c r="H36" s="2243"/>
      <c r="I36" s="1145" t="s">
        <v>546</v>
      </c>
      <c r="J36" s="1141">
        <v>16691025.422110002</v>
      </c>
      <c r="K36" s="1141">
        <f>K24+K33</f>
        <v>16375722.34</v>
      </c>
      <c r="L36" s="1141">
        <f>L24+L33</f>
        <v>17021198.072999999</v>
      </c>
      <c r="M36" s="1141">
        <f>M24+M33</f>
        <v>16603801.876999998</v>
      </c>
      <c r="N36" s="816">
        <f>M36/L36*100</f>
        <v>97.547786035918946</v>
      </c>
      <c r="O36" s="1169">
        <f>K36-D36</f>
        <v>-1850290</v>
      </c>
      <c r="P36" s="1169">
        <f>L36-E36</f>
        <v>-4521340.313000001</v>
      </c>
      <c r="Q36" s="1167">
        <f>M36-F36</f>
        <v>287197.5979999993</v>
      </c>
      <c r="U36" s="799"/>
      <c r="V36" s="799"/>
      <c r="W36" s="799"/>
    </row>
    <row r="37" spans="1:23" ht="9.9499999999999993" customHeight="1" x14ac:dyDescent="0.25">
      <c r="A37" s="1132"/>
      <c r="B37" s="1133"/>
      <c r="C37" s="1964"/>
      <c r="D37" s="1134"/>
      <c r="E37" s="1130"/>
      <c r="F37" s="1130"/>
      <c r="G37" s="1131"/>
      <c r="H37" s="1146"/>
      <c r="I37" s="1147"/>
      <c r="J37" s="1651"/>
      <c r="K37" s="1118"/>
      <c r="L37" s="1118"/>
      <c r="M37" s="1118"/>
      <c r="N37" s="815"/>
      <c r="O37" s="1160"/>
      <c r="P37" s="1160"/>
      <c r="Q37" s="1148"/>
    </row>
    <row r="38" spans="1:23" ht="17.100000000000001" customHeight="1" x14ac:dyDescent="0.25">
      <c r="A38" s="1132"/>
      <c r="B38" s="1133"/>
      <c r="C38" s="1964"/>
      <c r="D38" s="1134"/>
      <c r="E38" s="1130"/>
      <c r="F38" s="1130"/>
      <c r="G38" s="1131"/>
      <c r="H38" s="1650">
        <v>12</v>
      </c>
      <c r="I38" s="1651" t="s">
        <v>914</v>
      </c>
      <c r="J38" s="1119">
        <v>870320.09100000001</v>
      </c>
      <c r="K38" s="1119">
        <f>'5.tábla'!DS91</f>
        <v>523119</v>
      </c>
      <c r="L38" s="1119">
        <f>'5.tábla'!DT91</f>
        <v>1273902.0049999999</v>
      </c>
      <c r="M38" s="1119">
        <f>'5.tábla'!DU91</f>
        <v>1273902.0049999999</v>
      </c>
      <c r="N38" s="815">
        <f>M38/L38*100</f>
        <v>100</v>
      </c>
      <c r="O38" s="1652"/>
      <c r="P38" s="1652"/>
      <c r="Q38" s="1653"/>
    </row>
    <row r="39" spans="1:23" ht="17.100000000000001" customHeight="1" x14ac:dyDescent="0.25">
      <c r="A39" s="1150">
        <v>16</v>
      </c>
      <c r="B39" s="1665" t="s">
        <v>1088</v>
      </c>
      <c r="C39" s="1130"/>
      <c r="D39" s="1134"/>
      <c r="E39" s="1130"/>
      <c r="F39" s="1130"/>
      <c r="G39" s="1131"/>
      <c r="H39" s="1650">
        <v>13</v>
      </c>
      <c r="I39" s="1665" t="s">
        <v>1089</v>
      </c>
      <c r="J39" s="1119"/>
      <c r="K39" s="1119"/>
      <c r="L39" s="1119"/>
      <c r="M39" s="1119"/>
      <c r="N39" s="815"/>
      <c r="O39" s="1652"/>
      <c r="P39" s="1652"/>
      <c r="Q39" s="1653"/>
    </row>
    <row r="40" spans="1:23" ht="17.100000000000001" customHeight="1" thickBot="1" x14ac:dyDescent="0.3">
      <c r="A40" s="1666">
        <v>17</v>
      </c>
      <c r="B40" s="1651" t="s">
        <v>1345</v>
      </c>
      <c r="C40" s="1119">
        <v>54061.391000000003</v>
      </c>
      <c r="D40" s="1119">
        <f>T_2_kiadás!C51</f>
        <v>66267</v>
      </c>
      <c r="E40" s="1119">
        <f>T_2_kiadás!D51</f>
        <v>109727.535</v>
      </c>
      <c r="F40" s="1119">
        <f>T_2_kiadás!E51</f>
        <v>109727.535</v>
      </c>
      <c r="G40" s="814">
        <f>F40/E40*100</f>
        <v>100</v>
      </c>
      <c r="H40" s="1667">
        <v>14</v>
      </c>
      <c r="I40" s="1651" t="s">
        <v>1344</v>
      </c>
      <c r="J40" s="1119">
        <v>66267.035000000003</v>
      </c>
      <c r="K40" s="1119"/>
      <c r="L40" s="1119">
        <f>T_3_bevétel!D93</f>
        <v>43460.5</v>
      </c>
      <c r="M40" s="1119">
        <f>T_3_bevétel!E93</f>
        <v>82901.19</v>
      </c>
      <c r="N40" s="815">
        <v>0</v>
      </c>
      <c r="O40" s="1159"/>
      <c r="P40" s="1159"/>
      <c r="Q40" s="1149"/>
    </row>
    <row r="41" spans="1:23" ht="17.100000000000001" customHeight="1" thickBot="1" x14ac:dyDescent="0.3">
      <c r="A41" s="2248" t="s">
        <v>380</v>
      </c>
      <c r="B41" s="1110" t="s">
        <v>915</v>
      </c>
      <c r="C41" s="1111"/>
      <c r="D41" s="1111"/>
      <c r="E41" s="1111"/>
      <c r="F41" s="1111"/>
      <c r="G41" s="1671"/>
      <c r="H41" s="2249" t="s">
        <v>380</v>
      </c>
      <c r="I41" s="1114" t="s">
        <v>916</v>
      </c>
      <c r="J41" s="1115"/>
      <c r="K41" s="1115"/>
      <c r="L41" s="1115"/>
      <c r="M41" s="1115"/>
      <c r="N41" s="1173"/>
      <c r="O41" s="1168" t="s">
        <v>153</v>
      </c>
      <c r="P41" s="2005" t="s">
        <v>683</v>
      </c>
      <c r="Q41" s="570" t="s">
        <v>196</v>
      </c>
      <c r="T41" s="799"/>
    </row>
    <row r="42" spans="1:23" ht="17.100000000000001" customHeight="1" thickBot="1" x14ac:dyDescent="0.25">
      <c r="A42" s="2248"/>
      <c r="B42" s="1676" t="s">
        <v>572</v>
      </c>
      <c r="C42" s="1113">
        <v>54061.391000000003</v>
      </c>
      <c r="D42" s="1113">
        <f>SUM(D38:D40)</f>
        <v>66267</v>
      </c>
      <c r="E42" s="1113">
        <f>SUM(E38:E40)</f>
        <v>109727.535</v>
      </c>
      <c r="F42" s="1113">
        <f>SUM(F38:F40)</f>
        <v>109727.535</v>
      </c>
      <c r="G42" s="813">
        <v>0</v>
      </c>
      <c r="H42" s="2249"/>
      <c r="I42" s="1675" t="s">
        <v>572</v>
      </c>
      <c r="J42" s="1113">
        <v>936587.12600000005</v>
      </c>
      <c r="K42" s="1113">
        <f>SUM(K38:K40)</f>
        <v>523119</v>
      </c>
      <c r="L42" s="1113">
        <f>SUM(L38:L40)</f>
        <v>1317362.5049999999</v>
      </c>
      <c r="M42" s="1113">
        <f>SUM(M38:M40)</f>
        <v>1356803.1949999998</v>
      </c>
      <c r="N42" s="816">
        <f>M42/L42*100</f>
        <v>102.99391320538609</v>
      </c>
      <c r="O42" s="1169">
        <f>K42-D42</f>
        <v>456852</v>
      </c>
      <c r="P42" s="1169">
        <f>L42-E42</f>
        <v>1207634.97</v>
      </c>
      <c r="Q42" s="1167">
        <f>M42-F42</f>
        <v>1247075.6599999999</v>
      </c>
      <c r="T42" s="799"/>
    </row>
    <row r="43" spans="1:23" ht="9.9499999999999993" customHeight="1" x14ac:dyDescent="0.2">
      <c r="A43" s="1132"/>
      <c r="B43" s="1133"/>
      <c r="C43" s="1133"/>
      <c r="D43" s="1095"/>
      <c r="E43" s="1095"/>
      <c r="F43" s="1095"/>
      <c r="G43" s="814"/>
      <c r="H43" s="1650"/>
      <c r="I43" s="1668"/>
      <c r="J43" s="1668"/>
      <c r="K43" s="1130"/>
      <c r="L43" s="1130"/>
      <c r="M43" s="1130"/>
      <c r="N43" s="1172"/>
      <c r="O43" s="1669"/>
      <c r="P43" s="1669"/>
      <c r="Q43" s="1670"/>
      <c r="R43" s="799"/>
      <c r="S43" s="799"/>
    </row>
    <row r="44" spans="1:23" ht="17.100000000000001" customHeight="1" x14ac:dyDescent="0.2">
      <c r="A44" s="1673"/>
      <c r="B44" s="1105"/>
      <c r="C44" s="1105"/>
      <c r="D44" s="1095"/>
      <c r="E44" s="1095"/>
      <c r="F44" s="1095"/>
      <c r="G44" s="1672"/>
      <c r="H44" s="1650">
        <v>15</v>
      </c>
      <c r="I44" s="1651" t="s">
        <v>920</v>
      </c>
      <c r="J44" s="1119">
        <v>4336737.4060000004</v>
      </c>
      <c r="K44" s="1119">
        <f>'5.tábla'!DS92</f>
        <v>743438</v>
      </c>
      <c r="L44" s="1119">
        <f>'5.tábla'!DT92</f>
        <v>2663705</v>
      </c>
      <c r="M44" s="1119">
        <f>'5.tábla'!DU92</f>
        <v>2663705</v>
      </c>
      <c r="N44" s="815">
        <f>M44/L44*100</f>
        <v>100</v>
      </c>
      <c r="O44" s="1669"/>
      <c r="P44" s="1669"/>
      <c r="Q44" s="1670"/>
      <c r="R44" s="799"/>
      <c r="S44" s="799"/>
    </row>
    <row r="45" spans="1:23" ht="17.100000000000001" customHeight="1" x14ac:dyDescent="0.2">
      <c r="A45" s="1150">
        <v>18</v>
      </c>
      <c r="B45" s="1151" t="s">
        <v>547</v>
      </c>
      <c r="C45" s="1096">
        <v>6650000</v>
      </c>
      <c r="D45" s="1096">
        <f>T_2_kiadás!C50</f>
        <v>0</v>
      </c>
      <c r="E45" s="1096">
        <f>T_2_kiadás!D50</f>
        <v>7960052</v>
      </c>
      <c r="F45" s="1096">
        <f>T_2_kiadás!E50</f>
        <v>7960052</v>
      </c>
      <c r="G45" s="814">
        <f>F45/E45*100</f>
        <v>100</v>
      </c>
      <c r="H45" s="1650">
        <v>16</v>
      </c>
      <c r="I45" s="1668" t="s">
        <v>548</v>
      </c>
      <c r="J45" s="1119">
        <v>4265360</v>
      </c>
      <c r="K45" s="1119">
        <f>T_3_bevétel!C91</f>
        <v>650000</v>
      </c>
      <c r="L45" s="1119">
        <f>T_3_bevétel!D91</f>
        <v>8610052</v>
      </c>
      <c r="M45" s="1119">
        <f>T_3_bevétel!E91</f>
        <v>8175052</v>
      </c>
      <c r="N45" s="815">
        <f>M45/L45*100</f>
        <v>94.947765704550918</v>
      </c>
      <c r="O45" s="1669"/>
      <c r="P45" s="1669"/>
      <c r="Q45" s="1670"/>
      <c r="R45" s="799"/>
      <c r="S45" s="799"/>
    </row>
    <row r="46" spans="1:23" ht="17.100000000000001" customHeight="1" x14ac:dyDescent="0.2">
      <c r="A46" s="1673">
        <v>19</v>
      </c>
      <c r="B46" s="1105" t="s">
        <v>917</v>
      </c>
      <c r="C46" s="1095"/>
      <c r="D46" s="1095"/>
      <c r="E46" s="1095"/>
      <c r="F46" s="1095"/>
      <c r="G46" s="814"/>
      <c r="H46" s="1650">
        <v>17</v>
      </c>
      <c r="I46" s="1651" t="s">
        <v>393</v>
      </c>
      <c r="J46" s="2004"/>
      <c r="K46" s="1119"/>
      <c r="L46" s="1119"/>
      <c r="M46" s="1119"/>
      <c r="N46" s="1172"/>
      <c r="O46" s="1669"/>
      <c r="P46" s="1669"/>
      <c r="Q46" s="1670"/>
      <c r="R46" s="799"/>
      <c r="S46" s="799"/>
    </row>
    <row r="47" spans="1:23" s="799" customFormat="1" ht="30" customHeight="1" x14ac:dyDescent="0.2">
      <c r="A47" s="1674">
        <v>20</v>
      </c>
      <c r="B47" s="1651" t="s">
        <v>918</v>
      </c>
      <c r="C47" s="1651"/>
      <c r="D47" s="1891"/>
      <c r="E47" s="1891"/>
      <c r="F47" s="1891"/>
      <c r="G47" s="1892"/>
      <c r="H47" s="1667">
        <v>18</v>
      </c>
      <c r="I47" s="1651" t="s">
        <v>919</v>
      </c>
      <c r="J47" s="2004"/>
      <c r="K47" s="1119"/>
      <c r="L47" s="1119"/>
      <c r="M47" s="1119"/>
      <c r="N47" s="1172"/>
      <c r="O47" s="1670"/>
      <c r="P47" s="1670"/>
      <c r="Q47" s="808"/>
      <c r="R47" s="800"/>
      <c r="S47" s="800"/>
      <c r="T47" s="800"/>
      <c r="U47" s="800"/>
      <c r="V47" s="800"/>
      <c r="W47" s="800"/>
    </row>
    <row r="48" spans="1:23" s="799" customFormat="1" ht="20.100000000000001" customHeight="1" thickBot="1" x14ac:dyDescent="0.25">
      <c r="A48" s="1666">
        <v>21</v>
      </c>
      <c r="B48" s="1651" t="s">
        <v>1088</v>
      </c>
      <c r="C48" s="1651"/>
      <c r="D48" s="1891"/>
      <c r="E48" s="1891"/>
      <c r="F48" s="1891"/>
      <c r="G48" s="1892"/>
      <c r="H48" s="1667">
        <v>19</v>
      </c>
      <c r="I48" s="1651" t="s">
        <v>1089</v>
      </c>
      <c r="J48" s="1119">
        <v>0</v>
      </c>
      <c r="K48" s="1119">
        <f>T_3_bevétel!C94</f>
        <v>0</v>
      </c>
      <c r="L48" s="1119">
        <f>T_3_bevétel!D94</f>
        <v>0</v>
      </c>
      <c r="M48" s="1119">
        <f>T_3_bevétel!E94</f>
        <v>0</v>
      </c>
      <c r="N48" s="1966">
        <v>0</v>
      </c>
      <c r="O48" s="1670"/>
      <c r="P48" s="1670"/>
      <c r="Q48" s="808"/>
      <c r="R48" s="800"/>
      <c r="S48" s="800"/>
      <c r="T48" s="800"/>
      <c r="U48" s="800"/>
      <c r="V48" s="800"/>
      <c r="W48" s="800"/>
    </row>
    <row r="49" spans="1:23" ht="17.100000000000001" customHeight="1" thickBot="1" x14ac:dyDescent="0.3">
      <c r="A49" s="2248" t="s">
        <v>381</v>
      </c>
      <c r="B49" s="1110" t="s">
        <v>921</v>
      </c>
      <c r="C49" s="1110"/>
      <c r="D49" s="1111"/>
      <c r="E49" s="1111"/>
      <c r="F49" s="1111"/>
      <c r="G49" s="1671"/>
      <c r="H49" s="2249" t="s">
        <v>381</v>
      </c>
      <c r="I49" s="1114" t="s">
        <v>922</v>
      </c>
      <c r="J49" s="1965"/>
      <c r="K49" s="1115"/>
      <c r="L49" s="1115"/>
      <c r="M49" s="1115"/>
      <c r="N49" s="1173"/>
      <c r="O49" s="1168" t="s">
        <v>153</v>
      </c>
      <c r="P49" s="2005" t="s">
        <v>683</v>
      </c>
      <c r="Q49" s="570" t="s">
        <v>196</v>
      </c>
      <c r="S49" s="799"/>
      <c r="T49" s="799"/>
      <c r="U49" s="799"/>
      <c r="V49" s="799"/>
      <c r="W49" s="799"/>
    </row>
    <row r="50" spans="1:23" ht="17.100000000000001" customHeight="1" thickBot="1" x14ac:dyDescent="0.25">
      <c r="A50" s="2248"/>
      <c r="B50" s="1676" t="s">
        <v>572</v>
      </c>
      <c r="C50" s="1113">
        <v>6650000</v>
      </c>
      <c r="D50" s="1113">
        <f>SUM(D45:D47)</f>
        <v>0</v>
      </c>
      <c r="E50" s="1113">
        <f>SUM(E45:E47)</f>
        <v>7960052</v>
      </c>
      <c r="F50" s="1113">
        <f>SUM(F45:F47)</f>
        <v>7960052</v>
      </c>
      <c r="G50" s="813">
        <v>0</v>
      </c>
      <c r="H50" s="2249"/>
      <c r="I50" s="1675" t="s">
        <v>572</v>
      </c>
      <c r="J50" s="1113">
        <v>8602097.4059999995</v>
      </c>
      <c r="K50" s="1113">
        <f>SUM(K44:K48)</f>
        <v>1393438</v>
      </c>
      <c r="L50" s="1113">
        <f>SUM(L44:L48)</f>
        <v>11273757</v>
      </c>
      <c r="M50" s="1113">
        <f>SUM(M44:M48)</f>
        <v>10838757</v>
      </c>
      <c r="N50" s="816">
        <f>M50/L50*100</f>
        <v>96.141481495476626</v>
      </c>
      <c r="O50" s="1169">
        <f>K50-D50</f>
        <v>1393438</v>
      </c>
      <c r="P50" s="1169">
        <f>L50-E50</f>
        <v>3313705</v>
      </c>
      <c r="Q50" s="1167">
        <f>M50-F50</f>
        <v>2878705</v>
      </c>
      <c r="S50" s="799"/>
      <c r="T50" s="799"/>
      <c r="U50" s="799"/>
      <c r="V50" s="799"/>
      <c r="W50" s="799"/>
    </row>
    <row r="51" spans="1:23" ht="9.9499999999999993" customHeight="1" thickBot="1" x14ac:dyDescent="0.25">
      <c r="A51" s="1132"/>
      <c r="B51" s="1152"/>
      <c r="C51" s="1175"/>
      <c r="D51" s="1153"/>
      <c r="E51" s="1103"/>
      <c r="F51" s="1175"/>
      <c r="G51" s="1178"/>
      <c r="H51" s="1154"/>
      <c r="I51" s="1155"/>
      <c r="J51" s="1130"/>
      <c r="K51" s="1130"/>
      <c r="L51" s="1130"/>
      <c r="M51" s="1130"/>
      <c r="N51" s="1174"/>
      <c r="O51" s="1156"/>
      <c r="P51" s="1156"/>
      <c r="Q51" s="1156"/>
      <c r="S51" s="799"/>
      <c r="T51" s="799"/>
    </row>
    <row r="52" spans="1:23" ht="24.95" customHeight="1" thickBot="1" x14ac:dyDescent="0.25">
      <c r="A52" s="2240" t="s">
        <v>588</v>
      </c>
      <c r="B52" s="1137" t="s">
        <v>589</v>
      </c>
      <c r="C52" s="1176"/>
      <c r="D52" s="1139"/>
      <c r="E52" s="1138"/>
      <c r="F52" s="1176"/>
      <c r="G52" s="1179"/>
      <c r="H52" s="2242" t="s">
        <v>588</v>
      </c>
      <c r="I52" s="1142" t="s">
        <v>590</v>
      </c>
      <c r="J52" s="1140"/>
      <c r="K52" s="1143"/>
      <c r="L52" s="1143"/>
      <c r="M52" s="1140"/>
      <c r="N52" s="1173"/>
      <c r="O52" s="2006" t="s">
        <v>153</v>
      </c>
      <c r="P52" s="2007" t="s">
        <v>683</v>
      </c>
      <c r="Q52" s="2008" t="s">
        <v>196</v>
      </c>
      <c r="R52" s="799"/>
      <c r="U52" s="799"/>
      <c r="V52" s="799"/>
      <c r="W52" s="799"/>
    </row>
    <row r="53" spans="1:23" ht="17.100000000000001" customHeight="1" thickBot="1" x14ac:dyDescent="0.25">
      <c r="A53" s="2241"/>
      <c r="B53" s="1144" t="s">
        <v>1140</v>
      </c>
      <c r="C53" s="1141">
        <v>22292102.951365001</v>
      </c>
      <c r="D53" s="1141">
        <f>D36+D42+D50</f>
        <v>18292279.34</v>
      </c>
      <c r="E53" s="1141">
        <f>E36+E42+E50</f>
        <v>29612317.921</v>
      </c>
      <c r="F53" s="1141">
        <f>F36+F42+F50</f>
        <v>24386383.813999999</v>
      </c>
      <c r="G53" s="1177">
        <f>F53/E53*100</f>
        <v>82.352161283213988</v>
      </c>
      <c r="H53" s="2243"/>
      <c r="I53" s="1145" t="s">
        <v>1141</v>
      </c>
      <c r="J53" s="1141">
        <v>26229709.95411</v>
      </c>
      <c r="K53" s="1141">
        <f>K36+K42+K50</f>
        <v>18292279.34</v>
      </c>
      <c r="L53" s="1141">
        <f>L36+L42+L50</f>
        <v>29612317.577999998</v>
      </c>
      <c r="M53" s="1141">
        <f>M36+M42+M50</f>
        <v>28799362.071999997</v>
      </c>
      <c r="N53" s="816">
        <f>M53/L53*100</f>
        <v>97.254671121709251</v>
      </c>
      <c r="O53" s="1169">
        <f>K53-D53</f>
        <v>0</v>
      </c>
      <c r="P53" s="1169">
        <f>L53-E53</f>
        <v>-0.34300000220537186</v>
      </c>
      <c r="Q53" s="1167">
        <f>M53-F53</f>
        <v>4412978.2579999976</v>
      </c>
    </row>
    <row r="54" spans="1:23" ht="16.5" hidden="1" customHeight="1" x14ac:dyDescent="0.2">
      <c r="I54" s="803"/>
      <c r="J54" s="803"/>
      <c r="L54" s="1157"/>
      <c r="M54" s="809"/>
      <c r="N54" s="810"/>
    </row>
    <row r="55" spans="1:23" hidden="1" x14ac:dyDescent="0.2">
      <c r="L55" s="810">
        <f>L53-E53</f>
        <v>-0.34300000220537186</v>
      </c>
      <c r="M55" s="810">
        <f>M53-F53</f>
        <v>4412978.2579999976</v>
      </c>
      <c r="Q55" s="810">
        <f>Q24+Q33</f>
        <v>287197.5979999993</v>
      </c>
      <c r="R55" s="800" t="s">
        <v>549</v>
      </c>
    </row>
    <row r="56" spans="1:23" hidden="1" x14ac:dyDescent="0.2">
      <c r="Q56" s="810">
        <f>Q55+Q42+Q50</f>
        <v>4412978.2579999994</v>
      </c>
      <c r="R56" s="800" t="s">
        <v>550</v>
      </c>
    </row>
    <row r="57" spans="1:23" hidden="1" x14ac:dyDescent="0.2"/>
  </sheetData>
  <mergeCells count="14">
    <mergeCell ref="A41:A42"/>
    <mergeCell ref="H41:H42"/>
    <mergeCell ref="A49:A50"/>
    <mergeCell ref="H49:H50"/>
    <mergeCell ref="A52:A53"/>
    <mergeCell ref="H52:H53"/>
    <mergeCell ref="A35:A36"/>
    <mergeCell ref="H35:H36"/>
    <mergeCell ref="A32:A33"/>
    <mergeCell ref="A5:N5"/>
    <mergeCell ref="A6:N6"/>
    <mergeCell ref="A23:A24"/>
    <mergeCell ref="H23:H24"/>
    <mergeCell ref="H32:H33"/>
  </mergeCells>
  <phoneticPr fontId="84" type="noConversion"/>
  <printOptions horizontalCentered="1" verticalCentered="1"/>
  <pageMargins left="0.15748031496062992" right="0.15748031496062992" top="0.43307086614173229" bottom="0.47244094488188981" header="0.15748031496062992" footer="0.19685039370078741"/>
  <pageSetup paperSize="9" scale="55" orientation="landscape" r:id="rId1"/>
  <headerFooter alignWithMargins="0"/>
  <colBreaks count="1" manualBreakCount="1">
    <brk id="17" min="1" max="4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F2" sqref="F2"/>
    </sheetView>
  </sheetViews>
  <sheetFormatPr defaultRowHeight="12.75" x14ac:dyDescent="0.2"/>
  <cols>
    <col min="1" max="1" width="8" style="32" customWidth="1"/>
    <col min="2" max="2" width="55.7109375" style="32" customWidth="1"/>
    <col min="3" max="3" width="15.7109375" style="32" customWidth="1"/>
    <col min="4" max="4" width="15.7109375" style="31" customWidth="1"/>
    <col min="5" max="6" width="15.7109375" style="32" customWidth="1"/>
    <col min="7" max="7" width="9.140625" style="32"/>
    <col min="8" max="8" width="13.42578125" style="32" customWidth="1"/>
    <col min="9" max="16384" width="9.140625" style="32"/>
  </cols>
  <sheetData>
    <row r="1" spans="1:17" ht="8.25" customHeight="1" x14ac:dyDescent="0.2">
      <c r="A1" s="122"/>
      <c r="B1" s="122"/>
      <c r="C1" s="122"/>
      <c r="D1" s="123"/>
      <c r="E1" s="122"/>
      <c r="F1" s="122"/>
    </row>
    <row r="2" spans="1:17" x14ac:dyDescent="0.2">
      <c r="A2" s="1588"/>
      <c r="B2" s="122"/>
      <c r="C2" s="122"/>
      <c r="D2" s="123"/>
      <c r="E2" s="122"/>
      <c r="F2" s="637" t="s">
        <v>1191</v>
      </c>
    </row>
    <row r="3" spans="1:17" x14ac:dyDescent="0.2">
      <c r="A3" s="122"/>
      <c r="B3" s="122"/>
      <c r="C3" s="122"/>
      <c r="D3" s="123"/>
      <c r="E3" s="122"/>
      <c r="F3" s="637" t="s">
        <v>57</v>
      </c>
    </row>
    <row r="4" spans="1:17" hidden="1" x14ac:dyDescent="0.2">
      <c r="A4" s="122"/>
      <c r="B4" s="122"/>
      <c r="C4" s="122"/>
      <c r="D4" s="123"/>
      <c r="E4" s="122"/>
      <c r="F4" s="637" t="s">
        <v>582</v>
      </c>
    </row>
    <row r="5" spans="1:17" x14ac:dyDescent="0.2">
      <c r="A5" s="122"/>
      <c r="B5" s="122"/>
      <c r="C5" s="122"/>
      <c r="D5" s="123"/>
      <c r="E5" s="122"/>
      <c r="F5" s="637"/>
    </row>
    <row r="6" spans="1:17" x14ac:dyDescent="0.2">
      <c r="A6" s="122"/>
      <c r="B6" s="122"/>
      <c r="C6" s="122"/>
      <c r="D6" s="123"/>
      <c r="E6" s="122"/>
      <c r="F6" s="122"/>
    </row>
    <row r="7" spans="1:17" ht="18.75" x14ac:dyDescent="0.3">
      <c r="A7" s="2252" t="s">
        <v>1192</v>
      </c>
      <c r="B7" s="2252"/>
      <c r="C7" s="2252"/>
      <c r="D7" s="2252"/>
      <c r="E7" s="2252"/>
      <c r="F7" s="2252"/>
    </row>
    <row r="8" spans="1:17" ht="15.75" x14ac:dyDescent="0.25">
      <c r="A8" s="2253" t="s">
        <v>58</v>
      </c>
      <c r="B8" s="2253"/>
      <c r="C8" s="2253"/>
      <c r="D8" s="2253"/>
      <c r="E8" s="2253"/>
      <c r="F8" s="2253"/>
    </row>
    <row r="9" spans="1:17" ht="33" customHeight="1" thickBot="1" x14ac:dyDescent="0.25">
      <c r="A9" s="122"/>
      <c r="B9" s="122"/>
      <c r="C9" s="122"/>
      <c r="D9" s="123"/>
      <c r="E9" s="122"/>
      <c r="F9" s="122"/>
    </row>
    <row r="10" spans="1:17" x14ac:dyDescent="0.2">
      <c r="A10" s="1589" t="s">
        <v>571</v>
      </c>
      <c r="B10" s="1590" t="s">
        <v>571</v>
      </c>
      <c r="C10" s="1591" t="s">
        <v>1181</v>
      </c>
      <c r="D10" s="1592" t="s">
        <v>1181</v>
      </c>
      <c r="E10" s="1592" t="s">
        <v>1181</v>
      </c>
      <c r="F10" s="1593" t="s">
        <v>1181</v>
      </c>
    </row>
    <row r="11" spans="1:17" x14ac:dyDescent="0.2">
      <c r="A11" s="1594" t="s">
        <v>141</v>
      </c>
      <c r="B11" s="1595" t="s">
        <v>591</v>
      </c>
      <c r="C11" s="1596" t="s">
        <v>657</v>
      </c>
      <c r="D11" s="1597" t="s">
        <v>658</v>
      </c>
      <c r="E11" s="1598" t="s">
        <v>143</v>
      </c>
      <c r="F11" s="1599" t="s">
        <v>143</v>
      </c>
    </row>
    <row r="12" spans="1:17" ht="13.5" thickBot="1" x14ac:dyDescent="0.25">
      <c r="A12" s="1600"/>
      <c r="B12" s="1601"/>
      <c r="C12" s="1602" t="s">
        <v>8</v>
      </c>
      <c r="D12" s="1603" t="s">
        <v>8</v>
      </c>
      <c r="E12" s="1604"/>
      <c r="F12" s="1605" t="s">
        <v>197</v>
      </c>
    </row>
    <row r="13" spans="1:17" x14ac:dyDescent="0.2">
      <c r="A13" s="1606">
        <v>1</v>
      </c>
      <c r="B13" s="1607">
        <v>2</v>
      </c>
      <c r="C13" s="1608">
        <v>3</v>
      </c>
      <c r="D13" s="1608">
        <v>4</v>
      </c>
      <c r="E13" s="1608">
        <v>5</v>
      </c>
      <c r="F13" s="1608">
        <v>6</v>
      </c>
    </row>
    <row r="14" spans="1:17" ht="24.95" customHeight="1" x14ac:dyDescent="0.2">
      <c r="A14" s="1609" t="s">
        <v>327</v>
      </c>
      <c r="B14" s="1627" t="s">
        <v>738</v>
      </c>
      <c r="C14" s="1617">
        <f>C15+C16+C17+C19+C20</f>
        <v>15637107.34</v>
      </c>
      <c r="D14" s="1617">
        <f>D15+D16+D17+D19+D20</f>
        <v>15563798.054</v>
      </c>
      <c r="E14" s="1617">
        <f>E15+E16+E17+E19+E20</f>
        <v>12703469.386</v>
      </c>
      <c r="F14" s="1618">
        <f t="shared" ref="F14:F22" si="0">E14/D14*100</f>
        <v>81.621910936676045</v>
      </c>
      <c r="G14" s="3"/>
      <c r="H14" s="3"/>
      <c r="J14" s="3"/>
      <c r="K14" s="3"/>
      <c r="L14" s="3"/>
      <c r="M14" s="3"/>
      <c r="N14" s="3"/>
      <c r="O14" s="3"/>
      <c r="P14" s="3"/>
      <c r="Q14" s="3"/>
    </row>
    <row r="15" spans="1:17" ht="17.100000000000001" customHeight="1" x14ac:dyDescent="0.2">
      <c r="A15" s="1610" t="s">
        <v>592</v>
      </c>
      <c r="B15" s="1611" t="s">
        <v>630</v>
      </c>
      <c r="C15" s="1612">
        <f>'4.tábla'!DS15</f>
        <v>5234900.07</v>
      </c>
      <c r="D15" s="1612">
        <f>'4.tábla'!DT15</f>
        <v>5458128.6389999995</v>
      </c>
      <c r="E15" s="1612">
        <f>'4.tábla'!DU15</f>
        <v>5116507.5469999993</v>
      </c>
      <c r="F15" s="1613">
        <f t="shared" si="0"/>
        <v>93.741058252841228</v>
      </c>
    </row>
    <row r="16" spans="1:17" ht="17.100000000000001" customHeight="1" x14ac:dyDescent="0.2">
      <c r="A16" s="1610" t="s">
        <v>593</v>
      </c>
      <c r="B16" s="1611" t="s">
        <v>631</v>
      </c>
      <c r="C16" s="1612">
        <f>'4.tábla'!DS16</f>
        <v>1270201.9180000001</v>
      </c>
      <c r="D16" s="1612">
        <f>'4.tábla'!DT16</f>
        <v>1382043.0759999999</v>
      </c>
      <c r="E16" s="1612">
        <f>'4.tábla'!DU16</f>
        <v>1237823.5890000002</v>
      </c>
      <c r="F16" s="1613">
        <f t="shared" si="0"/>
        <v>89.564761800521495</v>
      </c>
    </row>
    <row r="17" spans="1:6" ht="17.100000000000001" customHeight="1" x14ac:dyDescent="0.2">
      <c r="A17" s="1610" t="s">
        <v>594</v>
      </c>
      <c r="B17" s="1611" t="s">
        <v>632</v>
      </c>
      <c r="C17" s="1612">
        <f>'4.tábla'!DS17</f>
        <v>5762906.352</v>
      </c>
      <c r="D17" s="1612">
        <f>'4.tábla'!DT17</f>
        <v>6358452.8029999994</v>
      </c>
      <c r="E17" s="1612">
        <f>'4.tábla'!DU17</f>
        <v>5247222.2570000002</v>
      </c>
      <c r="F17" s="1613">
        <f t="shared" si="0"/>
        <v>82.523570113224608</v>
      </c>
    </row>
    <row r="18" spans="1:6" ht="17.100000000000001" customHeight="1" x14ac:dyDescent="0.2">
      <c r="A18" s="1610"/>
      <c r="B18" s="1614" t="s">
        <v>835</v>
      </c>
      <c r="C18" s="1612">
        <f>'4.tábla'!DS18</f>
        <v>0</v>
      </c>
      <c r="D18" s="1612">
        <f>'4.tábla'!DT18</f>
        <v>4948</v>
      </c>
      <c r="E18" s="1612">
        <f>'4.tábla'!DU18</f>
        <v>4948</v>
      </c>
      <c r="F18" s="1613">
        <f t="shared" si="0"/>
        <v>100</v>
      </c>
    </row>
    <row r="19" spans="1:6" ht="18" customHeight="1" x14ac:dyDescent="0.2">
      <c r="A19" s="1615" t="s">
        <v>595</v>
      </c>
      <c r="B19" s="1616" t="s">
        <v>85</v>
      </c>
      <c r="C19" s="1617">
        <f>'4.tábla'!DS19</f>
        <v>172850</v>
      </c>
      <c r="D19" s="1617">
        <f>'4.tábla'!DT19</f>
        <v>198425</v>
      </c>
      <c r="E19" s="1617">
        <f>'4.tábla'!DU19</f>
        <v>154740.51099999997</v>
      </c>
      <c r="F19" s="1618">
        <f t="shared" si="0"/>
        <v>77.984382512284228</v>
      </c>
    </row>
    <row r="20" spans="1:6" ht="15.75" x14ac:dyDescent="0.2">
      <c r="A20" s="1615" t="s">
        <v>39</v>
      </c>
      <c r="B20" s="1616" t="s">
        <v>543</v>
      </c>
      <c r="C20" s="1619">
        <f>SUM(C21:C30)</f>
        <v>3196249</v>
      </c>
      <c r="D20" s="1619">
        <f>SUM(D21:D30)</f>
        <v>2166748.5359999998</v>
      </c>
      <c r="E20" s="1619">
        <f>SUM(E21:E30)</f>
        <v>947175.48199999996</v>
      </c>
      <c r="F20" s="1809">
        <f t="shared" si="0"/>
        <v>43.714139701165585</v>
      </c>
    </row>
    <row r="21" spans="1:6" ht="17.100000000000001" customHeight="1" x14ac:dyDescent="0.2">
      <c r="A21" s="1620" t="s">
        <v>836</v>
      </c>
      <c r="B21" s="1621" t="s">
        <v>837</v>
      </c>
      <c r="C21" s="1612">
        <f>'4.tábla'!DS21</f>
        <v>0</v>
      </c>
      <c r="D21" s="1612">
        <f>'4.tábla'!DT21</f>
        <v>0</v>
      </c>
      <c r="E21" s="1612">
        <f>'4.tábla'!DU21</f>
        <v>0</v>
      </c>
      <c r="F21" s="1622">
        <v>0</v>
      </c>
    </row>
    <row r="22" spans="1:6" ht="17.100000000000001" customHeight="1" x14ac:dyDescent="0.2">
      <c r="A22" s="1620" t="s">
        <v>838</v>
      </c>
      <c r="B22" s="1621" t="s">
        <v>880</v>
      </c>
      <c r="C22" s="1612">
        <f>'4.tábla'!DS22</f>
        <v>150591</v>
      </c>
      <c r="D22" s="1612">
        <f>'4.tábla'!DT22</f>
        <v>240449.91800000001</v>
      </c>
      <c r="E22" s="1612">
        <f>'4.tábla'!DU22</f>
        <v>232449.91800000001</v>
      </c>
      <c r="F22" s="1613">
        <f t="shared" si="0"/>
        <v>96.672903835217767</v>
      </c>
    </row>
    <row r="23" spans="1:6" ht="17.100000000000001" customHeight="1" x14ac:dyDescent="0.2">
      <c r="A23" s="1620" t="s">
        <v>839</v>
      </c>
      <c r="B23" s="1621" t="s">
        <v>897</v>
      </c>
      <c r="C23" s="1612">
        <f>'4.tábla'!DS23</f>
        <v>0</v>
      </c>
      <c r="D23" s="1612">
        <f>'4.tábla'!DT23</f>
        <v>0</v>
      </c>
      <c r="E23" s="1612">
        <f>'4.tábla'!DU23</f>
        <v>0</v>
      </c>
      <c r="F23" s="1613">
        <v>0</v>
      </c>
    </row>
    <row r="24" spans="1:6" ht="17.100000000000001" customHeight="1" x14ac:dyDescent="0.2">
      <c r="A24" s="1620" t="s">
        <v>840</v>
      </c>
      <c r="B24" s="1621" t="s">
        <v>898</v>
      </c>
      <c r="C24" s="1612">
        <f>'4.tábla'!DS24</f>
        <v>0</v>
      </c>
      <c r="D24" s="1612">
        <f>'4.tábla'!DT24</f>
        <v>0</v>
      </c>
      <c r="E24" s="1612">
        <f>'4.tábla'!DU24</f>
        <v>0</v>
      </c>
      <c r="F24" s="1613">
        <v>0</v>
      </c>
    </row>
    <row r="25" spans="1:6" ht="17.100000000000001" customHeight="1" x14ac:dyDescent="0.2">
      <c r="A25" s="1620" t="s">
        <v>841</v>
      </c>
      <c r="B25" s="1621" t="s">
        <v>899</v>
      </c>
      <c r="C25" s="1612">
        <f>'4.tábla'!DS25</f>
        <v>0</v>
      </c>
      <c r="D25" s="1612">
        <f>'4.tábla'!DT25</f>
        <v>0</v>
      </c>
      <c r="E25" s="1612">
        <f>'4.tábla'!DU25</f>
        <v>0</v>
      </c>
      <c r="F25" s="1613">
        <v>0</v>
      </c>
    </row>
    <row r="26" spans="1:6" ht="17.100000000000001" customHeight="1" x14ac:dyDescent="0.2">
      <c r="A26" s="1620" t="s">
        <v>842</v>
      </c>
      <c r="B26" s="1623" t="s">
        <v>884</v>
      </c>
      <c r="C26" s="1612">
        <f>'4.tábla'!DS26</f>
        <v>54512</v>
      </c>
      <c r="D26" s="1612">
        <f>'4.tábla'!DT26</f>
        <v>70493</v>
      </c>
      <c r="E26" s="1612">
        <f>'4.tábla'!DU26</f>
        <v>63321.834999999999</v>
      </c>
      <c r="F26" s="1613">
        <f>E26/D26*100</f>
        <v>89.82712467904615</v>
      </c>
    </row>
    <row r="27" spans="1:6" ht="17.100000000000001" customHeight="1" x14ac:dyDescent="0.2">
      <c r="A27" s="1620" t="s">
        <v>843</v>
      </c>
      <c r="B27" s="1621" t="s">
        <v>900</v>
      </c>
      <c r="C27" s="1612">
        <f>'4.tábla'!DS27</f>
        <v>0</v>
      </c>
      <c r="D27" s="1612">
        <f>'4.tábla'!DT27</f>
        <v>0</v>
      </c>
      <c r="E27" s="1612">
        <f>'4.tábla'!DU27</f>
        <v>0</v>
      </c>
      <c r="F27" s="1613">
        <v>0</v>
      </c>
    </row>
    <row r="28" spans="1:6" ht="17.100000000000001" customHeight="1" x14ac:dyDescent="0.2">
      <c r="A28" s="1620" t="s">
        <v>844</v>
      </c>
      <c r="B28" s="1621" t="s">
        <v>901</v>
      </c>
      <c r="C28" s="1612">
        <f>'4.tábla'!DS28</f>
        <v>0</v>
      </c>
      <c r="D28" s="1612">
        <v>0</v>
      </c>
      <c r="E28" s="1612">
        <f>'4.tábla'!DU28</f>
        <v>0</v>
      </c>
      <c r="F28" s="1613">
        <v>0</v>
      </c>
    </row>
    <row r="29" spans="1:6" ht="17.100000000000001" customHeight="1" x14ac:dyDescent="0.2">
      <c r="A29" s="1620" t="s">
        <v>845</v>
      </c>
      <c r="B29" s="1623" t="s">
        <v>887</v>
      </c>
      <c r="C29" s="1612">
        <f>'4.tábla'!DS29</f>
        <v>669332</v>
      </c>
      <c r="D29" s="1612">
        <f>'4.tábla'!DT29-D28</f>
        <v>680624.755</v>
      </c>
      <c r="E29" s="1612">
        <f>'4.tábla'!DU29</f>
        <v>651403.72899999993</v>
      </c>
      <c r="F29" s="1613">
        <f>E29/D29*100</f>
        <v>95.706734763122142</v>
      </c>
    </row>
    <row r="30" spans="1:6" s="31" customFormat="1" ht="17.100000000000001" customHeight="1" x14ac:dyDescent="0.2">
      <c r="A30" s="1620" t="s">
        <v>846</v>
      </c>
      <c r="B30" s="1624" t="s">
        <v>888</v>
      </c>
      <c r="C30" s="1612">
        <f>'4.tábla'!DS30</f>
        <v>2321814</v>
      </c>
      <c r="D30" s="1612">
        <f>'4.tábla'!DT30</f>
        <v>1175180.8629999999</v>
      </c>
      <c r="E30" s="1612">
        <f>'4.tábla'!DU30</f>
        <v>0</v>
      </c>
      <c r="F30" s="1625">
        <v>0</v>
      </c>
    </row>
    <row r="31" spans="1:6" ht="20.100000000000001" customHeight="1" x14ac:dyDescent="0.2">
      <c r="A31" s="1626" t="s">
        <v>116</v>
      </c>
      <c r="B31" s="1627" t="s">
        <v>847</v>
      </c>
      <c r="C31" s="1617">
        <f>C32+C33+C34</f>
        <v>2588905</v>
      </c>
      <c r="D31" s="1617">
        <f>D32+D33+D34</f>
        <v>5978740.3319999995</v>
      </c>
      <c r="E31" s="1617">
        <f>E32+E33+E34</f>
        <v>3613134.8929999992</v>
      </c>
      <c r="F31" s="1618">
        <f>E31/D31*100</f>
        <v>60.433045965576135</v>
      </c>
    </row>
    <row r="32" spans="1:6" ht="18" customHeight="1" x14ac:dyDescent="0.2">
      <c r="A32" s="1628" t="s">
        <v>40</v>
      </c>
      <c r="B32" s="1629" t="s">
        <v>394</v>
      </c>
      <c r="C32" s="1645">
        <f>'4.tábla'!DS32</f>
        <v>2099857</v>
      </c>
      <c r="D32" s="1645">
        <f>'4.tábla'!DT32</f>
        <v>5140973.6999999993</v>
      </c>
      <c r="E32" s="1645">
        <f>'4.tábla'!DU32</f>
        <v>3313894.1099999994</v>
      </c>
      <c r="F32" s="1646">
        <f>E32/D32*100</f>
        <v>64.46043694018509</v>
      </c>
    </row>
    <row r="33" spans="1:6" ht="18" customHeight="1" x14ac:dyDescent="0.2">
      <c r="A33" s="1628" t="s">
        <v>41</v>
      </c>
      <c r="B33" s="1616" t="s">
        <v>395</v>
      </c>
      <c r="C33" s="1645">
        <f>'4.tábla'!DS33</f>
        <v>32820</v>
      </c>
      <c r="D33" s="1645">
        <f>'4.tábla'!DT33</f>
        <v>65909.631999999998</v>
      </c>
      <c r="E33" s="1645">
        <f>'4.tábla'!DU33</f>
        <v>50477.381000000001</v>
      </c>
      <c r="F33" s="1646">
        <f>E33/D33*100</f>
        <v>76.585742429877328</v>
      </c>
    </row>
    <row r="34" spans="1:6" ht="18" customHeight="1" x14ac:dyDescent="0.2">
      <c r="A34" s="1628" t="s">
        <v>653</v>
      </c>
      <c r="B34" s="1627" t="s">
        <v>544</v>
      </c>
      <c r="C34" s="1630">
        <f>SUM(C35:C42)</f>
        <v>456228</v>
      </c>
      <c r="D34" s="1630">
        <f>SUM(D35:D42)</f>
        <v>771857</v>
      </c>
      <c r="E34" s="1630">
        <f>SUM(E35:E42)</f>
        <v>248763.402</v>
      </c>
      <c r="F34" s="1625">
        <f>E34/D34*100</f>
        <v>32.229208519194621</v>
      </c>
    </row>
    <row r="35" spans="1:6" ht="17.100000000000001" customHeight="1" x14ac:dyDescent="0.2">
      <c r="A35" s="1620" t="s">
        <v>848</v>
      </c>
      <c r="B35" s="1621" t="s">
        <v>902</v>
      </c>
      <c r="C35" s="1631">
        <f>'4.tábla'!DS35</f>
        <v>0</v>
      </c>
      <c r="D35" s="1631">
        <f>'4.tábla'!DT35</f>
        <v>0</v>
      </c>
      <c r="E35" s="1631">
        <f>'4.tábla'!DU35</f>
        <v>0</v>
      </c>
      <c r="F35" s="1622">
        <v>0</v>
      </c>
    </row>
    <row r="36" spans="1:6" s="31" customFormat="1" ht="17.100000000000001" customHeight="1" x14ac:dyDescent="0.2">
      <c r="A36" s="1620" t="s">
        <v>849</v>
      </c>
      <c r="B36" s="1621" t="s">
        <v>903</v>
      </c>
      <c r="C36" s="1612">
        <f>'4.tábla'!DS36</f>
        <v>0</v>
      </c>
      <c r="D36" s="1612">
        <f>'4.tábla'!DT36</f>
        <v>0</v>
      </c>
      <c r="E36" s="1612">
        <f>'4.tábla'!DU36</f>
        <v>0</v>
      </c>
      <c r="F36" s="1613">
        <v>0</v>
      </c>
    </row>
    <row r="37" spans="1:6" s="31" customFormat="1" ht="17.100000000000001" customHeight="1" x14ac:dyDescent="0.2">
      <c r="A37" s="1620" t="s">
        <v>850</v>
      </c>
      <c r="B37" s="1621" t="s">
        <v>904</v>
      </c>
      <c r="C37" s="1612">
        <f>'4.tábla'!DS37</f>
        <v>0</v>
      </c>
      <c r="D37" s="1612">
        <f>'4.tábla'!DT37</f>
        <v>0</v>
      </c>
      <c r="E37" s="1612">
        <f>'4.tábla'!DU37</f>
        <v>0</v>
      </c>
      <c r="F37" s="1613">
        <v>0</v>
      </c>
    </row>
    <row r="38" spans="1:6" s="31" customFormat="1" ht="17.100000000000001" customHeight="1" x14ac:dyDescent="0.2">
      <c r="A38" s="1620" t="s">
        <v>851</v>
      </c>
      <c r="B38" s="1623" t="s">
        <v>876</v>
      </c>
      <c r="C38" s="1612">
        <f>'4.tábla'!DS38</f>
        <v>600</v>
      </c>
      <c r="D38" s="1612">
        <f>'4.tábla'!DT38</f>
        <v>58478</v>
      </c>
      <c r="E38" s="1612">
        <f>'4.tábla'!DU38</f>
        <v>57243.025000000001</v>
      </c>
      <c r="F38" s="1613">
        <f>E38/D38*100</f>
        <v>97.888137419200376</v>
      </c>
    </row>
    <row r="39" spans="1:6" s="31" customFormat="1" ht="17.100000000000001" customHeight="1" x14ac:dyDescent="0.2">
      <c r="A39" s="1620" t="s">
        <v>852</v>
      </c>
      <c r="B39" s="1621" t="s">
        <v>905</v>
      </c>
      <c r="C39" s="1612">
        <f>'4.tábla'!DS39</f>
        <v>0</v>
      </c>
      <c r="D39" s="1612">
        <f>'4.tábla'!DT39</f>
        <v>0</v>
      </c>
      <c r="E39" s="1612">
        <f>'4.tábla'!DU39</f>
        <v>0</v>
      </c>
      <c r="F39" s="1613">
        <v>0</v>
      </c>
    </row>
    <row r="40" spans="1:6" s="31" customFormat="1" ht="17.100000000000001" customHeight="1" x14ac:dyDescent="0.2">
      <c r="A40" s="1620" t="s">
        <v>853</v>
      </c>
      <c r="B40" s="1621" t="s">
        <v>907</v>
      </c>
      <c r="C40" s="1612">
        <f>'4.tábla'!DS40</f>
        <v>15000</v>
      </c>
      <c r="D40" s="1612">
        <f>'4.tábla'!DT40</f>
        <v>15000</v>
      </c>
      <c r="E40" s="1612">
        <f>'4.tábla'!DU40</f>
        <v>4053.596</v>
      </c>
      <c r="F40" s="1613">
        <f>E40/D40*100</f>
        <v>27.023973333333334</v>
      </c>
    </row>
    <row r="41" spans="1:6" s="31" customFormat="1" ht="17.100000000000001" customHeight="1" x14ac:dyDescent="0.2">
      <c r="A41" s="1620" t="s">
        <v>854</v>
      </c>
      <c r="B41" s="1621" t="s">
        <v>908</v>
      </c>
      <c r="C41" s="1612">
        <f>'4.tábla'!DS41</f>
        <v>0</v>
      </c>
      <c r="D41" s="1612">
        <f>'4.tábla'!DT41</f>
        <v>0</v>
      </c>
      <c r="E41" s="1612">
        <f>'4.tábla'!DU41</f>
        <v>0</v>
      </c>
      <c r="F41" s="1613">
        <v>0</v>
      </c>
    </row>
    <row r="42" spans="1:6" ht="17.100000000000001" customHeight="1" x14ac:dyDescent="0.2">
      <c r="A42" s="1620" t="s">
        <v>855</v>
      </c>
      <c r="B42" s="1623" t="s">
        <v>873</v>
      </c>
      <c r="C42" s="1630">
        <f>'4.tábla'!DS42</f>
        <v>440628</v>
      </c>
      <c r="D42" s="1630">
        <f>'4.tábla'!DT42</f>
        <v>698379</v>
      </c>
      <c r="E42" s="1630">
        <f>'4.tábla'!DU42</f>
        <v>187466.78100000002</v>
      </c>
      <c r="F42" s="1625">
        <f>E42/D42*100</f>
        <v>26.84312973328236</v>
      </c>
    </row>
    <row r="43" spans="1:6" ht="20.100000000000001" customHeight="1" x14ac:dyDescent="0.2">
      <c r="A43" s="1626"/>
      <c r="B43" s="1627" t="s">
        <v>856</v>
      </c>
      <c r="C43" s="1632">
        <f>C14+C31</f>
        <v>18226012.34</v>
      </c>
      <c r="D43" s="1632">
        <f>D14+D31</f>
        <v>21542538.386</v>
      </c>
      <c r="E43" s="1633">
        <f>E14+E31</f>
        <v>16316604.278999999</v>
      </c>
      <c r="F43" s="1810">
        <f>E43/D43*100</f>
        <v>75.741326238526213</v>
      </c>
    </row>
    <row r="44" spans="1:6" ht="20.100000000000001" customHeight="1" x14ac:dyDescent="0.2">
      <c r="A44" s="1626" t="s">
        <v>117</v>
      </c>
      <c r="B44" s="1627" t="s">
        <v>68</v>
      </c>
      <c r="C44" s="1632">
        <f>C45+C53+C54</f>
        <v>66267</v>
      </c>
      <c r="D44" s="1632">
        <f>D45+D53+D54</f>
        <v>8069779.5350000001</v>
      </c>
      <c r="E44" s="1633">
        <f>E45+E53+E54</f>
        <v>8069779.5350000001</v>
      </c>
      <c r="F44" s="1810">
        <f>E44/D44*100</f>
        <v>100</v>
      </c>
    </row>
    <row r="45" spans="1:6" ht="18" customHeight="1" x14ac:dyDescent="0.2">
      <c r="A45" s="1634" t="s">
        <v>42</v>
      </c>
      <c r="B45" s="1649" t="s">
        <v>857</v>
      </c>
      <c r="C45" s="1635">
        <f>C46+C50+C51+C52</f>
        <v>66267</v>
      </c>
      <c r="D45" s="1635">
        <f>D46+D50+D51+D52</f>
        <v>8069779.5350000001</v>
      </c>
      <c r="E45" s="1636">
        <f>E46+E50+E51+E52</f>
        <v>8069779.5350000001</v>
      </c>
      <c r="F45" s="1625">
        <f>E45/D45*100</f>
        <v>100</v>
      </c>
    </row>
    <row r="46" spans="1:6" ht="17.100000000000001" customHeight="1" x14ac:dyDescent="0.2">
      <c r="A46" s="1620" t="s">
        <v>858</v>
      </c>
      <c r="B46" s="1647" t="s">
        <v>859</v>
      </c>
      <c r="C46" s="1631">
        <f>'4.tábla'!DS46</f>
        <v>0</v>
      </c>
      <c r="D46" s="1631">
        <f>'4.tábla'!DT46</f>
        <v>0</v>
      </c>
      <c r="E46" s="1631">
        <f>'4.tábla'!DU46</f>
        <v>0</v>
      </c>
      <c r="F46" s="1622">
        <v>0</v>
      </c>
    </row>
    <row r="47" spans="1:6" ht="17.100000000000001" customHeight="1" x14ac:dyDescent="0.2">
      <c r="A47" s="1637" t="s">
        <v>860</v>
      </c>
      <c r="B47" s="1614" t="s">
        <v>889</v>
      </c>
      <c r="C47" s="1638">
        <f>'4.tábla'!DS47</f>
        <v>0</v>
      </c>
      <c r="D47" s="1638">
        <f>'4.tábla'!DT47</f>
        <v>0</v>
      </c>
      <c r="E47" s="1638">
        <f>'4.tábla'!DU47</f>
        <v>0</v>
      </c>
      <c r="F47" s="1811">
        <v>0</v>
      </c>
    </row>
    <row r="48" spans="1:6" ht="17.100000000000001" customHeight="1" x14ac:dyDescent="0.2">
      <c r="A48" s="1637" t="s">
        <v>861</v>
      </c>
      <c r="B48" s="1614" t="s">
        <v>906</v>
      </c>
      <c r="C48" s="1638">
        <f>'4.tábla'!DS48</f>
        <v>0</v>
      </c>
      <c r="D48" s="1638">
        <f>'4.tábla'!DT48</f>
        <v>0</v>
      </c>
      <c r="E48" s="1638">
        <f>'4.tábla'!DU48</f>
        <v>0</v>
      </c>
      <c r="F48" s="1811">
        <v>0</v>
      </c>
    </row>
    <row r="49" spans="1:6" ht="17.100000000000001" customHeight="1" x14ac:dyDescent="0.2">
      <c r="A49" s="1637" t="s">
        <v>862</v>
      </c>
      <c r="B49" s="1614" t="s">
        <v>863</v>
      </c>
      <c r="C49" s="1638">
        <f>'4.tábla'!DS49</f>
        <v>0</v>
      </c>
      <c r="D49" s="1638">
        <f>'4.tábla'!DT49</f>
        <v>0</v>
      </c>
      <c r="E49" s="1638">
        <f>'4.tábla'!DU49</f>
        <v>0</v>
      </c>
      <c r="F49" s="1811">
        <v>0</v>
      </c>
    </row>
    <row r="50" spans="1:6" ht="17.100000000000001" customHeight="1" x14ac:dyDescent="0.2">
      <c r="A50" s="1620" t="s">
        <v>864</v>
      </c>
      <c r="B50" s="1621" t="s">
        <v>891</v>
      </c>
      <c r="C50" s="1612">
        <f>'4.tábla'!DS50</f>
        <v>0</v>
      </c>
      <c r="D50" s="1612">
        <f>'4.tábla'!DT50</f>
        <v>7960052</v>
      </c>
      <c r="E50" s="1612">
        <f>'4.tábla'!DU50</f>
        <v>7960052</v>
      </c>
      <c r="F50" s="1613">
        <f>E50/D50*100</f>
        <v>100</v>
      </c>
    </row>
    <row r="51" spans="1:6" ht="17.100000000000001" customHeight="1" x14ac:dyDescent="0.2">
      <c r="A51" s="1620" t="s">
        <v>865</v>
      </c>
      <c r="B51" s="1621" t="s">
        <v>1180</v>
      </c>
      <c r="C51" s="1612">
        <f>'4.tábla'!DS51</f>
        <v>66267</v>
      </c>
      <c r="D51" s="1612">
        <f>'4.tábla'!DT51</f>
        <v>109727.535</v>
      </c>
      <c r="E51" s="1612">
        <f>'4.tábla'!DU51</f>
        <v>109727.535</v>
      </c>
      <c r="F51" s="1613">
        <f>E51/D51*100</f>
        <v>100</v>
      </c>
    </row>
    <row r="52" spans="1:6" ht="17.100000000000001" customHeight="1" x14ac:dyDescent="0.2">
      <c r="A52" s="1620" t="s">
        <v>866</v>
      </c>
      <c r="B52" s="1621" t="s">
        <v>1090</v>
      </c>
      <c r="C52" s="1630">
        <f>'4.tábla'!DS52</f>
        <v>0</v>
      </c>
      <c r="D52" s="1630">
        <f>'4.tábla'!DT52</f>
        <v>0</v>
      </c>
      <c r="E52" s="1630">
        <f>'4.tábla'!DU52</f>
        <v>0</v>
      </c>
      <c r="F52" s="1625">
        <v>0</v>
      </c>
    </row>
    <row r="53" spans="1:6" ht="18" customHeight="1" x14ac:dyDescent="0.2">
      <c r="A53" s="1639" t="s">
        <v>652</v>
      </c>
      <c r="B53" s="1648" t="s">
        <v>867</v>
      </c>
      <c r="C53" s="1630">
        <f>'4.tábla'!DS53</f>
        <v>0</v>
      </c>
      <c r="D53" s="1630">
        <f>'4.tábla'!DT53</f>
        <v>0</v>
      </c>
      <c r="E53" s="1630">
        <f>'4.tábla'!DU53</f>
        <v>0</v>
      </c>
      <c r="F53" s="1625">
        <v>0</v>
      </c>
    </row>
    <row r="54" spans="1:6" ht="18" customHeight="1" thickBot="1" x14ac:dyDescent="0.25">
      <c r="A54" s="1640" t="s">
        <v>868</v>
      </c>
      <c r="B54" s="1641" t="s">
        <v>869</v>
      </c>
      <c r="C54" s="1612">
        <f>'4.tábla'!DS54</f>
        <v>0</v>
      </c>
      <c r="D54" s="1612">
        <f>'4.tábla'!DT54</f>
        <v>0</v>
      </c>
      <c r="E54" s="1612">
        <f>'4.tábla'!DU54</f>
        <v>0</v>
      </c>
      <c r="F54" s="1613">
        <v>0</v>
      </c>
    </row>
    <row r="55" spans="1:6" ht="24.95" customHeight="1" thickBot="1" x14ac:dyDescent="0.25">
      <c r="A55" s="1642"/>
      <c r="B55" s="1643" t="s">
        <v>870</v>
      </c>
      <c r="C55" s="1644">
        <f>C14+C31+C44</f>
        <v>18292279.34</v>
      </c>
      <c r="D55" s="1644">
        <f>D14+D31+D44</f>
        <v>29612317.921</v>
      </c>
      <c r="E55" s="1644">
        <f>E14+E31+E44</f>
        <v>24386383.813999999</v>
      </c>
      <c r="F55" s="1812">
        <f>E55/D55*100</f>
        <v>82.352161283213988</v>
      </c>
    </row>
    <row r="56" spans="1:6" x14ac:dyDescent="0.2">
      <c r="A56" s="3"/>
    </row>
    <row r="57" spans="1:6" x14ac:dyDescent="0.2">
      <c r="A57" s="3"/>
    </row>
    <row r="58" spans="1:6" x14ac:dyDescent="0.2">
      <c r="A58" s="3"/>
    </row>
    <row r="59" spans="1:6" x14ac:dyDescent="0.2">
      <c r="A59" s="3"/>
    </row>
    <row r="60" spans="1:6" x14ac:dyDescent="0.2">
      <c r="A60" s="3"/>
    </row>
    <row r="61" spans="1:6" x14ac:dyDescent="0.2">
      <c r="A61" s="3"/>
    </row>
    <row r="62" spans="1:6" x14ac:dyDescent="0.2">
      <c r="A62" s="3"/>
    </row>
    <row r="63" spans="1:6" x14ac:dyDescent="0.2">
      <c r="A63" s="3"/>
    </row>
    <row r="64" spans="1:6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</sheetData>
  <mergeCells count="2">
    <mergeCell ref="A7:F7"/>
    <mergeCell ref="A8:F8"/>
  </mergeCells>
  <phoneticPr fontId="0" type="noConversion"/>
  <printOptions horizontalCentered="1" verticalCentered="1"/>
  <pageMargins left="0.15748031496062992" right="0.15748031496062992" top="0.31496062992125984" bottom="0.31496062992125984" header="0.11811023622047245" footer="0.15748031496062992"/>
  <pageSetup paperSize="9" scale="8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zoomScale="80" zoomScaleNormal="80" workbookViewId="0">
      <selection activeCell="F2" sqref="F2"/>
    </sheetView>
  </sheetViews>
  <sheetFormatPr defaultRowHeight="12.75" x14ac:dyDescent="0.2"/>
  <cols>
    <col min="1" max="1" width="8" style="32" customWidth="1"/>
    <col min="2" max="2" width="72.140625" style="32" customWidth="1"/>
    <col min="3" max="6" width="16.7109375" style="32" customWidth="1"/>
    <col min="7" max="16384" width="9.140625" style="32"/>
  </cols>
  <sheetData>
    <row r="1" spans="1:25" ht="4.5" customHeight="1" x14ac:dyDescent="0.2"/>
    <row r="2" spans="1:25" x14ac:dyDescent="0.2">
      <c r="A2" s="3"/>
      <c r="D2" s="912"/>
      <c r="E2" s="912"/>
      <c r="F2" s="913" t="s">
        <v>1187</v>
      </c>
    </row>
    <row r="3" spans="1:25" x14ac:dyDescent="0.2">
      <c r="A3" s="914"/>
      <c r="B3" s="912"/>
      <c r="D3" s="915"/>
      <c r="E3" s="915"/>
      <c r="F3" s="913" t="s">
        <v>57</v>
      </c>
    </row>
    <row r="4" spans="1:25" hidden="1" x14ac:dyDescent="0.2">
      <c r="A4" s="912"/>
      <c r="B4" s="912"/>
      <c r="C4" s="916"/>
      <c r="D4" s="915"/>
      <c r="F4" s="913" t="s">
        <v>660</v>
      </c>
      <c r="H4" s="3"/>
      <c r="I4" s="3"/>
    </row>
    <row r="5" spans="1:25" x14ac:dyDescent="0.2">
      <c r="A5" s="912"/>
      <c r="B5" s="912"/>
      <c r="C5" s="916"/>
      <c r="D5" s="915"/>
      <c r="F5" s="913"/>
      <c r="H5" s="3"/>
      <c r="I5" s="3"/>
    </row>
    <row r="6" spans="1:25" ht="15.75" x14ac:dyDescent="0.25">
      <c r="A6" s="2254" t="s">
        <v>1186</v>
      </c>
      <c r="B6" s="2254"/>
      <c r="C6" s="2254"/>
      <c r="D6" s="2254"/>
      <c r="E6" s="2254"/>
      <c r="F6" s="2254"/>
      <c r="H6" s="3"/>
      <c r="I6" s="3"/>
    </row>
    <row r="7" spans="1:25" ht="15.75" x14ac:dyDescent="0.25">
      <c r="A7" s="2255" t="s">
        <v>58</v>
      </c>
      <c r="B7" s="2255"/>
      <c r="C7" s="2255"/>
      <c r="D7" s="2255"/>
      <c r="E7" s="2255"/>
      <c r="F7" s="2255"/>
      <c r="H7" s="3"/>
      <c r="I7" s="3"/>
    </row>
    <row r="8" spans="1:25" ht="13.5" thickBot="1" x14ac:dyDescent="0.25">
      <c r="H8" s="3"/>
      <c r="I8" s="3"/>
    </row>
    <row r="9" spans="1:25" x14ac:dyDescent="0.2">
      <c r="A9" s="917" t="s">
        <v>571</v>
      </c>
      <c r="B9" s="917" t="s">
        <v>571</v>
      </c>
      <c r="C9" s="901" t="s">
        <v>1181</v>
      </c>
      <c r="D9" s="902" t="s">
        <v>1181</v>
      </c>
      <c r="E9" s="902" t="s">
        <v>1181</v>
      </c>
      <c r="F9" s="903" t="s">
        <v>1181</v>
      </c>
      <c r="G9" s="3"/>
    </row>
    <row r="10" spans="1:25" x14ac:dyDescent="0.2">
      <c r="A10" s="904" t="s">
        <v>141</v>
      </c>
      <c r="B10" s="904" t="s">
        <v>659</v>
      </c>
      <c r="C10" s="905" t="s">
        <v>562</v>
      </c>
      <c r="D10" s="906" t="s">
        <v>563</v>
      </c>
      <c r="E10" s="89" t="s">
        <v>143</v>
      </c>
      <c r="F10" s="361" t="s">
        <v>143</v>
      </c>
      <c r="G10" s="3"/>
    </row>
    <row r="11" spans="1:25" ht="13.5" thickBot="1" x14ac:dyDescent="0.25">
      <c r="A11" s="918"/>
      <c r="B11" s="919"/>
      <c r="C11" s="907" t="s">
        <v>8</v>
      </c>
      <c r="D11" s="908" t="s">
        <v>8</v>
      </c>
      <c r="E11" s="909"/>
      <c r="F11" s="594" t="s">
        <v>197</v>
      </c>
      <c r="G11" s="3"/>
    </row>
    <row r="12" spans="1:25" x14ac:dyDescent="0.2">
      <c r="A12" s="920">
        <v>1</v>
      </c>
      <c r="B12" s="921">
        <v>2</v>
      </c>
      <c r="C12" s="2226">
        <v>3</v>
      </c>
      <c r="D12" s="2030">
        <v>4</v>
      </c>
      <c r="E12" s="2228">
        <v>5</v>
      </c>
      <c r="F12" s="922">
        <v>6</v>
      </c>
      <c r="G12" s="3"/>
    </row>
    <row r="13" spans="1:25" ht="12.75" customHeight="1" x14ac:dyDescent="0.2">
      <c r="A13" s="1677" t="s">
        <v>134</v>
      </c>
      <c r="B13" s="1678" t="s">
        <v>923</v>
      </c>
      <c r="C13" s="654">
        <f>C14+C27+C48+C60</f>
        <v>14801572.34</v>
      </c>
      <c r="D13" s="2063">
        <f>D14+D27+D48+D60</f>
        <v>15099487.318</v>
      </c>
      <c r="E13" s="662">
        <f>E14+E27+E48+E60</f>
        <v>15422064.206999999</v>
      </c>
      <c r="F13" s="715">
        <f t="shared" ref="F13:F22" si="0">E13/D13*100</f>
        <v>102.13634332216999</v>
      </c>
      <c r="G13" s="3"/>
    </row>
    <row r="14" spans="1:25" x14ac:dyDescent="0.2">
      <c r="A14" s="1679" t="s">
        <v>327</v>
      </c>
      <c r="B14" s="1680" t="s">
        <v>924</v>
      </c>
      <c r="C14" s="654">
        <f>C15+C22+C26</f>
        <v>3589354.0819999999</v>
      </c>
      <c r="D14" s="697">
        <f>D15+D22+D26</f>
        <v>3939100.4009999996</v>
      </c>
      <c r="E14" s="662">
        <f>E15+E22+E26</f>
        <v>3972978.2659999998</v>
      </c>
      <c r="F14" s="716">
        <f t="shared" si="0"/>
        <v>100.86004065779588</v>
      </c>
      <c r="G14" s="12"/>
      <c r="H14" s="31"/>
      <c r="I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x14ac:dyDescent="0.2">
      <c r="A15" s="1681" t="s">
        <v>592</v>
      </c>
      <c r="B15" s="1682" t="s">
        <v>909</v>
      </c>
      <c r="C15" s="1705">
        <f>SUM(C16:C21)</f>
        <v>2201180.682</v>
      </c>
      <c r="D15" s="1706">
        <f>SUM(D16:D21)</f>
        <v>2438424.952</v>
      </c>
      <c r="E15" s="1707">
        <f>SUM(E16:E21)</f>
        <v>2472302.6460000002</v>
      </c>
      <c r="F15" s="1774">
        <f t="shared" si="0"/>
        <v>101.38932690842969</v>
      </c>
      <c r="G15" s="3" t="s">
        <v>571</v>
      </c>
    </row>
    <row r="16" spans="1:25" x14ac:dyDescent="0.2">
      <c r="A16" s="1683" t="s">
        <v>925</v>
      </c>
      <c r="B16" s="1684" t="s">
        <v>926</v>
      </c>
      <c r="C16" s="656">
        <f>'5.tábla'!DS15</f>
        <v>5054.2780000000002</v>
      </c>
      <c r="D16" s="699">
        <f>'5.tábla'!DT15</f>
        <v>5054.2780000000002</v>
      </c>
      <c r="E16" s="664">
        <f>'5.tábla'!DU15</f>
        <v>5054.2780000000002</v>
      </c>
      <c r="F16" s="719">
        <f t="shared" si="0"/>
        <v>100</v>
      </c>
      <c r="G16" s="3"/>
    </row>
    <row r="17" spans="1:25" x14ac:dyDescent="0.2">
      <c r="A17" s="1683" t="s">
        <v>927</v>
      </c>
      <c r="B17" s="1685" t="s">
        <v>977</v>
      </c>
      <c r="C17" s="656">
        <f>'5.tábla'!DS16</f>
        <v>1399256.2709999999</v>
      </c>
      <c r="D17" s="699">
        <f>'5.tábla'!DT16</f>
        <v>1470703.696</v>
      </c>
      <c r="E17" s="664">
        <f>'5.tábla'!DU16</f>
        <v>1470703.696</v>
      </c>
      <c r="F17" s="719">
        <f t="shared" si="0"/>
        <v>100</v>
      </c>
      <c r="G17" s="3"/>
    </row>
    <row r="18" spans="1:25" x14ac:dyDescent="0.2">
      <c r="A18" s="1683" t="s">
        <v>928</v>
      </c>
      <c r="B18" s="1685" t="s">
        <v>978</v>
      </c>
      <c r="C18" s="656">
        <f>'5.tábla'!DS17</f>
        <v>761618.93299999996</v>
      </c>
      <c r="D18" s="699">
        <f>'5.tábla'!DT17</f>
        <v>861965.04500000004</v>
      </c>
      <c r="E18" s="664">
        <f>'5.tábla'!DU17</f>
        <v>895842.73899999994</v>
      </c>
      <c r="F18" s="719">
        <f t="shared" si="0"/>
        <v>103.93028629136577</v>
      </c>
      <c r="G18" s="3"/>
    </row>
    <row r="19" spans="1:25" x14ac:dyDescent="0.2">
      <c r="A19" s="1683" t="s">
        <v>929</v>
      </c>
      <c r="B19" s="1685" t="s">
        <v>930</v>
      </c>
      <c r="C19" s="656">
        <f>'5.tábla'!DS18</f>
        <v>35251.199999999997</v>
      </c>
      <c r="D19" s="699">
        <f>'5.tábla'!DT18</f>
        <v>35251.199999999997</v>
      </c>
      <c r="E19" s="664">
        <f>'5.tábla'!DU18</f>
        <v>35251.199999999997</v>
      </c>
      <c r="F19" s="719">
        <f t="shared" si="0"/>
        <v>100</v>
      </c>
      <c r="G19" s="3"/>
    </row>
    <row r="20" spans="1:25" x14ac:dyDescent="0.2">
      <c r="A20" s="1683" t="s">
        <v>931</v>
      </c>
      <c r="B20" s="1685" t="s">
        <v>1091</v>
      </c>
      <c r="C20" s="656">
        <f>'5.tábla'!DS19</f>
        <v>0</v>
      </c>
      <c r="D20" s="699">
        <f>'5.tábla'!DT19</f>
        <v>47856.43499999999</v>
      </c>
      <c r="E20" s="664">
        <f>'5.tábla'!DU19</f>
        <v>47856.434999999998</v>
      </c>
      <c r="F20" s="719">
        <f t="shared" si="0"/>
        <v>100.00000000000003</v>
      </c>
      <c r="G20" s="3"/>
    </row>
    <row r="21" spans="1:25" x14ac:dyDescent="0.2">
      <c r="A21" s="1683" t="s">
        <v>932</v>
      </c>
      <c r="B21" s="1686" t="s">
        <v>1092</v>
      </c>
      <c r="C21" s="656">
        <f>'5.tábla'!DS20</f>
        <v>0</v>
      </c>
      <c r="D21" s="699">
        <f>'5.tábla'!DT20</f>
        <v>17594.297999999999</v>
      </c>
      <c r="E21" s="664">
        <f>'5.tábla'!DU20</f>
        <v>17594.297999999999</v>
      </c>
      <c r="F21" s="719">
        <f t="shared" si="0"/>
        <v>100</v>
      </c>
      <c r="G21" s="3"/>
    </row>
    <row r="22" spans="1:25" x14ac:dyDescent="0.2">
      <c r="A22" s="1681" t="s">
        <v>593</v>
      </c>
      <c r="B22" s="1682" t="s">
        <v>910</v>
      </c>
      <c r="C22" s="660">
        <f>'5.tábla'!DS21</f>
        <v>0</v>
      </c>
      <c r="D22" s="703">
        <f>'5.tábla'!DT21</f>
        <v>89858.422000000006</v>
      </c>
      <c r="E22" s="668">
        <f>'5.tábla'!DU21</f>
        <v>89858.422000000006</v>
      </c>
      <c r="F22" s="1775">
        <f t="shared" si="0"/>
        <v>100</v>
      </c>
      <c r="G22" s="3"/>
    </row>
    <row r="23" spans="1:25" x14ac:dyDescent="0.2">
      <c r="A23" s="1681" t="s">
        <v>594</v>
      </c>
      <c r="B23" s="1687" t="s">
        <v>979</v>
      </c>
      <c r="C23" s="1784">
        <f>'5.tábla'!DS22</f>
        <v>0</v>
      </c>
      <c r="D23" s="1785">
        <f>'5.tábla'!DT22</f>
        <v>0</v>
      </c>
      <c r="E23" s="1786">
        <f>'5.tábla'!DU22</f>
        <v>0</v>
      </c>
      <c r="F23" s="1775">
        <v>0</v>
      </c>
      <c r="G23" s="12"/>
      <c r="H23" s="31"/>
      <c r="I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x14ac:dyDescent="0.2">
      <c r="A24" s="1681" t="s">
        <v>595</v>
      </c>
      <c r="B24" s="1687" t="s">
        <v>985</v>
      </c>
      <c r="C24" s="1705">
        <f>'5.tábla'!DS23</f>
        <v>0</v>
      </c>
      <c r="D24" s="1706">
        <f>'5.tábla'!DT23</f>
        <v>0</v>
      </c>
      <c r="E24" s="1707">
        <f>'5.tábla'!DU23</f>
        <v>0</v>
      </c>
      <c r="F24" s="1775">
        <v>0</v>
      </c>
      <c r="G24" s="3"/>
    </row>
    <row r="25" spans="1:25" x14ac:dyDescent="0.2">
      <c r="A25" s="1681" t="s">
        <v>39</v>
      </c>
      <c r="B25" s="1687" t="s">
        <v>986</v>
      </c>
      <c r="C25" s="1708">
        <f>'5.tábla'!DS24</f>
        <v>0</v>
      </c>
      <c r="D25" s="1709">
        <f>'5.tábla'!DT24</f>
        <v>0</v>
      </c>
      <c r="E25" s="1710">
        <f>'5.tábla'!DU24</f>
        <v>0</v>
      </c>
      <c r="F25" s="1775">
        <v>0</v>
      </c>
      <c r="G25" s="3"/>
    </row>
    <row r="26" spans="1:25" x14ac:dyDescent="0.2">
      <c r="A26" s="1681" t="s">
        <v>933</v>
      </c>
      <c r="B26" s="1688" t="s">
        <v>980</v>
      </c>
      <c r="C26" s="1708">
        <f>'5.tábla'!DS25</f>
        <v>1388173.4</v>
      </c>
      <c r="D26" s="1709">
        <f>'5.tábla'!DT25</f>
        <v>1410817.027</v>
      </c>
      <c r="E26" s="1710">
        <f>'5.tábla'!DU25</f>
        <v>1410817.1979999999</v>
      </c>
      <c r="F26" s="1775">
        <f>E26/D26*100</f>
        <v>100.00001212063626</v>
      </c>
      <c r="G26" s="3"/>
    </row>
    <row r="27" spans="1:25" x14ac:dyDescent="0.2">
      <c r="A27" s="1689" t="s">
        <v>116</v>
      </c>
      <c r="B27" s="1690" t="s">
        <v>545</v>
      </c>
      <c r="C27" s="1729">
        <f>C28+C35+C43</f>
        <v>8495156</v>
      </c>
      <c r="D27" s="1730">
        <f>D28+D35+D43</f>
        <v>8343301</v>
      </c>
      <c r="E27" s="1731">
        <f>E28+E35+E43</f>
        <v>8746041.443</v>
      </c>
      <c r="F27" s="721">
        <f>E27/D27*100</f>
        <v>104.827111511379</v>
      </c>
      <c r="G27" s="3"/>
    </row>
    <row r="28" spans="1:25" x14ac:dyDescent="0.2">
      <c r="A28" s="1691" t="s">
        <v>40</v>
      </c>
      <c r="B28" s="1692" t="s">
        <v>934</v>
      </c>
      <c r="C28" s="1708">
        <f>SUM(C29:C34)</f>
        <v>8070806</v>
      </c>
      <c r="D28" s="1709">
        <f>SUM(D29:D34)</f>
        <v>8070806</v>
      </c>
      <c r="E28" s="1710">
        <f>SUM(E29:E34)</f>
        <v>8437830.7000000011</v>
      </c>
      <c r="F28" s="1775">
        <f>E28/D28*100</f>
        <v>104.54755943830148</v>
      </c>
      <c r="G28" s="3"/>
    </row>
    <row r="29" spans="1:25" x14ac:dyDescent="0.2">
      <c r="A29" s="1683"/>
      <c r="B29" s="1684" t="s">
        <v>746</v>
      </c>
      <c r="C29" s="656">
        <f>'5.tábla'!DS28</f>
        <v>1540000</v>
      </c>
      <c r="D29" s="699">
        <f>'5.tábla'!DT28</f>
        <v>1540000</v>
      </c>
      <c r="E29" s="664">
        <f>'5.tábla'!DU28</f>
        <v>1747697.344</v>
      </c>
      <c r="F29" s="1778">
        <f t="shared" ref="F29:F34" si="1">E29/D29*100</f>
        <v>113.48684051948052</v>
      </c>
      <c r="G29" s="12"/>
      <c r="H29" s="31"/>
      <c r="I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x14ac:dyDescent="0.2">
      <c r="A30" s="1683"/>
      <c r="B30" s="1693" t="s">
        <v>37</v>
      </c>
      <c r="C30" s="656">
        <f>'5.tábla'!DS29</f>
        <v>130000</v>
      </c>
      <c r="D30" s="699">
        <f>'5.tábla'!DT29</f>
        <v>130000</v>
      </c>
      <c r="E30" s="664">
        <f>'5.tábla'!DU29</f>
        <v>0</v>
      </c>
      <c r="F30" s="1779">
        <f t="shared" si="1"/>
        <v>0</v>
      </c>
      <c r="G30" s="3"/>
    </row>
    <row r="31" spans="1:25" x14ac:dyDescent="0.2">
      <c r="A31" s="1683"/>
      <c r="B31" s="1684" t="s">
        <v>364</v>
      </c>
      <c r="C31" s="656">
        <f>'5.tábla'!DS30</f>
        <v>420000</v>
      </c>
      <c r="D31" s="699">
        <f>'5.tábla'!DT30</f>
        <v>420000</v>
      </c>
      <c r="E31" s="664">
        <f>'5.tábla'!DU30</f>
        <v>483632.42499999999</v>
      </c>
      <c r="F31" s="1779">
        <f t="shared" si="1"/>
        <v>115.15057738095238</v>
      </c>
      <c r="G31" s="3"/>
    </row>
    <row r="32" spans="1:25" x14ac:dyDescent="0.2">
      <c r="A32" s="1683"/>
      <c r="B32" s="1684" t="s">
        <v>935</v>
      </c>
      <c r="C32" s="659">
        <f>'5.tábla'!DS31</f>
        <v>5580806</v>
      </c>
      <c r="D32" s="702">
        <f>'5.tábla'!DT31</f>
        <v>5580806</v>
      </c>
      <c r="E32" s="667">
        <f>'5.tábla'!DU31</f>
        <v>5759109.7680000002</v>
      </c>
      <c r="F32" s="1779">
        <f t="shared" si="1"/>
        <v>103.19494653639636</v>
      </c>
      <c r="G32" s="12"/>
      <c r="H32" s="31"/>
      <c r="I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x14ac:dyDescent="0.2">
      <c r="A33" s="1683"/>
      <c r="B33" s="1684" t="s">
        <v>936</v>
      </c>
      <c r="C33" s="656">
        <f>'5.tábla'!DS32</f>
        <v>300000</v>
      </c>
      <c r="D33" s="699">
        <f>'5.tábla'!DT32</f>
        <v>300000</v>
      </c>
      <c r="E33" s="664">
        <f>'5.tábla'!DU32</f>
        <v>321248.46500000003</v>
      </c>
      <c r="F33" s="1779">
        <f t="shared" si="1"/>
        <v>107.08282166666667</v>
      </c>
      <c r="G33" s="12"/>
      <c r="H33" s="31"/>
      <c r="I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x14ac:dyDescent="0.2">
      <c r="A34" s="1683"/>
      <c r="B34" s="1684" t="s">
        <v>937</v>
      </c>
      <c r="C34" s="656">
        <f>'5.tábla'!DS33</f>
        <v>100000</v>
      </c>
      <c r="D34" s="699">
        <f>'5.tábla'!DT33</f>
        <v>100000</v>
      </c>
      <c r="E34" s="664">
        <f>'5.tábla'!DU33</f>
        <v>126142.698</v>
      </c>
      <c r="F34" s="1779">
        <f t="shared" si="1"/>
        <v>126.142698</v>
      </c>
      <c r="G34" s="12"/>
      <c r="H34" s="31"/>
      <c r="I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x14ac:dyDescent="0.2">
      <c r="A35" s="1691" t="s">
        <v>41</v>
      </c>
      <c r="B35" s="1694" t="s">
        <v>938</v>
      </c>
      <c r="C35" s="1708">
        <f>SUM(C36:C42)</f>
        <v>412740</v>
      </c>
      <c r="D35" s="1709">
        <f>SUM(D36:D42)</f>
        <v>261480</v>
      </c>
      <c r="E35" s="1710">
        <f>SUM(E36:E42)</f>
        <v>303244.15399999998</v>
      </c>
      <c r="F35" s="1775">
        <f t="shared" ref="F35:F41" si="2">E35/D35*100</f>
        <v>115.97221737800214</v>
      </c>
      <c r="G35" s="12"/>
      <c r="H35" s="31"/>
      <c r="I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x14ac:dyDescent="0.2">
      <c r="A36" s="1683"/>
      <c r="B36" s="1684" t="s">
        <v>1093</v>
      </c>
      <c r="C36" s="656">
        <f>'5.tábla'!DS35</f>
        <v>4670</v>
      </c>
      <c r="D36" s="699">
        <f>'5.tábla'!DT35</f>
        <v>4670</v>
      </c>
      <c r="E36" s="664">
        <f>'5.tábla'!DU35</f>
        <v>18834.280999999999</v>
      </c>
      <c r="F36" s="1778">
        <f t="shared" si="2"/>
        <v>403.3036616702355</v>
      </c>
      <c r="G36" s="12"/>
      <c r="H36" s="31"/>
      <c r="I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x14ac:dyDescent="0.2">
      <c r="A37" s="1683"/>
      <c r="B37" s="1684" t="s">
        <v>939</v>
      </c>
      <c r="C37" s="656">
        <f>'5.tábla'!DS36</f>
        <v>302520</v>
      </c>
      <c r="D37" s="699">
        <f>'5.tábla'!DT36</f>
        <v>216125</v>
      </c>
      <c r="E37" s="664">
        <f>'5.tábla'!DU36</f>
        <v>238957.41500000001</v>
      </c>
      <c r="F37" s="1779">
        <f t="shared" si="2"/>
        <v>110.56444881434355</v>
      </c>
      <c r="G37" s="3"/>
    </row>
    <row r="38" spans="1:25" x14ac:dyDescent="0.2">
      <c r="A38" s="1683"/>
      <c r="B38" s="1684" t="s">
        <v>940</v>
      </c>
      <c r="C38" s="656">
        <f>'5.tábla'!DS37</f>
        <v>100000</v>
      </c>
      <c r="D38" s="699">
        <f>'5.tábla'!DT37</f>
        <v>35000</v>
      </c>
      <c r="E38" s="664">
        <f>'5.tábla'!DU37</f>
        <v>40074.47</v>
      </c>
      <c r="F38" s="1779">
        <f t="shared" si="2"/>
        <v>114.49848571428572</v>
      </c>
      <c r="G38" s="3"/>
    </row>
    <row r="39" spans="1:25" x14ac:dyDescent="0.2">
      <c r="A39" s="1683"/>
      <c r="B39" s="1684" t="s">
        <v>941</v>
      </c>
      <c r="C39" s="656">
        <f>'5.tábla'!DS38</f>
        <v>2500</v>
      </c>
      <c r="D39" s="699">
        <f>'5.tábla'!DT38</f>
        <v>1688</v>
      </c>
      <c r="E39" s="664">
        <f>'5.tábla'!DU38</f>
        <v>1687.9780000000001</v>
      </c>
      <c r="F39" s="1779">
        <f t="shared" si="2"/>
        <v>99.998696682464455</v>
      </c>
      <c r="G39" s="3"/>
    </row>
    <row r="40" spans="1:25" x14ac:dyDescent="0.2">
      <c r="A40" s="1683"/>
      <c r="B40" s="1684" t="s">
        <v>942</v>
      </c>
      <c r="C40" s="656">
        <f>'5.tábla'!DS39</f>
        <v>1000</v>
      </c>
      <c r="D40" s="699">
        <f>'5.tábla'!DT39</f>
        <v>795</v>
      </c>
      <c r="E40" s="664">
        <f>'5.tábla'!DU39</f>
        <v>795.01</v>
      </c>
      <c r="F40" s="1779">
        <f t="shared" si="2"/>
        <v>100.00125786163522</v>
      </c>
      <c r="G40" s="3"/>
    </row>
    <row r="41" spans="1:25" x14ac:dyDescent="0.2">
      <c r="A41" s="1683"/>
      <c r="B41" s="1693" t="s">
        <v>943</v>
      </c>
      <c r="C41" s="656">
        <f>'5.tábla'!DS40</f>
        <v>1000</v>
      </c>
      <c r="D41" s="699">
        <f>'5.tábla'!DT40</f>
        <v>100</v>
      </c>
      <c r="E41" s="664">
        <f>'5.tábla'!DU40</f>
        <v>100</v>
      </c>
      <c r="F41" s="1779">
        <f t="shared" si="2"/>
        <v>100</v>
      </c>
      <c r="G41" s="3"/>
    </row>
    <row r="42" spans="1:25" x14ac:dyDescent="0.2">
      <c r="A42" s="1683"/>
      <c r="B42" s="1693" t="s">
        <v>944</v>
      </c>
      <c r="C42" s="656">
        <f>'5.tábla'!DS41</f>
        <v>1050</v>
      </c>
      <c r="D42" s="699">
        <f>'5.tábla'!DT41</f>
        <v>3102</v>
      </c>
      <c r="E42" s="664">
        <f>'5.tábla'!DU41</f>
        <v>2795</v>
      </c>
      <c r="F42" s="1780">
        <f>E42/D42*100</f>
        <v>90.103159252095423</v>
      </c>
      <c r="G42" s="3"/>
    </row>
    <row r="43" spans="1:25" x14ac:dyDescent="0.2">
      <c r="A43" s="1691" t="s">
        <v>653</v>
      </c>
      <c r="B43" s="1694" t="s">
        <v>945</v>
      </c>
      <c r="C43" s="1708">
        <f>SUM(C44:C47)</f>
        <v>11610</v>
      </c>
      <c r="D43" s="1709">
        <f>SUM(D44:D47)</f>
        <v>11015</v>
      </c>
      <c r="E43" s="1710">
        <f>SUM(E44:E47)</f>
        <v>4966.5889999999999</v>
      </c>
      <c r="F43" s="717">
        <f>E43/D43*100</f>
        <v>45.089323649568769</v>
      </c>
      <c r="G43" s="3"/>
    </row>
    <row r="44" spans="1:25" x14ac:dyDescent="0.2">
      <c r="A44" s="1683"/>
      <c r="B44" s="1684" t="s">
        <v>946</v>
      </c>
      <c r="C44" s="656">
        <f>'5.tábla'!DS43</f>
        <v>600</v>
      </c>
      <c r="D44" s="699">
        <f>'5.tábla'!DT43</f>
        <v>5</v>
      </c>
      <c r="E44" s="664">
        <f>'5.tábla'!DU43</f>
        <v>5</v>
      </c>
      <c r="F44" s="1778">
        <f>E44/D44*100</f>
        <v>100</v>
      </c>
      <c r="G44" s="3"/>
    </row>
    <row r="45" spans="1:25" x14ac:dyDescent="0.2">
      <c r="A45" s="1683"/>
      <c r="B45" s="1684" t="s">
        <v>947</v>
      </c>
      <c r="C45" s="656">
        <f>'5.tábla'!DS44</f>
        <v>10000</v>
      </c>
      <c r="D45" s="699">
        <f>'5.tábla'!DT44</f>
        <v>10000</v>
      </c>
      <c r="E45" s="664">
        <f>'5.tábla'!DU44</f>
        <v>4529.1890000000003</v>
      </c>
      <c r="F45" s="1779">
        <f t="shared" ref="F45:F46" si="3">E45/D45*100</f>
        <v>45.291890000000002</v>
      </c>
      <c r="G45" s="3"/>
    </row>
    <row r="46" spans="1:25" x14ac:dyDescent="0.2">
      <c r="A46" s="1683"/>
      <c r="B46" s="1684" t="s">
        <v>1138</v>
      </c>
      <c r="C46" s="656">
        <f>'5.tábla'!DS45</f>
        <v>1000</v>
      </c>
      <c r="D46" s="699">
        <f>'5.tábla'!DT45</f>
        <v>1000</v>
      </c>
      <c r="E46" s="664">
        <f>'5.tábla'!DU45</f>
        <v>431.4</v>
      </c>
      <c r="F46" s="1779">
        <f t="shared" si="3"/>
        <v>43.139999999999993</v>
      </c>
      <c r="G46" s="3"/>
    </row>
    <row r="47" spans="1:25" x14ac:dyDescent="0.2">
      <c r="A47" s="1683"/>
      <c r="B47" s="1693" t="s">
        <v>1139</v>
      </c>
      <c r="C47" s="656">
        <f>'5.tábla'!DS46</f>
        <v>10</v>
      </c>
      <c r="D47" s="699">
        <f>'5.tábla'!DT46</f>
        <v>10</v>
      </c>
      <c r="E47" s="664">
        <f>'5.tábla'!DU46</f>
        <v>1</v>
      </c>
      <c r="F47" s="1808">
        <f t="shared" ref="F47:F58" si="4">E47/D47*100</f>
        <v>10</v>
      </c>
      <c r="G47" s="3"/>
    </row>
    <row r="48" spans="1:25" x14ac:dyDescent="0.2">
      <c r="A48" s="1689" t="s">
        <v>117</v>
      </c>
      <c r="B48" s="1690" t="s">
        <v>251</v>
      </c>
      <c r="C48" s="654">
        <f>SUM(C49:C59)</f>
        <v>2717062.2580000004</v>
      </c>
      <c r="D48" s="697">
        <f>SUM(D49:D59)</f>
        <v>2813807.9169999999</v>
      </c>
      <c r="E48" s="662">
        <f>SUM(E49:E59)</f>
        <v>2699766.9979999997</v>
      </c>
      <c r="F48" s="716">
        <f t="shared" si="4"/>
        <v>95.947096519595149</v>
      </c>
      <c r="G48" s="12"/>
      <c r="H48" s="31"/>
      <c r="I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x14ac:dyDescent="0.2">
      <c r="A49" s="1691" t="s">
        <v>42</v>
      </c>
      <c r="B49" s="1692" t="s">
        <v>948</v>
      </c>
      <c r="C49" s="1787">
        <f>'5.tábla'!DS48</f>
        <v>148.84299999999999</v>
      </c>
      <c r="D49" s="1788">
        <f>'5.tábla'!DT48</f>
        <v>358.589</v>
      </c>
      <c r="E49" s="1789">
        <f>'5.tábla'!DU48</f>
        <v>838.58899999999994</v>
      </c>
      <c r="F49" s="1790">
        <f t="shared" si="4"/>
        <v>233.85798225823993</v>
      </c>
      <c r="G49" s="5"/>
      <c r="H49" s="31"/>
      <c r="I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x14ac:dyDescent="0.2">
      <c r="A50" s="1691" t="s">
        <v>652</v>
      </c>
      <c r="B50" s="1692" t="s">
        <v>949</v>
      </c>
      <c r="C50" s="1754">
        <f>'5.tábla'!DS49</f>
        <v>1359226.355</v>
      </c>
      <c r="D50" s="1755">
        <f>'5.tábla'!DT49</f>
        <v>1420705.0090000001</v>
      </c>
      <c r="E50" s="1756">
        <f>'5.tábla'!DU49</f>
        <v>1398921.726</v>
      </c>
      <c r="F50" s="720">
        <f t="shared" si="4"/>
        <v>98.466727233169067</v>
      </c>
      <c r="G50" s="5"/>
      <c r="H50" s="31"/>
      <c r="I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x14ac:dyDescent="0.2">
      <c r="A51" s="1691" t="s">
        <v>868</v>
      </c>
      <c r="B51" s="1692" t="s">
        <v>950</v>
      </c>
      <c r="C51" s="1754">
        <f>'5.tábla'!DS50</f>
        <v>189807.59299999999</v>
      </c>
      <c r="D51" s="1755">
        <f>'5.tábla'!DT50</f>
        <v>189867.39300000001</v>
      </c>
      <c r="E51" s="1756">
        <f>'5.tábla'!DU50</f>
        <v>117581.86900000001</v>
      </c>
      <c r="F51" s="720">
        <f t="shared" si="4"/>
        <v>61.928416007692277</v>
      </c>
      <c r="G51" s="5"/>
      <c r="H51" s="31"/>
      <c r="I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x14ac:dyDescent="0.2">
      <c r="A52" s="1691" t="s">
        <v>951</v>
      </c>
      <c r="B52" s="1692" t="s">
        <v>987</v>
      </c>
      <c r="C52" s="1754">
        <f>'5.tábla'!DS51</f>
        <v>41000</v>
      </c>
      <c r="D52" s="1755">
        <f>'5.tábla'!DT51</f>
        <v>41000</v>
      </c>
      <c r="E52" s="1756">
        <f>'5.tábla'!DU51</f>
        <v>41357.5</v>
      </c>
      <c r="F52" s="720">
        <f t="shared" si="4"/>
        <v>100.8719512195122</v>
      </c>
      <c r="G52" s="5"/>
      <c r="H52" s="31"/>
      <c r="I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x14ac:dyDescent="0.2">
      <c r="A53" s="1691" t="s">
        <v>952</v>
      </c>
      <c r="B53" s="1692" t="s">
        <v>953</v>
      </c>
      <c r="C53" s="1754">
        <f>'5.tábla'!DS52</f>
        <v>431804</v>
      </c>
      <c r="D53" s="1755">
        <f>'5.tábla'!DT52</f>
        <v>431804</v>
      </c>
      <c r="E53" s="1756">
        <f>'5.tábla'!DU52</f>
        <v>444317.3060000001</v>
      </c>
      <c r="F53" s="720">
        <f>E53/D53*100</f>
        <v>102.89791340515606</v>
      </c>
      <c r="G53" s="5"/>
      <c r="H53" s="31"/>
      <c r="I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x14ac:dyDescent="0.2">
      <c r="A54" s="1691" t="s">
        <v>954</v>
      </c>
      <c r="B54" s="1692" t="s">
        <v>955</v>
      </c>
      <c r="C54" s="1754">
        <f>'5.tábla'!DS53</f>
        <v>558366.446</v>
      </c>
      <c r="D54" s="1755">
        <f>'5.tábla'!DT53</f>
        <v>564669.72199999995</v>
      </c>
      <c r="E54" s="1756">
        <f>'5.tábla'!DU53</f>
        <v>487627.54</v>
      </c>
      <c r="F54" s="720">
        <f t="shared" si="4"/>
        <v>86.356239940203494</v>
      </c>
      <c r="G54" s="5"/>
      <c r="H54" s="31"/>
      <c r="I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x14ac:dyDescent="0.2">
      <c r="A55" s="1691" t="s">
        <v>956</v>
      </c>
      <c r="B55" s="1692" t="s">
        <v>957</v>
      </c>
      <c r="C55" s="1754">
        <f>'5.tábla'!DS54</f>
        <v>5000</v>
      </c>
      <c r="D55" s="1755">
        <f>'5.tábla'!DT54</f>
        <v>5000</v>
      </c>
      <c r="E55" s="1756">
        <f>'5.tábla'!DU54</f>
        <v>3079</v>
      </c>
      <c r="F55" s="720">
        <f t="shared" si="4"/>
        <v>61.58</v>
      </c>
      <c r="G55" s="5"/>
      <c r="H55" s="31"/>
      <c r="I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x14ac:dyDescent="0.2">
      <c r="A56" s="1691" t="s">
        <v>958</v>
      </c>
      <c r="B56" s="1692" t="s">
        <v>959</v>
      </c>
      <c r="C56" s="1754">
        <f>'5.tábla'!DS55</f>
        <v>115930</v>
      </c>
      <c r="D56" s="1755">
        <f>'5.tábla'!DT55</f>
        <v>120934.23299999999</v>
      </c>
      <c r="E56" s="1756">
        <f>'5.tábla'!DU55</f>
        <v>148458.864</v>
      </c>
      <c r="F56" s="720">
        <f t="shared" si="4"/>
        <v>122.75999964377333</v>
      </c>
      <c r="G56" s="5"/>
      <c r="H56" s="31"/>
      <c r="I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x14ac:dyDescent="0.2">
      <c r="A57" s="1691" t="s">
        <v>960</v>
      </c>
      <c r="B57" s="1692" t="s">
        <v>961</v>
      </c>
      <c r="C57" s="1754">
        <f>'5.tábla'!DS56</f>
        <v>0</v>
      </c>
      <c r="D57" s="1755">
        <f>'5.tábla'!DT56</f>
        <v>0</v>
      </c>
      <c r="E57" s="1756">
        <f>'5.tábla'!DU56</f>
        <v>0</v>
      </c>
      <c r="F57" s="720">
        <v>0</v>
      </c>
      <c r="G57" s="5"/>
      <c r="H57" s="31"/>
      <c r="I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x14ac:dyDescent="0.2">
      <c r="A58" s="1691" t="s">
        <v>962</v>
      </c>
      <c r="B58" s="1692" t="s">
        <v>1094</v>
      </c>
      <c r="C58" s="1754">
        <f>'5.tábla'!DS57</f>
        <v>661</v>
      </c>
      <c r="D58" s="1755">
        <f>'5.tábla'!DT57</f>
        <v>4956.1350000000002</v>
      </c>
      <c r="E58" s="1756">
        <f>'5.tábla'!DU57</f>
        <v>10371.027999999998</v>
      </c>
      <c r="F58" s="720">
        <f t="shared" si="4"/>
        <v>209.25636609979344</v>
      </c>
      <c r="G58" s="5"/>
      <c r="H58" s="31"/>
      <c r="I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x14ac:dyDescent="0.2">
      <c r="A59" s="1691" t="s">
        <v>1095</v>
      </c>
      <c r="B59" s="1692" t="s">
        <v>963</v>
      </c>
      <c r="C59" s="1754">
        <f>'5.tábla'!DS58</f>
        <v>15118.020999999999</v>
      </c>
      <c r="D59" s="1755">
        <f>'5.tábla'!DT58</f>
        <v>34512.835999999996</v>
      </c>
      <c r="E59" s="1756">
        <f>'5.tábla'!DU58</f>
        <v>47213.575999999994</v>
      </c>
      <c r="F59" s="720">
        <f>E59/D59*100</f>
        <v>136.80004737947354</v>
      </c>
      <c r="G59" s="5"/>
      <c r="H59" s="31"/>
      <c r="I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x14ac:dyDescent="0.2">
      <c r="A60" s="1689" t="s">
        <v>118</v>
      </c>
      <c r="B60" s="1690" t="s">
        <v>981</v>
      </c>
      <c r="C60" s="1720">
        <f>'5.tábla'!DS59</f>
        <v>0</v>
      </c>
      <c r="D60" s="1721">
        <f>'5.tábla'!DT59</f>
        <v>3278</v>
      </c>
      <c r="E60" s="1722">
        <f>'5.tábla'!DU59</f>
        <v>3277.5</v>
      </c>
      <c r="F60" s="1782">
        <f>E60/D60*100</f>
        <v>99.984746796827324</v>
      </c>
      <c r="G60" s="5"/>
      <c r="H60" s="31"/>
      <c r="I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x14ac:dyDescent="0.2">
      <c r="A61" s="1677" t="s">
        <v>306</v>
      </c>
      <c r="B61" s="1678" t="s">
        <v>964</v>
      </c>
      <c r="C61" s="1732">
        <f>C62+C68+C83</f>
        <v>1574150</v>
      </c>
      <c r="D61" s="1733">
        <f>D62+D68+D83</f>
        <v>1921710.7550000001</v>
      </c>
      <c r="E61" s="1734">
        <f>E62+E68+E83</f>
        <v>1181737.67</v>
      </c>
      <c r="F61" s="1781">
        <f>E61/D61*100</f>
        <v>61.494044664385505</v>
      </c>
      <c r="G61" s="5"/>
      <c r="H61" s="31"/>
      <c r="I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x14ac:dyDescent="0.2">
      <c r="A62" s="1679" t="s">
        <v>327</v>
      </c>
      <c r="B62" s="1680" t="s">
        <v>965</v>
      </c>
      <c r="C62" s="1735">
        <f>SUM(C63:C67)</f>
        <v>200000</v>
      </c>
      <c r="D62" s="1730">
        <f>SUM(D63:D67)</f>
        <v>504449.20500000002</v>
      </c>
      <c r="E62" s="1731">
        <f>SUM(E63:E67)</f>
        <v>304449.20500000002</v>
      </c>
      <c r="F62" s="721">
        <f>E62/D62*100</f>
        <v>60.352797067050588</v>
      </c>
      <c r="G62" s="5"/>
      <c r="H62" s="31"/>
      <c r="I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x14ac:dyDescent="0.2">
      <c r="A63" s="1681" t="s">
        <v>592</v>
      </c>
      <c r="B63" s="1682" t="s">
        <v>982</v>
      </c>
      <c r="C63" s="1754">
        <f>'5.tábla'!DS62</f>
        <v>200000</v>
      </c>
      <c r="D63" s="1755">
        <f>'5.tábla'!DT62</f>
        <v>200000</v>
      </c>
      <c r="E63" s="1756">
        <f>'5.tábla'!DU62</f>
        <v>0</v>
      </c>
      <c r="F63" s="1775">
        <f>E63/D63*100</f>
        <v>0</v>
      </c>
      <c r="G63" s="5"/>
      <c r="H63" s="31"/>
      <c r="I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x14ac:dyDescent="0.2">
      <c r="A64" s="1681" t="s">
        <v>593</v>
      </c>
      <c r="B64" s="1687" t="s">
        <v>983</v>
      </c>
      <c r="C64" s="1754">
        <f>'5.tábla'!DS63</f>
        <v>0</v>
      </c>
      <c r="D64" s="1755">
        <f>'5.tábla'!DT63</f>
        <v>0</v>
      </c>
      <c r="E64" s="1756">
        <f>'5.tábla'!DU63</f>
        <v>0</v>
      </c>
      <c r="F64" s="1775">
        <v>0</v>
      </c>
      <c r="G64" s="5"/>
      <c r="H64" s="31"/>
      <c r="I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x14ac:dyDescent="0.2">
      <c r="A65" s="1681" t="s">
        <v>594</v>
      </c>
      <c r="B65" s="1687" t="s">
        <v>984</v>
      </c>
      <c r="C65" s="1754">
        <f>'5.tábla'!DS64</f>
        <v>0</v>
      </c>
      <c r="D65" s="1755">
        <f>'5.tábla'!DT64</f>
        <v>0</v>
      </c>
      <c r="E65" s="1756">
        <f>'5.tábla'!DU64</f>
        <v>0</v>
      </c>
      <c r="F65" s="1775">
        <v>0</v>
      </c>
      <c r="G65" s="5"/>
      <c r="H65" s="31"/>
      <c r="I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x14ac:dyDescent="0.2">
      <c r="A66" s="1681" t="s">
        <v>595</v>
      </c>
      <c r="B66" s="1687" t="s">
        <v>988</v>
      </c>
      <c r="C66" s="1754">
        <f>'5.tábla'!DS65</f>
        <v>0</v>
      </c>
      <c r="D66" s="1755">
        <f>'5.tábla'!DT65</f>
        <v>0</v>
      </c>
      <c r="E66" s="1756">
        <f>'5.tábla'!DU65</f>
        <v>0</v>
      </c>
      <c r="F66" s="1775">
        <v>0</v>
      </c>
      <c r="G66" s="5"/>
      <c r="H66" s="31"/>
      <c r="I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x14ac:dyDescent="0.2">
      <c r="A67" s="1681" t="s">
        <v>39</v>
      </c>
      <c r="B67" s="1688" t="s">
        <v>990</v>
      </c>
      <c r="C67" s="1754">
        <f>'5.tábla'!DS66</f>
        <v>0</v>
      </c>
      <c r="D67" s="1755">
        <f>'5.tábla'!DT66</f>
        <v>304449.20500000002</v>
      </c>
      <c r="E67" s="1756">
        <f>'5.tábla'!DU66</f>
        <v>304449.20500000002</v>
      </c>
      <c r="F67" s="720">
        <f>E67/D67*100</f>
        <v>100</v>
      </c>
      <c r="G67" s="5"/>
      <c r="H67" s="31"/>
      <c r="I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x14ac:dyDescent="0.2">
      <c r="A68" s="1689" t="s">
        <v>116</v>
      </c>
      <c r="B68" s="1690" t="s">
        <v>989</v>
      </c>
      <c r="C68" s="1735">
        <f>C69+C70+C81+C82</f>
        <v>1355150</v>
      </c>
      <c r="D68" s="1730">
        <f>D69+D70+D81+D82</f>
        <v>1366385</v>
      </c>
      <c r="E68" s="1731">
        <f>E69+E70+E81+E82</f>
        <v>831772.91</v>
      </c>
      <c r="F68" s="1782">
        <f t="shared" ref="F68:F76" si="5">E68/D68*100</f>
        <v>60.873978417503125</v>
      </c>
      <c r="G68" s="5"/>
      <c r="H68" s="31"/>
      <c r="I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x14ac:dyDescent="0.2">
      <c r="A69" s="1681" t="s">
        <v>40</v>
      </c>
      <c r="B69" s="1682" t="s">
        <v>966</v>
      </c>
      <c r="C69" s="1754">
        <f>'5.tábla'!DS68</f>
        <v>0</v>
      </c>
      <c r="D69" s="1755">
        <f>'5.tábla'!DT68</f>
        <v>0</v>
      </c>
      <c r="E69" s="1756">
        <f>'5.tábla'!DU68</f>
        <v>0</v>
      </c>
      <c r="F69" s="1180">
        <v>0</v>
      </c>
      <c r="G69" s="5"/>
      <c r="H69" s="31"/>
      <c r="I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x14ac:dyDescent="0.2">
      <c r="A70" s="1681" t="s">
        <v>41</v>
      </c>
      <c r="B70" s="1682" t="s">
        <v>967</v>
      </c>
      <c r="C70" s="1736">
        <f>C71+C76+C79+C80</f>
        <v>1355000</v>
      </c>
      <c r="D70" s="1737">
        <f>D71+D76+D79+D80</f>
        <v>1355000</v>
      </c>
      <c r="E70" s="1738">
        <f>E71+E76+E79+E80</f>
        <v>820387.67700000003</v>
      </c>
      <c r="F70" s="1774">
        <f t="shared" si="5"/>
        <v>60.54521601476015</v>
      </c>
      <c r="G70" s="5"/>
      <c r="H70" s="31"/>
      <c r="I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x14ac:dyDescent="0.2">
      <c r="A71" s="1695"/>
      <c r="B71" s="1696" t="s">
        <v>35</v>
      </c>
      <c r="C71" s="1739">
        <f>SUM(C72:C75)</f>
        <v>760000</v>
      </c>
      <c r="D71" s="698">
        <f>SUM(D72:D75)</f>
        <v>760000</v>
      </c>
      <c r="E71" s="663">
        <f>SUM(E72:E75)</f>
        <v>369791.70600000001</v>
      </c>
      <c r="F71" s="717">
        <f t="shared" si="5"/>
        <v>48.656803421052629</v>
      </c>
      <c r="G71" s="5"/>
      <c r="H71" s="31"/>
      <c r="I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x14ac:dyDescent="0.2">
      <c r="A72" s="1181"/>
      <c r="B72" s="1697" t="s">
        <v>654</v>
      </c>
      <c r="C72" s="656">
        <f>'5.tábla'!DS71</f>
        <v>60000</v>
      </c>
      <c r="D72" s="699">
        <f>'5.tábla'!DT71</f>
        <v>60000</v>
      </c>
      <c r="E72" s="664">
        <f>'5.tábla'!DU71</f>
        <v>91461.706000000006</v>
      </c>
      <c r="F72" s="719">
        <f t="shared" si="5"/>
        <v>152.43617666666665</v>
      </c>
      <c r="G72" s="5"/>
      <c r="H72" s="31"/>
      <c r="I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x14ac:dyDescent="0.2">
      <c r="A73" s="1181"/>
      <c r="B73" s="1697" t="s">
        <v>655</v>
      </c>
      <c r="C73" s="659">
        <f>'5.tábla'!DS72</f>
        <v>50000</v>
      </c>
      <c r="D73" s="702">
        <f>'5.tábla'!DT72</f>
        <v>50000</v>
      </c>
      <c r="E73" s="667">
        <f>'5.tábla'!DU72</f>
        <v>12930</v>
      </c>
      <c r="F73" s="719">
        <f t="shared" si="5"/>
        <v>25.86</v>
      </c>
      <c r="G73" s="5"/>
      <c r="H73" s="31"/>
      <c r="I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5" x14ac:dyDescent="0.2">
      <c r="A74" s="1181"/>
      <c r="B74" s="1698" t="s">
        <v>84</v>
      </c>
      <c r="C74" s="656">
        <f>'5.tábla'!DS73</f>
        <v>250000</v>
      </c>
      <c r="D74" s="699">
        <f>'5.tábla'!DT73</f>
        <v>250000</v>
      </c>
      <c r="E74" s="664">
        <f>'5.tábla'!DU73</f>
        <v>260922</v>
      </c>
      <c r="F74" s="719">
        <f t="shared" si="5"/>
        <v>104.36879999999999</v>
      </c>
      <c r="G74" s="5"/>
      <c r="H74" s="31"/>
      <c r="I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5" x14ac:dyDescent="0.2">
      <c r="A75" s="1181"/>
      <c r="B75" s="1698" t="s">
        <v>1185</v>
      </c>
      <c r="C75" s="656">
        <f>'5.tábla'!DS74</f>
        <v>400000</v>
      </c>
      <c r="D75" s="699">
        <f>'5.tábla'!DT74</f>
        <v>400000</v>
      </c>
      <c r="E75" s="664">
        <f>'5.tábla'!DU74</f>
        <v>4478</v>
      </c>
      <c r="F75" s="719">
        <f t="shared" si="5"/>
        <v>1.1194999999999999</v>
      </c>
      <c r="G75" s="5"/>
      <c r="H75" s="31"/>
      <c r="I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x14ac:dyDescent="0.2">
      <c r="A76" s="1181"/>
      <c r="B76" s="548" t="s">
        <v>77</v>
      </c>
      <c r="C76" s="1739">
        <f>SUM(C77:C78)</f>
        <v>245000</v>
      </c>
      <c r="D76" s="698">
        <f>SUM(D77:D78)</f>
        <v>245000</v>
      </c>
      <c r="E76" s="663">
        <f>SUM(E77:E78)</f>
        <v>379593.18400000001</v>
      </c>
      <c r="F76" s="1776">
        <f t="shared" si="5"/>
        <v>154.93599346938777</v>
      </c>
      <c r="G76" s="5"/>
      <c r="H76" s="31"/>
      <c r="I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x14ac:dyDescent="0.2">
      <c r="A77" s="1181"/>
      <c r="B77" s="1697" t="s">
        <v>78</v>
      </c>
      <c r="C77" s="656">
        <f>'5.tábla'!DS76</f>
        <v>95000</v>
      </c>
      <c r="D77" s="699">
        <f>'5.tábla'!DT76</f>
        <v>95000</v>
      </c>
      <c r="E77" s="664">
        <f>'5.tábla'!DU76</f>
        <v>79522.763999999996</v>
      </c>
      <c r="F77" s="1779">
        <f t="shared" ref="F77:F86" si="6">E77/D77*100</f>
        <v>83.708172631578947</v>
      </c>
      <c r="G77" s="5"/>
      <c r="H77" s="31"/>
      <c r="I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x14ac:dyDescent="0.2">
      <c r="A78" s="1181"/>
      <c r="B78" s="1697" t="s">
        <v>79</v>
      </c>
      <c r="C78" s="659">
        <f>'5.tábla'!DS77</f>
        <v>150000</v>
      </c>
      <c r="D78" s="702">
        <f>'5.tábla'!DT77</f>
        <v>150000</v>
      </c>
      <c r="E78" s="667">
        <f>'5.tábla'!DU77</f>
        <v>300070.42</v>
      </c>
      <c r="F78" s="1779">
        <f t="shared" si="6"/>
        <v>200.04694666666666</v>
      </c>
      <c r="G78" s="5"/>
      <c r="H78" s="31"/>
      <c r="I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x14ac:dyDescent="0.2">
      <c r="A79" s="1181"/>
      <c r="B79" s="548" t="s">
        <v>80</v>
      </c>
      <c r="C79" s="658">
        <f>'5.tábla'!DS78</f>
        <v>350000</v>
      </c>
      <c r="D79" s="701">
        <f>'5.tábla'!DT78</f>
        <v>350000</v>
      </c>
      <c r="E79" s="666">
        <f>'5.tábla'!DU78</f>
        <v>71002.786999999997</v>
      </c>
      <c r="F79" s="717">
        <f t="shared" si="6"/>
        <v>20.286510571428572</v>
      </c>
      <c r="G79" s="5"/>
      <c r="H79" s="31"/>
      <c r="I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hidden="1" x14ac:dyDescent="0.2">
      <c r="A80" s="1699"/>
      <c r="B80" s="1700" t="s">
        <v>81</v>
      </c>
      <c r="C80" s="658">
        <f>'5.tábla'!DS79</f>
        <v>0</v>
      </c>
      <c r="D80" s="701">
        <f>'5.tábla'!DT79</f>
        <v>0</v>
      </c>
      <c r="E80" s="666">
        <f>'5.tábla'!DU79</f>
        <v>0</v>
      </c>
      <c r="F80" s="717">
        <v>0</v>
      </c>
      <c r="G80" s="5"/>
      <c r="H80" s="31"/>
      <c r="I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x14ac:dyDescent="0.2">
      <c r="A81" s="1681" t="s">
        <v>653</v>
      </c>
      <c r="B81" s="1682" t="s">
        <v>968</v>
      </c>
      <c r="C81" s="1708">
        <f>'5.tábla'!DS80</f>
        <v>150</v>
      </c>
      <c r="D81" s="1709">
        <f>'5.tábla'!DT80</f>
        <v>3204</v>
      </c>
      <c r="E81" s="1710">
        <f>'5.tábla'!DU80</f>
        <v>3204.107</v>
      </c>
      <c r="F81" s="1775">
        <f t="shared" si="6"/>
        <v>100.00333957553057</v>
      </c>
      <c r="G81" s="5"/>
      <c r="H81" s="31"/>
      <c r="I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5" x14ac:dyDescent="0.2">
      <c r="A82" s="1681" t="s">
        <v>969</v>
      </c>
      <c r="B82" s="1682" t="s">
        <v>970</v>
      </c>
      <c r="C82" s="1708">
        <f>'5.tábla'!DS81</f>
        <v>0</v>
      </c>
      <c r="D82" s="1709">
        <f>'5.tábla'!DT81</f>
        <v>8181</v>
      </c>
      <c r="E82" s="1710">
        <f>'5.tábla'!DU81</f>
        <v>8181.1260000000002</v>
      </c>
      <c r="F82" s="1775">
        <f t="shared" si="6"/>
        <v>100.00154015401542</v>
      </c>
      <c r="G82" s="5"/>
      <c r="H82" s="31"/>
      <c r="I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 x14ac:dyDescent="0.2">
      <c r="A83" s="1689" t="s">
        <v>117</v>
      </c>
      <c r="B83" s="1690" t="s">
        <v>971</v>
      </c>
      <c r="C83" s="1791">
        <f>C85+C86</f>
        <v>19000</v>
      </c>
      <c r="D83" s="1792">
        <f>D85+D86</f>
        <v>50876.55</v>
      </c>
      <c r="E83" s="1793">
        <f>E85+E86</f>
        <v>45515.555</v>
      </c>
      <c r="F83" s="1794">
        <f t="shared" si="6"/>
        <v>89.462738727370464</v>
      </c>
      <c r="G83" s="5"/>
      <c r="H83" s="31"/>
      <c r="I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25" x14ac:dyDescent="0.2">
      <c r="A84" s="1681" t="s">
        <v>42</v>
      </c>
      <c r="B84" s="1687" t="s">
        <v>991</v>
      </c>
      <c r="C84" s="1754">
        <f>'5.tábla'!DS83</f>
        <v>0</v>
      </c>
      <c r="D84" s="1755">
        <f>'5.tábla'!DT83</f>
        <v>0</v>
      </c>
      <c r="E84" s="1756">
        <f>'5.tábla'!DU83</f>
        <v>0</v>
      </c>
      <c r="F84" s="720">
        <v>0</v>
      </c>
      <c r="G84" s="5"/>
      <c r="H84" s="31"/>
      <c r="I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x14ac:dyDescent="0.2">
      <c r="A85" s="1681" t="s">
        <v>652</v>
      </c>
      <c r="B85" s="1701" t="s">
        <v>992</v>
      </c>
      <c r="C85" s="1754">
        <f>'5.tábla'!DS84</f>
        <v>19000</v>
      </c>
      <c r="D85" s="1755">
        <f>'5.tábla'!DT84</f>
        <v>18976</v>
      </c>
      <c r="E85" s="1756">
        <f>'5.tábla'!DU84</f>
        <v>13615.005000000001</v>
      </c>
      <c r="F85" s="720">
        <f t="shared" si="6"/>
        <v>71.748550801011817</v>
      </c>
      <c r="G85" s="5"/>
      <c r="H85" s="31"/>
      <c r="I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x14ac:dyDescent="0.2">
      <c r="A86" s="1681" t="s">
        <v>868</v>
      </c>
      <c r="B86" s="1682" t="s">
        <v>993</v>
      </c>
      <c r="C86" s="1754">
        <f>'5.tábla'!DS85</f>
        <v>0</v>
      </c>
      <c r="D86" s="1755">
        <f>'5.tábla'!DT85</f>
        <v>31900.55</v>
      </c>
      <c r="E86" s="1756">
        <f>'5.tábla'!DU85</f>
        <v>31900.55</v>
      </c>
      <c r="F86" s="720">
        <f t="shared" si="6"/>
        <v>100</v>
      </c>
      <c r="G86" s="5"/>
      <c r="H86" s="31"/>
      <c r="I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5.75" x14ac:dyDescent="0.2">
      <c r="A87" s="1702" t="s">
        <v>692</v>
      </c>
      <c r="B87" s="1703" t="s">
        <v>972</v>
      </c>
      <c r="C87" s="1726">
        <f>C13+C61</f>
        <v>16375722.34</v>
      </c>
      <c r="D87" s="1727">
        <f>D13+D61</f>
        <v>17021198.072999999</v>
      </c>
      <c r="E87" s="1728">
        <f>E13+E61</f>
        <v>16603801.876999998</v>
      </c>
      <c r="F87" s="1795">
        <f t="shared" ref="F87:F93" si="7">E87/D87*100</f>
        <v>97.547786035918946</v>
      </c>
      <c r="G87" s="12"/>
      <c r="H87" s="31"/>
      <c r="I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x14ac:dyDescent="0.2">
      <c r="A88" s="1677" t="s">
        <v>9</v>
      </c>
      <c r="B88" s="1678" t="s">
        <v>973</v>
      </c>
      <c r="C88" s="1760">
        <f>C89</f>
        <v>1916557</v>
      </c>
      <c r="D88" s="705">
        <f>D89</f>
        <v>12591119.504999999</v>
      </c>
      <c r="E88" s="788">
        <f>E89</f>
        <v>12195560.194999998</v>
      </c>
      <c r="F88" s="1783">
        <f t="shared" si="7"/>
        <v>96.858426211879561</v>
      </c>
      <c r="G88" s="12"/>
      <c r="H88" s="31"/>
      <c r="I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x14ac:dyDescent="0.2">
      <c r="A89" s="1679" t="s">
        <v>327</v>
      </c>
      <c r="B89" s="1680" t="s">
        <v>974</v>
      </c>
      <c r="C89" s="1760">
        <f>SUM(C90:C94)</f>
        <v>1916557</v>
      </c>
      <c r="D89" s="705">
        <f>SUM(D90:D94)</f>
        <v>12591119.504999999</v>
      </c>
      <c r="E89" s="788">
        <f>SUM(E90:E94)</f>
        <v>12195560.194999998</v>
      </c>
      <c r="F89" s="1783">
        <f t="shared" si="7"/>
        <v>96.858426211879561</v>
      </c>
      <c r="G89" s="12"/>
      <c r="H89" s="31"/>
      <c r="I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12.75" customHeight="1" x14ac:dyDescent="0.2">
      <c r="A90" s="1681" t="s">
        <v>592</v>
      </c>
      <c r="B90" s="1682" t="s">
        <v>975</v>
      </c>
      <c r="C90" s="1708">
        <f>'5.tábla'!DS89</f>
        <v>0</v>
      </c>
      <c r="D90" s="1709">
        <f>'5.tábla'!DT89</f>
        <v>0</v>
      </c>
      <c r="E90" s="1710">
        <f>'5.tábla'!DU89</f>
        <v>0</v>
      </c>
      <c r="F90" s="1775">
        <v>0</v>
      </c>
      <c r="G90" s="12"/>
      <c r="H90" s="31"/>
      <c r="I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x14ac:dyDescent="0.2">
      <c r="A91" s="1681" t="s">
        <v>593</v>
      </c>
      <c r="B91" s="1687" t="s">
        <v>994</v>
      </c>
      <c r="C91" s="1708">
        <f>'5.tábla'!DS90</f>
        <v>650000</v>
      </c>
      <c r="D91" s="1709">
        <f>'5.tábla'!DT90</f>
        <v>8610052</v>
      </c>
      <c r="E91" s="1710">
        <f>'5.tábla'!DU90</f>
        <v>8175052</v>
      </c>
      <c r="F91" s="720">
        <f>E91/D91*100</f>
        <v>94.947765704550918</v>
      </c>
      <c r="G91" s="12"/>
      <c r="H91" s="31"/>
      <c r="I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x14ac:dyDescent="0.2">
      <c r="A92" s="1681" t="s">
        <v>594</v>
      </c>
      <c r="B92" s="1701" t="s">
        <v>997</v>
      </c>
      <c r="C92" s="1708">
        <f>'5.tábla'!DS91+'5.tábla'!DS92</f>
        <v>1266557</v>
      </c>
      <c r="D92" s="1709">
        <f>'5.tábla'!DT91+'5.tábla'!DT92</f>
        <v>3937607.0049999999</v>
      </c>
      <c r="E92" s="1710">
        <f>'5.tábla'!DU91+'5.tábla'!DU92</f>
        <v>3937607.0049999999</v>
      </c>
      <c r="F92" s="722">
        <f t="shared" si="7"/>
        <v>100</v>
      </c>
      <c r="G92" s="12"/>
      <c r="H92" s="31"/>
      <c r="I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 x14ac:dyDescent="0.2">
      <c r="A93" s="1681" t="s">
        <v>595</v>
      </c>
      <c r="B93" s="1701" t="s">
        <v>1344</v>
      </c>
      <c r="C93" s="1708"/>
      <c r="D93" s="1709">
        <f>'5.tábla'!CY93</f>
        <v>43460.5</v>
      </c>
      <c r="E93" s="1709">
        <f>'5.tábla'!CZ93</f>
        <v>82901.19</v>
      </c>
      <c r="F93" s="722">
        <f t="shared" si="7"/>
        <v>190.7506586440561</v>
      </c>
      <c r="G93" s="12"/>
      <c r="H93" s="31"/>
      <c r="I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ht="13.5" thickBot="1" x14ac:dyDescent="0.25">
      <c r="A94" s="1681" t="s">
        <v>39</v>
      </c>
      <c r="B94" s="1701" t="s">
        <v>1089</v>
      </c>
      <c r="C94" s="1708">
        <f>'5.tábla'!DS94</f>
        <v>0</v>
      </c>
      <c r="D94" s="1709">
        <f>'5.tábla'!DT94</f>
        <v>0</v>
      </c>
      <c r="E94" s="1710">
        <f>'5.tábla'!DU94</f>
        <v>0</v>
      </c>
      <c r="F94" s="1967">
        <v>0</v>
      </c>
      <c r="G94" s="12"/>
      <c r="H94" s="31"/>
      <c r="I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ht="16.5" thickBot="1" x14ac:dyDescent="0.25">
      <c r="A95" s="549"/>
      <c r="B95" s="1704" t="s">
        <v>976</v>
      </c>
      <c r="C95" s="661">
        <f>C87+C88</f>
        <v>18292279.34</v>
      </c>
      <c r="D95" s="704">
        <f>D87+D88</f>
        <v>29612317.577999998</v>
      </c>
      <c r="E95" s="669">
        <f>E87+E88</f>
        <v>28799362.071999997</v>
      </c>
      <c r="F95" s="1796">
        <f>E95/D95*100</f>
        <v>97.254671121709251</v>
      </c>
      <c r="G95" s="12"/>
      <c r="H95" s="31"/>
      <c r="I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x14ac:dyDescent="0.2">
      <c r="A96" s="31"/>
      <c r="B96" s="31"/>
      <c r="C96" s="31"/>
      <c r="D96" s="31"/>
      <c r="E96" s="31"/>
      <c r="F96" s="31"/>
      <c r="G96" s="12"/>
      <c r="H96" s="31"/>
      <c r="I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1:5" ht="15.75" hidden="1" x14ac:dyDescent="0.25">
      <c r="A97" s="3"/>
      <c r="B97" s="12"/>
      <c r="C97" s="910"/>
      <c r="D97" s="4" t="e">
        <v>#REF!</v>
      </c>
      <c r="E97" s="4" t="e">
        <f>#REF!-#REF!</f>
        <v>#REF!</v>
      </c>
    </row>
    <row r="98" spans="1:5" ht="15.75" x14ac:dyDescent="0.25">
      <c r="A98" s="3"/>
      <c r="B98" s="12"/>
      <c r="C98" s="910"/>
      <c r="D98" s="4"/>
      <c r="E98" s="4"/>
    </row>
    <row r="99" spans="1:5" x14ac:dyDescent="0.2">
      <c r="A99" s="3"/>
      <c r="C99" s="911"/>
      <c r="D99" s="911"/>
      <c r="E99" s="911"/>
    </row>
    <row r="100" spans="1:5" x14ac:dyDescent="0.2">
      <c r="A100" s="3"/>
      <c r="D100" s="911"/>
    </row>
    <row r="101" spans="1:5" x14ac:dyDescent="0.2">
      <c r="D101" s="911"/>
    </row>
    <row r="102" spans="1:5" x14ac:dyDescent="0.2">
      <c r="D102" s="911"/>
    </row>
    <row r="103" spans="1:5" x14ac:dyDescent="0.2">
      <c r="D103" s="911"/>
    </row>
  </sheetData>
  <mergeCells count="2">
    <mergeCell ref="A6:F6"/>
    <mergeCell ref="A7:F7"/>
  </mergeCells>
  <phoneticPr fontId="0" type="noConversion"/>
  <printOptions horizontalCentered="1" verticalCentered="1"/>
  <pageMargins left="0" right="0" top="0.39370078740157483" bottom="0.19685039370078741" header="0.19685039370078741" footer="0.11811023622047245"/>
  <pageSetup paperSize="9" scale="6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68"/>
  <sheetViews>
    <sheetView view="pageBreakPreview" topLeftCell="A8" zoomScale="80" zoomScaleSheetLayoutView="80" workbookViewId="0">
      <pane xSplit="2" ySplit="6" topLeftCell="C14" activePane="bottomRight" state="frozen"/>
      <selection activeCell="A8" sqref="A8"/>
      <selection pane="topRight" activeCell="C8" sqref="C8"/>
      <selection pane="bottomLeft" activeCell="A14" sqref="A14"/>
      <selection pane="bottomRight" activeCell="C14" sqref="C14"/>
    </sheetView>
  </sheetViews>
  <sheetFormatPr defaultRowHeight="12.75" x14ac:dyDescent="0.2"/>
  <cols>
    <col min="1" max="1" width="7.42578125" style="85" customWidth="1"/>
    <col min="2" max="2" width="50.7109375" style="85" customWidth="1"/>
    <col min="3" max="5" width="11.7109375" style="85" customWidth="1"/>
    <col min="6" max="8" width="10.7109375" style="85" customWidth="1"/>
    <col min="9" max="20" width="8.85546875" style="85" customWidth="1"/>
    <col min="21" max="23" width="11.140625" style="85" customWidth="1"/>
    <col min="24" max="32" width="8.85546875" style="85" customWidth="1"/>
    <col min="33" max="35" width="11" style="85" customWidth="1"/>
    <col min="36" max="38" width="8.85546875" style="85" customWidth="1"/>
    <col min="39" max="41" width="9.7109375" style="85" customWidth="1"/>
    <col min="42" max="47" width="8.85546875" style="85" customWidth="1"/>
    <col min="48" max="50" width="10.7109375" style="85" customWidth="1"/>
    <col min="51" max="53" width="9.140625" style="85"/>
    <col min="54" max="56" width="10.7109375" style="85" customWidth="1"/>
    <col min="57" max="57" width="8.85546875" style="85" customWidth="1"/>
    <col min="58" max="59" width="10.7109375" style="85" customWidth="1"/>
    <col min="60" max="62" width="12.7109375" style="85" customWidth="1"/>
    <col min="63" max="98" width="8.85546875" style="85" customWidth="1"/>
    <col min="99" max="101" width="10.7109375" style="85" customWidth="1"/>
    <col min="102" max="102" width="12.7109375" style="85" customWidth="1"/>
    <col min="103" max="103" width="12.85546875" style="85" customWidth="1"/>
    <col min="104" max="104" width="12.7109375" style="85" customWidth="1"/>
    <col min="105" max="105" width="9.28515625" style="85" customWidth="1"/>
    <col min="106" max="106" width="8.85546875" style="85" customWidth="1"/>
    <col min="107" max="110" width="9.5703125" style="85" customWidth="1"/>
    <col min="111" max="113" width="10.7109375" style="85" customWidth="1"/>
    <col min="114" max="116" width="12.7109375" style="85" customWidth="1"/>
    <col min="117" max="122" width="10.7109375" style="85" customWidth="1"/>
    <col min="123" max="125" width="12.7109375" style="85" customWidth="1"/>
    <col min="126" max="126" width="9.28515625" style="85" bestFit="1" customWidth="1"/>
    <col min="127" max="16384" width="9.140625" style="85"/>
  </cols>
  <sheetData>
    <row r="1" spans="1:126" ht="6" customHeight="1" x14ac:dyDescent="0.2"/>
    <row r="2" spans="1:126" ht="18" customHeight="1" x14ac:dyDescent="0.2">
      <c r="W2" s="913" t="s">
        <v>1183</v>
      </c>
      <c r="Z2" s="913"/>
      <c r="AR2" s="913" t="s">
        <v>640</v>
      </c>
      <c r="AX2" s="924"/>
      <c r="BA2" s="913"/>
      <c r="BJ2" s="913" t="s">
        <v>642</v>
      </c>
      <c r="BY2" s="913"/>
      <c r="CE2" s="913" t="s">
        <v>1049</v>
      </c>
      <c r="CZ2" s="913" t="s">
        <v>643</v>
      </c>
      <c r="DF2" s="913"/>
      <c r="DL2" s="913" t="s">
        <v>200</v>
      </c>
      <c r="DV2" s="913" t="s">
        <v>1347</v>
      </c>
    </row>
    <row r="3" spans="1:126" ht="15" customHeight="1" x14ac:dyDescent="0.2">
      <c r="W3" s="913" t="s">
        <v>57</v>
      </c>
      <c r="Z3" s="913"/>
    </row>
    <row r="4" spans="1:126" ht="30" hidden="1" customHeight="1" x14ac:dyDescent="0.2">
      <c r="W4" s="925" t="s">
        <v>212</v>
      </c>
      <c r="Z4" s="925"/>
      <c r="AR4" s="925" t="s">
        <v>639</v>
      </c>
      <c r="AX4" s="925"/>
      <c r="BA4" s="925"/>
      <c r="BJ4" s="925" t="s">
        <v>641</v>
      </c>
      <c r="BY4" s="925"/>
      <c r="CE4" s="925" t="s">
        <v>442</v>
      </c>
      <c r="DV4" s="925" t="s">
        <v>644</v>
      </c>
    </row>
    <row r="5" spans="1:126" ht="32.25" customHeight="1" x14ac:dyDescent="0.25">
      <c r="C5" s="2293" t="s">
        <v>1182</v>
      </c>
      <c r="D5" s="2293"/>
      <c r="E5" s="2293"/>
      <c r="F5" s="2293"/>
      <c r="G5" s="2293"/>
      <c r="H5" s="2293"/>
      <c r="I5" s="2293"/>
      <c r="J5" s="2293"/>
      <c r="K5" s="2293"/>
      <c r="L5" s="2293"/>
      <c r="M5" s="2293"/>
      <c r="N5" s="2293"/>
      <c r="O5" s="2293"/>
      <c r="P5" s="2293"/>
      <c r="Q5" s="2293"/>
      <c r="R5" s="2293"/>
      <c r="S5" s="2293"/>
      <c r="T5" s="2293"/>
      <c r="U5" s="2293"/>
      <c r="V5" s="2293"/>
      <c r="W5" s="2293"/>
    </row>
    <row r="6" spans="1:126" ht="16.5" customHeight="1" x14ac:dyDescent="0.2">
      <c r="C6" s="2283" t="s">
        <v>1050</v>
      </c>
      <c r="D6" s="2283"/>
      <c r="E6" s="2283"/>
      <c r="F6" s="2283"/>
      <c r="G6" s="2283"/>
      <c r="H6" s="2283"/>
      <c r="I6" s="2283"/>
      <c r="J6" s="2283"/>
      <c r="K6" s="2283"/>
      <c r="L6" s="2283"/>
      <c r="M6" s="2283"/>
      <c r="N6" s="2283"/>
      <c r="O6" s="2283"/>
      <c r="P6" s="2283"/>
      <c r="Q6" s="2283"/>
      <c r="R6" s="2283"/>
      <c r="S6" s="2283"/>
      <c r="T6" s="2283"/>
      <c r="U6" s="2283"/>
      <c r="V6" s="2283"/>
      <c r="W6" s="2283"/>
    </row>
    <row r="7" spans="1:126" ht="22.5" customHeight="1" thickBot="1" x14ac:dyDescent="0.25"/>
    <row r="8" spans="1:126" ht="12.75" customHeight="1" x14ac:dyDescent="0.2">
      <c r="A8" s="103" t="s">
        <v>571</v>
      </c>
      <c r="B8" s="103" t="s">
        <v>571</v>
      </c>
      <c r="C8" s="2261" t="s">
        <v>716</v>
      </c>
      <c r="D8" s="2262"/>
      <c r="E8" s="2263"/>
      <c r="F8" s="2261" t="s">
        <v>253</v>
      </c>
      <c r="G8" s="2262"/>
      <c r="H8" s="2263"/>
      <c r="I8" s="104" t="s">
        <v>718</v>
      </c>
      <c r="J8" s="105"/>
      <c r="K8" s="105"/>
      <c r="L8" s="2261" t="s">
        <v>719</v>
      </c>
      <c r="M8" s="2267"/>
      <c r="N8" s="2267"/>
      <c r="O8" s="2261" t="s">
        <v>721</v>
      </c>
      <c r="P8" s="2267"/>
      <c r="Q8" s="2279"/>
      <c r="R8" s="2261" t="s">
        <v>722</v>
      </c>
      <c r="S8" s="2267"/>
      <c r="T8" s="2279"/>
      <c r="U8" s="2261" t="s">
        <v>723</v>
      </c>
      <c r="V8" s="2262"/>
      <c r="W8" s="2263"/>
      <c r="X8" s="2261" t="s">
        <v>535</v>
      </c>
      <c r="Y8" s="2267"/>
      <c r="Z8" s="2267"/>
      <c r="AA8" s="2261" t="s">
        <v>724</v>
      </c>
      <c r="AB8" s="2267"/>
      <c r="AC8" s="2267"/>
      <c r="AD8" s="2261" t="s">
        <v>537</v>
      </c>
      <c r="AE8" s="2267"/>
      <c r="AF8" s="2267"/>
      <c r="AG8" s="2261" t="s">
        <v>725</v>
      </c>
      <c r="AH8" s="2267"/>
      <c r="AI8" s="2267"/>
      <c r="AJ8" s="2261" t="s">
        <v>726</v>
      </c>
      <c r="AK8" s="2262"/>
      <c r="AL8" s="2263"/>
      <c r="AM8" s="2261" t="s">
        <v>727</v>
      </c>
      <c r="AN8" s="2262"/>
      <c r="AO8" s="2263"/>
      <c r="AP8" s="2261" t="s">
        <v>728</v>
      </c>
      <c r="AQ8" s="2262"/>
      <c r="AR8" s="2263"/>
      <c r="AS8" s="2261" t="s">
        <v>729</v>
      </c>
      <c r="AT8" s="2262"/>
      <c r="AU8" s="2263"/>
      <c r="AV8" s="2294" t="s">
        <v>1176</v>
      </c>
      <c r="AW8" s="2295"/>
      <c r="AX8" s="2296"/>
      <c r="AY8" s="2261" t="s">
        <v>254</v>
      </c>
      <c r="AZ8" s="2267"/>
      <c r="BA8" s="2279"/>
      <c r="BB8" s="2261" t="s">
        <v>730</v>
      </c>
      <c r="BC8" s="2267"/>
      <c r="BD8" s="2279"/>
      <c r="BE8" s="2294" t="s">
        <v>732</v>
      </c>
      <c r="BF8" s="2295"/>
      <c r="BG8" s="2296"/>
      <c r="BH8" s="2300" t="s">
        <v>524</v>
      </c>
      <c r="BI8" s="2301"/>
      <c r="BJ8" s="2302"/>
      <c r="BK8" s="2294" t="s">
        <v>154</v>
      </c>
      <c r="BL8" s="2295"/>
      <c r="BM8" s="2296"/>
      <c r="BN8" s="2294" t="s">
        <v>525</v>
      </c>
      <c r="BO8" s="2295"/>
      <c r="BP8" s="2296"/>
      <c r="BQ8" s="2261" t="s">
        <v>527</v>
      </c>
      <c r="BR8" s="2267"/>
      <c r="BS8" s="2279"/>
      <c r="BT8" s="2268" t="s">
        <v>529</v>
      </c>
      <c r="BU8" s="2269"/>
      <c r="BV8" s="2270"/>
      <c r="BW8" s="2268" t="s">
        <v>90</v>
      </c>
      <c r="BX8" s="2269"/>
      <c r="BY8" s="2270"/>
      <c r="BZ8" s="2268" t="s">
        <v>155</v>
      </c>
      <c r="CA8" s="2269"/>
      <c r="CB8" s="2270"/>
      <c r="CC8" s="2268" t="s">
        <v>531</v>
      </c>
      <c r="CD8" s="2269"/>
      <c r="CE8" s="2270"/>
      <c r="CF8" s="2290" t="s">
        <v>52</v>
      </c>
      <c r="CG8" s="2291"/>
      <c r="CH8" s="2292"/>
      <c r="CI8" s="2261" t="s">
        <v>533</v>
      </c>
      <c r="CJ8" s="2267"/>
      <c r="CK8" s="2267"/>
      <c r="CL8" s="2261" t="s">
        <v>1136</v>
      </c>
      <c r="CM8" s="2267"/>
      <c r="CN8" s="2279"/>
      <c r="CO8" s="2261" t="s">
        <v>1179</v>
      </c>
      <c r="CP8" s="2267"/>
      <c r="CQ8" s="2279"/>
      <c r="CR8" s="2261" t="s">
        <v>52</v>
      </c>
      <c r="CS8" s="2267"/>
      <c r="CT8" s="2279"/>
      <c r="CU8" s="2256" t="s">
        <v>534</v>
      </c>
      <c r="CV8" s="2257"/>
      <c r="CW8" s="2282"/>
      <c r="CX8" s="2256" t="s">
        <v>255</v>
      </c>
      <c r="CY8" s="2257"/>
      <c r="CZ8" s="2282"/>
      <c r="DA8" s="2261" t="s">
        <v>538</v>
      </c>
      <c r="DB8" s="2267"/>
      <c r="DC8" s="2279"/>
      <c r="DD8" s="2261" t="s">
        <v>31</v>
      </c>
      <c r="DE8" s="2267"/>
      <c r="DF8" s="2279"/>
      <c r="DG8" s="2261" t="s">
        <v>540</v>
      </c>
      <c r="DH8" s="2262"/>
      <c r="DI8" s="2263"/>
      <c r="DJ8" s="2256" t="s">
        <v>366</v>
      </c>
      <c r="DK8" s="2257"/>
      <c r="DL8" s="2257"/>
      <c r="DM8" s="2261" t="s">
        <v>895</v>
      </c>
      <c r="DN8" s="2262"/>
      <c r="DO8" s="2263"/>
      <c r="DP8" s="2261" t="s">
        <v>162</v>
      </c>
      <c r="DQ8" s="2262"/>
      <c r="DR8" s="2263"/>
      <c r="DS8" s="2256" t="s">
        <v>714</v>
      </c>
      <c r="DT8" s="2257"/>
      <c r="DU8" s="2257"/>
      <c r="DV8" s="106"/>
    </row>
    <row r="9" spans="1:126" ht="12.75" customHeight="1" thickBot="1" x14ac:dyDescent="0.25">
      <c r="A9" s="107" t="s">
        <v>369</v>
      </c>
      <c r="B9" s="107" t="s">
        <v>367</v>
      </c>
      <c r="C9" s="2264" t="s">
        <v>717</v>
      </c>
      <c r="D9" s="2265"/>
      <c r="E9" s="2266"/>
      <c r="F9" s="108"/>
      <c r="G9" s="109"/>
      <c r="H9" s="109"/>
      <c r="I9" s="108"/>
      <c r="J9" s="109"/>
      <c r="K9" s="109"/>
      <c r="L9" s="2264" t="s">
        <v>720</v>
      </c>
      <c r="M9" s="2265"/>
      <c r="N9" s="2266"/>
      <c r="O9" s="2264" t="s">
        <v>156</v>
      </c>
      <c r="P9" s="2280"/>
      <c r="Q9" s="2281"/>
      <c r="R9" s="2264"/>
      <c r="S9" s="2280"/>
      <c r="T9" s="2281"/>
      <c r="U9" s="2264"/>
      <c r="V9" s="2265"/>
      <c r="W9" s="2266"/>
      <c r="X9" s="2264" t="s">
        <v>536</v>
      </c>
      <c r="Y9" s="2280"/>
      <c r="Z9" s="2281"/>
      <c r="AA9" s="2264"/>
      <c r="AB9" s="2265"/>
      <c r="AC9" s="2266"/>
      <c r="AD9" s="2264" t="s">
        <v>157</v>
      </c>
      <c r="AE9" s="2265"/>
      <c r="AF9" s="2266"/>
      <c r="AG9" s="1066"/>
      <c r="AH9" s="1067"/>
      <c r="AI9" s="1068"/>
      <c r="AJ9" s="2264" t="s">
        <v>156</v>
      </c>
      <c r="AK9" s="2265"/>
      <c r="AL9" s="2266"/>
      <c r="AM9" s="2264"/>
      <c r="AN9" s="2265"/>
      <c r="AO9" s="2266"/>
      <c r="AP9" s="1066"/>
      <c r="AQ9" s="1067"/>
      <c r="AR9" s="1068"/>
      <c r="AS9" s="1066"/>
      <c r="AT9" s="1067"/>
      <c r="AU9" s="1068"/>
      <c r="AV9" s="2297" t="s">
        <v>1177</v>
      </c>
      <c r="AW9" s="2298"/>
      <c r="AX9" s="2299"/>
      <c r="AY9" s="110"/>
      <c r="AZ9" s="111"/>
      <c r="BA9" s="693"/>
      <c r="BB9" s="2264" t="s">
        <v>731</v>
      </c>
      <c r="BC9" s="2280"/>
      <c r="BD9" s="2281"/>
      <c r="BE9" s="2297" t="s">
        <v>733</v>
      </c>
      <c r="BF9" s="2298"/>
      <c r="BG9" s="2299"/>
      <c r="BH9" s="2258" t="s">
        <v>572</v>
      </c>
      <c r="BI9" s="2303"/>
      <c r="BJ9" s="2304"/>
      <c r="BK9" s="2297" t="s">
        <v>157</v>
      </c>
      <c r="BL9" s="2298"/>
      <c r="BM9" s="2299"/>
      <c r="BN9" s="2297" t="s">
        <v>526</v>
      </c>
      <c r="BO9" s="2298"/>
      <c r="BP9" s="2299"/>
      <c r="BQ9" s="2264" t="s">
        <v>528</v>
      </c>
      <c r="BR9" s="2280"/>
      <c r="BS9" s="2281"/>
      <c r="BT9" s="931"/>
      <c r="BU9" s="932"/>
      <c r="BV9" s="933"/>
      <c r="BW9" s="931"/>
      <c r="BX9" s="932"/>
      <c r="BY9" s="933"/>
      <c r="BZ9" s="2271" t="s">
        <v>530</v>
      </c>
      <c r="CA9" s="2272"/>
      <c r="CB9" s="2273"/>
      <c r="CC9" s="2271" t="s">
        <v>156</v>
      </c>
      <c r="CD9" s="2272"/>
      <c r="CE9" s="2273"/>
      <c r="CF9" s="2287" t="s">
        <v>532</v>
      </c>
      <c r="CG9" s="2288"/>
      <c r="CH9" s="2289"/>
      <c r="CI9" s="2264"/>
      <c r="CJ9" s="2280"/>
      <c r="CK9" s="2280"/>
      <c r="CL9" s="2264" t="s">
        <v>1137</v>
      </c>
      <c r="CM9" s="2280"/>
      <c r="CN9" s="2281"/>
      <c r="CO9" s="2264" t="s">
        <v>1178</v>
      </c>
      <c r="CP9" s="2280"/>
      <c r="CQ9" s="2281"/>
      <c r="CR9" s="2264" t="s">
        <v>1190</v>
      </c>
      <c r="CS9" s="2280"/>
      <c r="CT9" s="2281"/>
      <c r="CU9" s="2284" t="s">
        <v>572</v>
      </c>
      <c r="CV9" s="2285"/>
      <c r="CW9" s="2286"/>
      <c r="CX9" s="2258" t="s">
        <v>256</v>
      </c>
      <c r="CY9" s="2259"/>
      <c r="CZ9" s="2260"/>
      <c r="DA9" s="2264" t="s">
        <v>539</v>
      </c>
      <c r="DB9" s="2280"/>
      <c r="DC9" s="2281"/>
      <c r="DD9" s="2264"/>
      <c r="DE9" s="2280"/>
      <c r="DF9" s="2281"/>
      <c r="DG9" s="2264"/>
      <c r="DH9" s="2265"/>
      <c r="DI9" s="2266"/>
      <c r="DJ9" s="2259" t="s">
        <v>572</v>
      </c>
      <c r="DK9" s="2259"/>
      <c r="DL9" s="2260"/>
      <c r="DM9" s="2264" t="s">
        <v>896</v>
      </c>
      <c r="DN9" s="2265"/>
      <c r="DO9" s="2266"/>
      <c r="DP9" s="2264"/>
      <c r="DQ9" s="2265"/>
      <c r="DR9" s="2266"/>
      <c r="DS9" s="2258"/>
      <c r="DT9" s="2259"/>
      <c r="DU9" s="2260"/>
      <c r="DV9" s="89" t="s">
        <v>199</v>
      </c>
    </row>
    <row r="10" spans="1:126" x14ac:dyDescent="0.2">
      <c r="A10" s="107"/>
      <c r="B10" s="107" t="s">
        <v>748</v>
      </c>
      <c r="C10" s="112" t="s">
        <v>158</v>
      </c>
      <c r="D10" s="113" t="s">
        <v>159</v>
      </c>
      <c r="E10" s="113" t="s">
        <v>196</v>
      </c>
      <c r="F10" s="112" t="s">
        <v>158</v>
      </c>
      <c r="G10" s="113" t="s">
        <v>159</v>
      </c>
      <c r="H10" s="113" t="s">
        <v>196</v>
      </c>
      <c r="I10" s="112" t="s">
        <v>158</v>
      </c>
      <c r="J10" s="113" t="s">
        <v>159</v>
      </c>
      <c r="K10" s="113" t="s">
        <v>196</v>
      </c>
      <c r="L10" s="112" t="s">
        <v>158</v>
      </c>
      <c r="M10" s="113" t="s">
        <v>159</v>
      </c>
      <c r="N10" s="113" t="s">
        <v>196</v>
      </c>
      <c r="O10" s="112" t="s">
        <v>158</v>
      </c>
      <c r="P10" s="113" t="s">
        <v>159</v>
      </c>
      <c r="Q10" s="113" t="s">
        <v>196</v>
      </c>
      <c r="R10" s="112" t="s">
        <v>158</v>
      </c>
      <c r="S10" s="113" t="s">
        <v>159</v>
      </c>
      <c r="T10" s="113" t="s">
        <v>196</v>
      </c>
      <c r="U10" s="112" t="s">
        <v>158</v>
      </c>
      <c r="V10" s="113" t="s">
        <v>159</v>
      </c>
      <c r="W10" s="113" t="s">
        <v>196</v>
      </c>
      <c r="X10" s="112" t="s">
        <v>158</v>
      </c>
      <c r="Y10" s="113" t="s">
        <v>159</v>
      </c>
      <c r="Z10" s="113" t="s">
        <v>196</v>
      </c>
      <c r="AA10" s="112" t="s">
        <v>158</v>
      </c>
      <c r="AB10" s="113" t="s">
        <v>159</v>
      </c>
      <c r="AC10" s="113" t="s">
        <v>196</v>
      </c>
      <c r="AD10" s="112" t="s">
        <v>158</v>
      </c>
      <c r="AE10" s="113" t="s">
        <v>159</v>
      </c>
      <c r="AF10" s="113" t="s">
        <v>196</v>
      </c>
      <c r="AG10" s="112" t="s">
        <v>158</v>
      </c>
      <c r="AH10" s="113" t="s">
        <v>159</v>
      </c>
      <c r="AI10" s="113" t="s">
        <v>196</v>
      </c>
      <c r="AJ10" s="112" t="s">
        <v>158</v>
      </c>
      <c r="AK10" s="113" t="s">
        <v>159</v>
      </c>
      <c r="AL10" s="113" t="s">
        <v>196</v>
      </c>
      <c r="AM10" s="112" t="s">
        <v>158</v>
      </c>
      <c r="AN10" s="113" t="s">
        <v>159</v>
      </c>
      <c r="AO10" s="113" t="s">
        <v>196</v>
      </c>
      <c r="AP10" s="112" t="s">
        <v>158</v>
      </c>
      <c r="AQ10" s="113" t="s">
        <v>159</v>
      </c>
      <c r="AR10" s="113" t="s">
        <v>196</v>
      </c>
      <c r="AS10" s="112" t="s">
        <v>158</v>
      </c>
      <c r="AT10" s="113" t="s">
        <v>159</v>
      </c>
      <c r="AU10" s="113" t="s">
        <v>196</v>
      </c>
      <c r="AV10" s="112" t="s">
        <v>158</v>
      </c>
      <c r="AW10" s="113" t="s">
        <v>159</v>
      </c>
      <c r="AX10" s="113" t="s">
        <v>196</v>
      </c>
      <c r="AY10" s="112" t="s">
        <v>158</v>
      </c>
      <c r="AZ10" s="113" t="s">
        <v>159</v>
      </c>
      <c r="BA10" s="113" t="s">
        <v>196</v>
      </c>
      <c r="BB10" s="112" t="s">
        <v>158</v>
      </c>
      <c r="BC10" s="113" t="s">
        <v>159</v>
      </c>
      <c r="BD10" s="113" t="s">
        <v>196</v>
      </c>
      <c r="BE10" s="112" t="s">
        <v>158</v>
      </c>
      <c r="BF10" s="113" t="s">
        <v>159</v>
      </c>
      <c r="BG10" s="113" t="s">
        <v>196</v>
      </c>
      <c r="BH10" s="112" t="s">
        <v>158</v>
      </c>
      <c r="BI10" s="113" t="s">
        <v>159</v>
      </c>
      <c r="BJ10" s="113" t="s">
        <v>196</v>
      </c>
      <c r="BK10" s="112" t="s">
        <v>158</v>
      </c>
      <c r="BL10" s="113" t="s">
        <v>159</v>
      </c>
      <c r="BM10" s="113" t="s">
        <v>196</v>
      </c>
      <c r="BN10" s="112" t="s">
        <v>158</v>
      </c>
      <c r="BO10" s="113" t="s">
        <v>159</v>
      </c>
      <c r="BP10" s="113" t="s">
        <v>196</v>
      </c>
      <c r="BQ10" s="112" t="s">
        <v>158</v>
      </c>
      <c r="BR10" s="113" t="s">
        <v>159</v>
      </c>
      <c r="BS10" s="113" t="s">
        <v>196</v>
      </c>
      <c r="BT10" s="112" t="s">
        <v>158</v>
      </c>
      <c r="BU10" s="113" t="s">
        <v>159</v>
      </c>
      <c r="BV10" s="113" t="s">
        <v>196</v>
      </c>
      <c r="BW10" s="112" t="s">
        <v>158</v>
      </c>
      <c r="BX10" s="113" t="s">
        <v>159</v>
      </c>
      <c r="BY10" s="113" t="s">
        <v>196</v>
      </c>
      <c r="BZ10" s="112" t="s">
        <v>158</v>
      </c>
      <c r="CA10" s="113" t="s">
        <v>159</v>
      </c>
      <c r="CB10" s="113" t="s">
        <v>196</v>
      </c>
      <c r="CC10" s="112" t="s">
        <v>158</v>
      </c>
      <c r="CD10" s="113" t="s">
        <v>159</v>
      </c>
      <c r="CE10" s="113" t="s">
        <v>196</v>
      </c>
      <c r="CF10" s="112" t="s">
        <v>158</v>
      </c>
      <c r="CG10" s="113" t="s">
        <v>159</v>
      </c>
      <c r="CH10" s="113" t="s">
        <v>196</v>
      </c>
      <c r="CI10" s="112" t="s">
        <v>158</v>
      </c>
      <c r="CJ10" s="113" t="s">
        <v>159</v>
      </c>
      <c r="CK10" s="112" t="s">
        <v>196</v>
      </c>
      <c r="CL10" s="112" t="s">
        <v>158</v>
      </c>
      <c r="CM10" s="113" t="s">
        <v>159</v>
      </c>
      <c r="CN10" s="113" t="s">
        <v>196</v>
      </c>
      <c r="CO10" s="112" t="s">
        <v>158</v>
      </c>
      <c r="CP10" s="113" t="s">
        <v>159</v>
      </c>
      <c r="CQ10" s="113" t="s">
        <v>196</v>
      </c>
      <c r="CR10" s="112" t="s">
        <v>158</v>
      </c>
      <c r="CS10" s="113" t="s">
        <v>159</v>
      </c>
      <c r="CT10" s="113" t="s">
        <v>196</v>
      </c>
      <c r="CU10" s="112" t="s">
        <v>158</v>
      </c>
      <c r="CV10" s="113" t="s">
        <v>159</v>
      </c>
      <c r="CW10" s="113" t="s">
        <v>196</v>
      </c>
      <c r="CX10" s="114" t="s">
        <v>158</v>
      </c>
      <c r="CY10" s="59" t="s">
        <v>159</v>
      </c>
      <c r="CZ10" s="59" t="s">
        <v>196</v>
      </c>
      <c r="DA10" s="112" t="s">
        <v>158</v>
      </c>
      <c r="DB10" s="113" t="s">
        <v>159</v>
      </c>
      <c r="DC10" s="113" t="s">
        <v>196</v>
      </c>
      <c r="DD10" s="112" t="s">
        <v>158</v>
      </c>
      <c r="DE10" s="113" t="s">
        <v>159</v>
      </c>
      <c r="DF10" s="113" t="s">
        <v>196</v>
      </c>
      <c r="DG10" s="112" t="s">
        <v>158</v>
      </c>
      <c r="DH10" s="113" t="s">
        <v>159</v>
      </c>
      <c r="DI10" s="113" t="s">
        <v>196</v>
      </c>
      <c r="DJ10" s="114" t="s">
        <v>158</v>
      </c>
      <c r="DK10" s="59" t="s">
        <v>159</v>
      </c>
      <c r="DL10" s="114" t="s">
        <v>196</v>
      </c>
      <c r="DM10" s="2052" t="s">
        <v>158</v>
      </c>
      <c r="DN10" s="2053" t="s">
        <v>159</v>
      </c>
      <c r="DO10" s="2053" t="s">
        <v>196</v>
      </c>
      <c r="DP10" s="406" t="s">
        <v>158</v>
      </c>
      <c r="DQ10" s="113" t="s">
        <v>159</v>
      </c>
      <c r="DR10" s="113" t="s">
        <v>196</v>
      </c>
      <c r="DS10" s="114" t="s">
        <v>158</v>
      </c>
      <c r="DT10" s="59" t="s">
        <v>159</v>
      </c>
      <c r="DU10" s="114" t="s">
        <v>196</v>
      </c>
      <c r="DV10" s="89" t="s">
        <v>197</v>
      </c>
    </row>
    <row r="11" spans="1:126" ht="13.5" thickBot="1" x14ac:dyDescent="0.25">
      <c r="A11" s="115"/>
      <c r="B11" s="115"/>
      <c r="C11" s="2274" t="s">
        <v>8</v>
      </c>
      <c r="D11" s="2275"/>
      <c r="E11" s="116"/>
      <c r="F11" s="2274" t="s">
        <v>8</v>
      </c>
      <c r="G11" s="2275"/>
      <c r="H11" s="116"/>
      <c r="I11" s="2274" t="s">
        <v>8</v>
      </c>
      <c r="J11" s="2275"/>
      <c r="K11" s="116"/>
      <c r="L11" s="2274" t="s">
        <v>8</v>
      </c>
      <c r="M11" s="2275"/>
      <c r="N11" s="116"/>
      <c r="O11" s="2274" t="s">
        <v>8</v>
      </c>
      <c r="P11" s="2275"/>
      <c r="Q11" s="116"/>
      <c r="R11" s="2274" t="s">
        <v>8</v>
      </c>
      <c r="S11" s="2275"/>
      <c r="T11" s="116"/>
      <c r="U11" s="2274" t="s">
        <v>8</v>
      </c>
      <c r="V11" s="2275"/>
      <c r="W11" s="116"/>
      <c r="X11" s="2274" t="s">
        <v>8</v>
      </c>
      <c r="Y11" s="2275"/>
      <c r="Z11" s="116"/>
      <c r="AA11" s="2274" t="s">
        <v>8</v>
      </c>
      <c r="AB11" s="2275"/>
      <c r="AC11" s="116"/>
      <c r="AD11" s="2274" t="s">
        <v>8</v>
      </c>
      <c r="AE11" s="2275"/>
      <c r="AF11" s="116"/>
      <c r="AG11" s="2274" t="s">
        <v>8</v>
      </c>
      <c r="AH11" s="2275"/>
      <c r="AI11" s="116"/>
      <c r="AJ11" s="2274" t="s">
        <v>8</v>
      </c>
      <c r="AK11" s="2275"/>
      <c r="AL11" s="116"/>
      <c r="AM11" s="2274" t="s">
        <v>8</v>
      </c>
      <c r="AN11" s="2275"/>
      <c r="AO11" s="116"/>
      <c r="AP11" s="2274" t="s">
        <v>8</v>
      </c>
      <c r="AQ11" s="2275"/>
      <c r="AR11" s="116"/>
      <c r="AS11" s="2274" t="s">
        <v>8</v>
      </c>
      <c r="AT11" s="2275"/>
      <c r="AU11" s="116"/>
      <c r="AV11" s="2274" t="s">
        <v>8</v>
      </c>
      <c r="AW11" s="2275"/>
      <c r="AX11" s="116"/>
      <c r="AY11" s="2274" t="s">
        <v>8</v>
      </c>
      <c r="AZ11" s="2275"/>
      <c r="BA11" s="116"/>
      <c r="BB11" s="2274" t="s">
        <v>8</v>
      </c>
      <c r="BC11" s="2275"/>
      <c r="BD11" s="116"/>
      <c r="BE11" s="2274" t="s">
        <v>8</v>
      </c>
      <c r="BF11" s="2275"/>
      <c r="BG11" s="116"/>
      <c r="BH11" s="2274" t="s">
        <v>8</v>
      </c>
      <c r="BI11" s="2275"/>
      <c r="BJ11" s="116"/>
      <c r="BK11" s="2274" t="s">
        <v>8</v>
      </c>
      <c r="BL11" s="2275"/>
      <c r="BM11" s="116"/>
      <c r="BN11" s="2274" t="s">
        <v>8</v>
      </c>
      <c r="BO11" s="2275"/>
      <c r="BP11" s="116"/>
      <c r="BQ11" s="2274" t="s">
        <v>8</v>
      </c>
      <c r="BR11" s="2275"/>
      <c r="BS11" s="116"/>
      <c r="BT11" s="2274" t="s">
        <v>8</v>
      </c>
      <c r="BU11" s="2275"/>
      <c r="BV11" s="116"/>
      <c r="BW11" s="2274" t="s">
        <v>8</v>
      </c>
      <c r="BX11" s="2275"/>
      <c r="BY11" s="116"/>
      <c r="BZ11" s="2274" t="s">
        <v>8</v>
      </c>
      <c r="CA11" s="2275"/>
      <c r="CB11" s="116"/>
      <c r="CC11" s="2274" t="s">
        <v>8</v>
      </c>
      <c r="CD11" s="2275"/>
      <c r="CE11" s="116"/>
      <c r="CF11" s="2274" t="s">
        <v>8</v>
      </c>
      <c r="CG11" s="2275"/>
      <c r="CH11" s="116"/>
      <c r="CI11" s="2274" t="s">
        <v>8</v>
      </c>
      <c r="CJ11" s="2275"/>
      <c r="CK11" s="2028"/>
      <c r="CL11" s="2274" t="s">
        <v>8</v>
      </c>
      <c r="CM11" s="2275"/>
      <c r="CN11" s="116"/>
      <c r="CO11" s="2274" t="s">
        <v>8</v>
      </c>
      <c r="CP11" s="2275"/>
      <c r="CQ11" s="116"/>
      <c r="CR11" s="2274" t="s">
        <v>8</v>
      </c>
      <c r="CS11" s="2275"/>
      <c r="CT11" s="116"/>
      <c r="CU11" s="2274" t="s">
        <v>8</v>
      </c>
      <c r="CV11" s="2275"/>
      <c r="CW11" s="116"/>
      <c r="CX11" s="2276" t="s">
        <v>8</v>
      </c>
      <c r="CY11" s="2277"/>
      <c r="CZ11" s="117"/>
      <c r="DA11" s="2274" t="s">
        <v>8</v>
      </c>
      <c r="DB11" s="2275"/>
      <c r="DC11" s="116"/>
      <c r="DD11" s="2274" t="s">
        <v>8</v>
      </c>
      <c r="DE11" s="2275"/>
      <c r="DF11" s="116"/>
      <c r="DG11" s="2274" t="s">
        <v>8</v>
      </c>
      <c r="DH11" s="2275"/>
      <c r="DI11" s="116"/>
      <c r="DJ11" s="2276" t="s">
        <v>8</v>
      </c>
      <c r="DK11" s="2277"/>
      <c r="DL11" s="2041"/>
      <c r="DM11" s="2274" t="s">
        <v>8</v>
      </c>
      <c r="DN11" s="2275"/>
      <c r="DO11" s="116"/>
      <c r="DP11" s="2278" t="s">
        <v>8</v>
      </c>
      <c r="DQ11" s="2275"/>
      <c r="DR11" s="116"/>
      <c r="DS11" s="2276" t="s">
        <v>8</v>
      </c>
      <c r="DT11" s="2277"/>
      <c r="DU11" s="1413"/>
      <c r="DV11" s="118"/>
    </row>
    <row r="12" spans="1:126" x14ac:dyDescent="0.2">
      <c r="A12" s="646">
        <v>1</v>
      </c>
      <c r="B12" s="646">
        <v>2</v>
      </c>
      <c r="C12" s="2223">
        <v>3</v>
      </c>
      <c r="D12" s="2224">
        <v>4</v>
      </c>
      <c r="E12" s="2031">
        <v>5</v>
      </c>
      <c r="F12" s="2223">
        <v>6</v>
      </c>
      <c r="G12" s="2224">
        <v>7</v>
      </c>
      <c r="H12" s="2031">
        <v>8</v>
      </c>
      <c r="I12" s="2223">
        <v>9</v>
      </c>
      <c r="J12" s="2224">
        <v>10</v>
      </c>
      <c r="K12" s="2031">
        <v>11</v>
      </c>
      <c r="L12" s="2223">
        <v>12</v>
      </c>
      <c r="M12" s="2224">
        <v>13</v>
      </c>
      <c r="N12" s="2031">
        <v>14</v>
      </c>
      <c r="O12" s="2223">
        <v>15</v>
      </c>
      <c r="P12" s="2224">
        <v>16</v>
      </c>
      <c r="Q12" s="2031">
        <v>17</v>
      </c>
      <c r="R12" s="2223">
        <v>18</v>
      </c>
      <c r="S12" s="2224">
        <v>19</v>
      </c>
      <c r="T12" s="2031">
        <v>20</v>
      </c>
      <c r="U12" s="2223">
        <v>21</v>
      </c>
      <c r="V12" s="2031">
        <v>22</v>
      </c>
      <c r="W12" s="2031">
        <v>23</v>
      </c>
      <c r="X12" s="2223">
        <v>3</v>
      </c>
      <c r="Y12" s="2225">
        <v>4</v>
      </c>
      <c r="Z12" s="2031">
        <v>5</v>
      </c>
      <c r="AA12" s="2223">
        <v>6</v>
      </c>
      <c r="AB12" s="2225">
        <v>7</v>
      </c>
      <c r="AC12" s="2031">
        <v>8</v>
      </c>
      <c r="AD12" s="2223">
        <v>9</v>
      </c>
      <c r="AE12" s="2225">
        <v>10</v>
      </c>
      <c r="AF12" s="2031">
        <v>11</v>
      </c>
      <c r="AG12" s="2223">
        <v>12</v>
      </c>
      <c r="AH12" s="2225">
        <v>13</v>
      </c>
      <c r="AI12" s="2031">
        <v>14</v>
      </c>
      <c r="AJ12" s="2223">
        <v>15</v>
      </c>
      <c r="AK12" s="2225">
        <v>16</v>
      </c>
      <c r="AL12" s="2031">
        <v>17</v>
      </c>
      <c r="AM12" s="2223">
        <v>18</v>
      </c>
      <c r="AN12" s="2225">
        <v>19</v>
      </c>
      <c r="AO12" s="2031">
        <v>20</v>
      </c>
      <c r="AP12" s="2223">
        <v>21</v>
      </c>
      <c r="AQ12" s="2225">
        <v>22</v>
      </c>
      <c r="AR12" s="2031">
        <v>23</v>
      </c>
      <c r="AS12" s="2223">
        <v>3</v>
      </c>
      <c r="AT12" s="2225">
        <v>4</v>
      </c>
      <c r="AU12" s="2031">
        <v>5</v>
      </c>
      <c r="AV12" s="2223">
        <v>6</v>
      </c>
      <c r="AW12" s="2225">
        <v>7</v>
      </c>
      <c r="AX12" s="2031">
        <v>8</v>
      </c>
      <c r="AY12" s="2223">
        <v>9</v>
      </c>
      <c r="AZ12" s="2225">
        <v>10</v>
      </c>
      <c r="BA12" s="2031">
        <v>11</v>
      </c>
      <c r="BB12" s="2223">
        <v>12</v>
      </c>
      <c r="BC12" s="2225">
        <v>13</v>
      </c>
      <c r="BD12" s="2031">
        <v>14</v>
      </c>
      <c r="BE12" s="2223">
        <v>15</v>
      </c>
      <c r="BF12" s="2225">
        <v>16</v>
      </c>
      <c r="BG12" s="2031">
        <v>17</v>
      </c>
      <c r="BH12" s="2223">
        <v>18</v>
      </c>
      <c r="BI12" s="2225">
        <v>19</v>
      </c>
      <c r="BJ12" s="2031">
        <v>20</v>
      </c>
      <c r="BK12" s="2223">
        <v>3</v>
      </c>
      <c r="BL12" s="2225">
        <v>4</v>
      </c>
      <c r="BM12" s="2031">
        <v>5</v>
      </c>
      <c r="BN12" s="2223">
        <v>6</v>
      </c>
      <c r="BO12" s="2225">
        <v>7</v>
      </c>
      <c r="BP12" s="2031">
        <v>8</v>
      </c>
      <c r="BQ12" s="2223">
        <v>9</v>
      </c>
      <c r="BR12" s="2225">
        <v>10</v>
      </c>
      <c r="BS12" s="2031">
        <v>11</v>
      </c>
      <c r="BT12" s="2223">
        <v>12</v>
      </c>
      <c r="BU12" s="2225">
        <v>13</v>
      </c>
      <c r="BV12" s="2031">
        <v>14</v>
      </c>
      <c r="BW12" s="2223">
        <v>15</v>
      </c>
      <c r="BX12" s="2225">
        <v>16</v>
      </c>
      <c r="BY12" s="2031">
        <v>17</v>
      </c>
      <c r="BZ12" s="2223">
        <v>18</v>
      </c>
      <c r="CA12" s="2225">
        <v>19</v>
      </c>
      <c r="CB12" s="2031">
        <v>20</v>
      </c>
      <c r="CC12" s="2223">
        <v>21</v>
      </c>
      <c r="CD12" s="2225">
        <v>22</v>
      </c>
      <c r="CE12" s="2031">
        <v>23</v>
      </c>
      <c r="CF12" s="2223">
        <v>3</v>
      </c>
      <c r="CG12" s="2225">
        <v>4</v>
      </c>
      <c r="CH12" s="2031">
        <v>5</v>
      </c>
      <c r="CI12" s="2223">
        <v>6</v>
      </c>
      <c r="CJ12" s="2225">
        <v>7</v>
      </c>
      <c r="CK12" s="2032">
        <v>8</v>
      </c>
      <c r="CL12" s="2223">
        <v>6</v>
      </c>
      <c r="CM12" s="2225">
        <v>7</v>
      </c>
      <c r="CN12" s="2031">
        <v>8</v>
      </c>
      <c r="CO12" s="2223">
        <v>6</v>
      </c>
      <c r="CP12" s="2225">
        <v>7</v>
      </c>
      <c r="CQ12" s="2031">
        <v>8</v>
      </c>
      <c r="CR12" s="2223">
        <v>6</v>
      </c>
      <c r="CS12" s="2225">
        <v>7</v>
      </c>
      <c r="CT12" s="2031">
        <v>8</v>
      </c>
      <c r="CU12" s="2223">
        <v>9</v>
      </c>
      <c r="CV12" s="2225">
        <v>10</v>
      </c>
      <c r="CW12" s="2031">
        <v>11</v>
      </c>
      <c r="CX12" s="2223">
        <v>12</v>
      </c>
      <c r="CY12" s="2225">
        <v>13</v>
      </c>
      <c r="CZ12" s="2031">
        <v>14</v>
      </c>
      <c r="DA12" s="2223">
        <v>15</v>
      </c>
      <c r="DB12" s="2225">
        <v>16</v>
      </c>
      <c r="DC12" s="2031">
        <v>17</v>
      </c>
      <c r="DD12" s="2223">
        <v>18</v>
      </c>
      <c r="DE12" s="2224">
        <v>19</v>
      </c>
      <c r="DF12" s="2031">
        <v>20</v>
      </c>
      <c r="DG12" s="2223">
        <v>3</v>
      </c>
      <c r="DH12" s="2032">
        <v>4</v>
      </c>
      <c r="DI12" s="2031">
        <v>5</v>
      </c>
      <c r="DJ12" s="2223">
        <v>6</v>
      </c>
      <c r="DK12" s="2033">
        <v>7</v>
      </c>
      <c r="DL12" s="2032">
        <v>8</v>
      </c>
      <c r="DM12" s="2223">
        <v>9</v>
      </c>
      <c r="DN12" s="2033">
        <v>10</v>
      </c>
      <c r="DO12" s="2031">
        <v>11</v>
      </c>
      <c r="DP12" s="2033">
        <v>12</v>
      </c>
      <c r="DQ12" s="2032">
        <v>13</v>
      </c>
      <c r="DR12" s="2031">
        <v>14</v>
      </c>
      <c r="DS12" s="2223">
        <v>15</v>
      </c>
      <c r="DT12" s="2033">
        <v>16</v>
      </c>
      <c r="DU12" s="2032">
        <v>17</v>
      </c>
      <c r="DV12" s="646">
        <v>18</v>
      </c>
    </row>
    <row r="13" spans="1:126" hidden="1" x14ac:dyDescent="0.2">
      <c r="A13" s="647"/>
      <c r="B13" s="648"/>
      <c r="C13" s="551"/>
      <c r="D13" s="119"/>
      <c r="E13" s="550"/>
      <c r="F13" s="551"/>
      <c r="G13" s="119"/>
      <c r="H13" s="550"/>
      <c r="I13" s="551"/>
      <c r="J13" s="119"/>
      <c r="K13" s="550"/>
      <c r="L13" s="551"/>
      <c r="M13" s="119"/>
      <c r="N13" s="556"/>
      <c r="O13" s="557"/>
      <c r="P13" s="119"/>
      <c r="Q13" s="550"/>
      <c r="R13" s="551"/>
      <c r="S13" s="119"/>
      <c r="T13" s="550"/>
      <c r="U13" s="551"/>
      <c r="V13" s="119"/>
      <c r="W13" s="550"/>
      <c r="X13" s="551"/>
      <c r="Y13" s="562"/>
      <c r="Z13" s="550"/>
      <c r="AA13" s="551"/>
      <c r="AB13" s="562"/>
      <c r="AC13" s="550"/>
      <c r="AD13" s="551"/>
      <c r="AE13" s="562"/>
      <c r="AF13" s="550"/>
      <c r="AG13" s="551"/>
      <c r="AH13" s="562"/>
      <c r="AI13" s="550"/>
      <c r="AJ13" s="551"/>
      <c r="AK13" s="562"/>
      <c r="AL13" s="550"/>
      <c r="AM13" s="551"/>
      <c r="AN13" s="562"/>
      <c r="AO13" s="550"/>
      <c r="AP13" s="551"/>
      <c r="AQ13" s="562"/>
      <c r="AR13" s="550"/>
      <c r="AS13" s="551"/>
      <c r="AT13" s="562"/>
      <c r="AU13" s="550"/>
      <c r="AV13" s="551"/>
      <c r="AW13" s="562"/>
      <c r="AX13" s="550"/>
      <c r="AY13" s="551"/>
      <c r="AZ13" s="562"/>
      <c r="BA13" s="550"/>
      <c r="BB13" s="551"/>
      <c r="BC13" s="562"/>
      <c r="BD13" s="550"/>
      <c r="BE13" s="551"/>
      <c r="BF13" s="562"/>
      <c r="BG13" s="550"/>
      <c r="BH13" s="551"/>
      <c r="BI13" s="562"/>
      <c r="BJ13" s="550"/>
      <c r="BK13" s="551"/>
      <c r="BL13" s="562"/>
      <c r="BM13" s="550"/>
      <c r="BN13" s="551"/>
      <c r="BO13" s="562"/>
      <c r="BP13" s="550"/>
      <c r="BQ13" s="551"/>
      <c r="BR13" s="562"/>
      <c r="BS13" s="550"/>
      <c r="BT13" s="551"/>
      <c r="BU13" s="562"/>
      <c r="BV13" s="550"/>
      <c r="BW13" s="551"/>
      <c r="BX13" s="562"/>
      <c r="BY13" s="550"/>
      <c r="BZ13" s="551"/>
      <c r="CA13" s="562"/>
      <c r="CB13" s="550"/>
      <c r="CC13" s="551"/>
      <c r="CD13" s="562"/>
      <c r="CE13" s="550"/>
      <c r="CF13" s="551"/>
      <c r="CG13" s="562"/>
      <c r="CH13" s="550"/>
      <c r="CI13" s="551"/>
      <c r="CJ13" s="562"/>
      <c r="CK13" s="558"/>
      <c r="CL13" s="551"/>
      <c r="CM13" s="562"/>
      <c r="CN13" s="550"/>
      <c r="CO13" s="551"/>
      <c r="CP13" s="562"/>
      <c r="CQ13" s="550"/>
      <c r="CR13" s="562"/>
      <c r="CS13" s="562"/>
      <c r="CT13" s="562"/>
      <c r="CU13" s="551"/>
      <c r="CV13" s="562"/>
      <c r="CW13" s="550"/>
      <c r="CX13" s="551"/>
      <c r="CY13" s="562"/>
      <c r="CZ13" s="550"/>
      <c r="DA13" s="551"/>
      <c r="DB13" s="562"/>
      <c r="DC13" s="550"/>
      <c r="DD13" s="562"/>
      <c r="DE13" s="562"/>
      <c r="DF13" s="562"/>
      <c r="DG13" s="551"/>
      <c r="DH13" s="558"/>
      <c r="DI13" s="550"/>
      <c r="DJ13" s="569"/>
      <c r="DK13" s="568"/>
      <c r="DL13" s="1571"/>
      <c r="DM13" s="551"/>
      <c r="DN13" s="558"/>
      <c r="DO13" s="550"/>
      <c r="DP13" s="2046"/>
      <c r="DQ13" s="558"/>
      <c r="DR13" s="550"/>
      <c r="DS13" s="569"/>
      <c r="DT13" s="568"/>
      <c r="DU13" s="1571"/>
      <c r="DV13" s="1581"/>
    </row>
    <row r="14" spans="1:126" ht="24.95" customHeight="1" x14ac:dyDescent="0.2">
      <c r="A14" s="1414" t="s">
        <v>327</v>
      </c>
      <c r="B14" s="1415" t="s">
        <v>834</v>
      </c>
      <c r="C14" s="553">
        <f t="shared" ref="C14:AH14" si="0">C15+C16+C17+C19+C20</f>
        <v>725127</v>
      </c>
      <c r="D14" s="360">
        <f t="shared" si="0"/>
        <v>835662</v>
      </c>
      <c r="E14" s="552">
        <f t="shared" si="0"/>
        <v>804300.73899999994</v>
      </c>
      <c r="F14" s="553">
        <f t="shared" si="0"/>
        <v>295892</v>
      </c>
      <c r="G14" s="360">
        <f t="shared" si="0"/>
        <v>319214</v>
      </c>
      <c r="H14" s="552">
        <f t="shared" si="0"/>
        <v>238147.163</v>
      </c>
      <c r="I14" s="553">
        <f t="shared" si="0"/>
        <v>94040</v>
      </c>
      <c r="J14" s="360">
        <f t="shared" si="0"/>
        <v>36121</v>
      </c>
      <c r="K14" s="552">
        <f t="shared" si="0"/>
        <v>31520.280999999999</v>
      </c>
      <c r="L14" s="553">
        <f t="shared" si="0"/>
        <v>43026</v>
      </c>
      <c r="M14" s="360">
        <f t="shared" si="0"/>
        <v>112582</v>
      </c>
      <c r="N14" s="552">
        <f t="shared" si="0"/>
        <v>44197.936999999998</v>
      </c>
      <c r="O14" s="553">
        <f t="shared" si="0"/>
        <v>0</v>
      </c>
      <c r="P14" s="360">
        <f t="shared" si="0"/>
        <v>0</v>
      </c>
      <c r="Q14" s="552">
        <f t="shared" si="0"/>
        <v>0</v>
      </c>
      <c r="R14" s="553">
        <f t="shared" si="0"/>
        <v>179728</v>
      </c>
      <c r="S14" s="360">
        <f t="shared" si="0"/>
        <v>92546.678</v>
      </c>
      <c r="T14" s="552">
        <f t="shared" si="0"/>
        <v>92300.880999999994</v>
      </c>
      <c r="U14" s="553">
        <f>U15+U16+U17+U19+U20</f>
        <v>500294</v>
      </c>
      <c r="V14" s="360">
        <f>V15+V16+V17+V19+V20</f>
        <v>367393.36700000003</v>
      </c>
      <c r="W14" s="552">
        <f t="shared" si="0"/>
        <v>347139.136</v>
      </c>
      <c r="X14" s="553">
        <f t="shared" si="0"/>
        <v>139621</v>
      </c>
      <c r="Y14" s="563">
        <f t="shared" si="0"/>
        <v>155762.78</v>
      </c>
      <c r="Z14" s="552">
        <f t="shared" si="0"/>
        <v>117990.29000000001</v>
      </c>
      <c r="AA14" s="553">
        <f t="shared" si="0"/>
        <v>4146</v>
      </c>
      <c r="AB14" s="563">
        <f t="shared" si="0"/>
        <v>4146</v>
      </c>
      <c r="AC14" s="552">
        <f t="shared" si="0"/>
        <v>4146</v>
      </c>
      <c r="AD14" s="553">
        <f t="shared" si="0"/>
        <v>358350</v>
      </c>
      <c r="AE14" s="563">
        <f t="shared" si="0"/>
        <v>363350</v>
      </c>
      <c r="AF14" s="552">
        <f t="shared" si="0"/>
        <v>365410</v>
      </c>
      <c r="AG14" s="553">
        <f t="shared" si="0"/>
        <v>612140</v>
      </c>
      <c r="AH14" s="563">
        <f t="shared" si="0"/>
        <v>597488</v>
      </c>
      <c r="AI14" s="552">
        <f t="shared" ref="AI14:BN14" si="1">AI15+AI16+AI17+AI19+AI20</f>
        <v>537005.245</v>
      </c>
      <c r="AJ14" s="553">
        <f t="shared" si="1"/>
        <v>0</v>
      </c>
      <c r="AK14" s="563">
        <f t="shared" si="1"/>
        <v>7121</v>
      </c>
      <c r="AL14" s="552">
        <f t="shared" si="1"/>
        <v>7120.835</v>
      </c>
      <c r="AM14" s="553">
        <f t="shared" si="1"/>
        <v>1472872</v>
      </c>
      <c r="AN14" s="563">
        <f t="shared" si="1"/>
        <v>348522</v>
      </c>
      <c r="AO14" s="552">
        <f t="shared" si="1"/>
        <v>197636.701</v>
      </c>
      <c r="AP14" s="553">
        <f t="shared" si="1"/>
        <v>35012</v>
      </c>
      <c r="AQ14" s="563">
        <f t="shared" si="1"/>
        <v>35012</v>
      </c>
      <c r="AR14" s="552">
        <f t="shared" si="1"/>
        <v>31440</v>
      </c>
      <c r="AS14" s="553">
        <f t="shared" si="1"/>
        <v>13500</v>
      </c>
      <c r="AT14" s="563">
        <f t="shared" si="1"/>
        <v>14500</v>
      </c>
      <c r="AU14" s="552">
        <f t="shared" si="1"/>
        <v>14500</v>
      </c>
      <c r="AV14" s="553">
        <f t="shared" si="1"/>
        <v>855275</v>
      </c>
      <c r="AW14" s="563">
        <f t="shared" si="1"/>
        <v>862140.826</v>
      </c>
      <c r="AX14" s="552">
        <f t="shared" si="1"/>
        <v>684060.25399999996</v>
      </c>
      <c r="AY14" s="553">
        <f t="shared" si="1"/>
        <v>40000</v>
      </c>
      <c r="AZ14" s="563">
        <f t="shared" si="1"/>
        <v>40000</v>
      </c>
      <c r="BA14" s="552">
        <f t="shared" si="1"/>
        <v>32525.952000000001</v>
      </c>
      <c r="BB14" s="553">
        <f t="shared" si="1"/>
        <v>1217030</v>
      </c>
      <c r="BC14" s="563">
        <f t="shared" si="1"/>
        <v>1352024.716</v>
      </c>
      <c r="BD14" s="552">
        <f t="shared" si="1"/>
        <v>498910.495</v>
      </c>
      <c r="BE14" s="553">
        <f t="shared" si="1"/>
        <v>160329</v>
      </c>
      <c r="BF14" s="563">
        <f t="shared" si="1"/>
        <v>184745</v>
      </c>
      <c r="BG14" s="552">
        <f t="shared" si="1"/>
        <v>136630.595</v>
      </c>
      <c r="BH14" s="553">
        <f t="shared" si="1"/>
        <v>6746382</v>
      </c>
      <c r="BI14" s="563">
        <f t="shared" si="1"/>
        <v>5728331.3670000006</v>
      </c>
      <c r="BJ14" s="552">
        <f t="shared" si="1"/>
        <v>4184982.5039999997</v>
      </c>
      <c r="BK14" s="553">
        <f t="shared" si="1"/>
        <v>635</v>
      </c>
      <c r="BL14" s="563">
        <f t="shared" si="1"/>
        <v>635</v>
      </c>
      <c r="BM14" s="552">
        <f t="shared" si="1"/>
        <v>477.33100000000002</v>
      </c>
      <c r="BN14" s="553">
        <f t="shared" si="1"/>
        <v>150058</v>
      </c>
      <c r="BO14" s="563">
        <f t="shared" ref="BO14:CW14" si="2">BO15+BO16+BO17+BO19+BO20</f>
        <v>163229</v>
      </c>
      <c r="BP14" s="552">
        <f t="shared" si="2"/>
        <v>87413.338000000003</v>
      </c>
      <c r="BQ14" s="553">
        <f t="shared" si="2"/>
        <v>78996</v>
      </c>
      <c r="BR14" s="563">
        <f t="shared" si="2"/>
        <v>78996</v>
      </c>
      <c r="BS14" s="552">
        <f t="shared" si="2"/>
        <v>78996</v>
      </c>
      <c r="BT14" s="553">
        <f t="shared" si="2"/>
        <v>10948</v>
      </c>
      <c r="BU14" s="563">
        <f t="shared" si="2"/>
        <v>17282</v>
      </c>
      <c r="BV14" s="552">
        <f t="shared" si="2"/>
        <v>9896.9040000000005</v>
      </c>
      <c r="BW14" s="553">
        <f t="shared" si="2"/>
        <v>0</v>
      </c>
      <c r="BX14" s="563">
        <f t="shared" si="2"/>
        <v>496</v>
      </c>
      <c r="BY14" s="552">
        <f t="shared" si="2"/>
        <v>495.6</v>
      </c>
      <c r="BZ14" s="553">
        <f t="shared" si="2"/>
        <v>47905</v>
      </c>
      <c r="CA14" s="563">
        <f t="shared" si="2"/>
        <v>60578</v>
      </c>
      <c r="CB14" s="552">
        <f t="shared" si="2"/>
        <v>60983.586000000003</v>
      </c>
      <c r="CC14" s="553">
        <f t="shared" si="2"/>
        <v>435781</v>
      </c>
      <c r="CD14" s="563">
        <f t="shared" si="2"/>
        <v>737591.48899999994</v>
      </c>
      <c r="CE14" s="552">
        <f t="shared" si="2"/>
        <v>340145.10699999996</v>
      </c>
      <c r="CF14" s="553">
        <f t="shared" si="2"/>
        <v>250</v>
      </c>
      <c r="CG14" s="563">
        <f t="shared" si="2"/>
        <v>250</v>
      </c>
      <c r="CH14" s="552">
        <f t="shared" si="2"/>
        <v>75.195999999999998</v>
      </c>
      <c r="CI14" s="553">
        <f t="shared" si="2"/>
        <v>163198</v>
      </c>
      <c r="CJ14" s="563">
        <f t="shared" si="2"/>
        <v>146761</v>
      </c>
      <c r="CK14" s="559">
        <f t="shared" si="2"/>
        <v>64573.979999999996</v>
      </c>
      <c r="CL14" s="553">
        <f t="shared" ref="CL14:CN14" si="3">CL15+CL16+CL17+CL19+CL20</f>
        <v>36321</v>
      </c>
      <c r="CM14" s="563">
        <f t="shared" si="3"/>
        <v>15650</v>
      </c>
      <c r="CN14" s="552">
        <f t="shared" si="3"/>
        <v>15652.120999999999</v>
      </c>
      <c r="CO14" s="553">
        <f t="shared" ref="CO14:CT14" si="4">CO15+CO16+CO17+CO19+CO20</f>
        <v>241221</v>
      </c>
      <c r="CP14" s="563">
        <f t="shared" si="4"/>
        <v>235506.12400000001</v>
      </c>
      <c r="CQ14" s="552">
        <f t="shared" si="4"/>
        <v>173943.00599999999</v>
      </c>
      <c r="CR14" s="553">
        <f t="shared" si="4"/>
        <v>0</v>
      </c>
      <c r="CS14" s="360">
        <f t="shared" si="4"/>
        <v>0</v>
      </c>
      <c r="CT14" s="552">
        <f t="shared" si="4"/>
        <v>0</v>
      </c>
      <c r="CU14" s="553">
        <f>CU15+CU16+CU17+CU19+CU20</f>
        <v>1165313</v>
      </c>
      <c r="CV14" s="563">
        <f t="shared" si="2"/>
        <v>1456974.6129999999</v>
      </c>
      <c r="CW14" s="552">
        <f t="shared" si="2"/>
        <v>832652.16899999999</v>
      </c>
      <c r="CX14" s="553">
        <f t="shared" ref="CX14:CZ19" si="5">BH14+CU14</f>
        <v>7911695</v>
      </c>
      <c r="CY14" s="563">
        <f t="shared" si="5"/>
        <v>7185305.9800000004</v>
      </c>
      <c r="CZ14" s="552">
        <f t="shared" si="5"/>
        <v>5017634.6729999995</v>
      </c>
      <c r="DA14" s="553">
        <f t="shared" ref="DA14:DU14" si="6">DA15+DA16+DA17+DA19+DA20</f>
        <v>38538</v>
      </c>
      <c r="DB14" s="563">
        <f t="shared" si="6"/>
        <v>45201.286</v>
      </c>
      <c r="DC14" s="552">
        <f t="shared" si="6"/>
        <v>34636.548000000003</v>
      </c>
      <c r="DD14" s="553">
        <f t="shared" si="6"/>
        <v>83188</v>
      </c>
      <c r="DE14" s="563">
        <f t="shared" si="6"/>
        <v>87070</v>
      </c>
      <c r="DF14" s="552">
        <f t="shared" si="6"/>
        <v>69678.135999999999</v>
      </c>
      <c r="DG14" s="553">
        <f t="shared" si="6"/>
        <v>2449476</v>
      </c>
      <c r="DH14" s="563">
        <f t="shared" si="6"/>
        <v>2667906.6710000001</v>
      </c>
      <c r="DI14" s="552">
        <f t="shared" si="6"/>
        <v>2185108.9079999998</v>
      </c>
      <c r="DJ14" s="553">
        <f>DJ15+DJ16+DJ17+DJ19+DJ20</f>
        <v>2571202</v>
      </c>
      <c r="DK14" s="563">
        <f t="shared" si="6"/>
        <v>2800177.9569999999</v>
      </c>
      <c r="DL14" s="559">
        <f t="shared" si="6"/>
        <v>2289423.5920000002</v>
      </c>
      <c r="DM14" s="553">
        <f t="shared" si="6"/>
        <v>3367602</v>
      </c>
      <c r="DN14" s="563">
        <f t="shared" si="6"/>
        <v>3713542.7489999998</v>
      </c>
      <c r="DO14" s="552">
        <f t="shared" si="6"/>
        <v>3587809.4559999998</v>
      </c>
      <c r="DP14" s="561">
        <f t="shared" si="6"/>
        <v>1786608.34</v>
      </c>
      <c r="DQ14" s="563">
        <f t="shared" si="6"/>
        <v>1864771.3679999998</v>
      </c>
      <c r="DR14" s="552">
        <f t="shared" si="6"/>
        <v>1808601.665</v>
      </c>
      <c r="DS14" s="553">
        <f t="shared" si="6"/>
        <v>15637107.34</v>
      </c>
      <c r="DT14" s="563">
        <f t="shared" si="6"/>
        <v>15563798.054</v>
      </c>
      <c r="DU14" s="559">
        <f t="shared" si="6"/>
        <v>12703469.386</v>
      </c>
      <c r="DV14" s="1582">
        <f>DU14/DT14*100</f>
        <v>81.621910936676045</v>
      </c>
    </row>
    <row r="15" spans="1:126" ht="23.1" customHeight="1" x14ac:dyDescent="0.2">
      <c r="A15" s="1490" t="s">
        <v>592</v>
      </c>
      <c r="B15" s="1491" t="s">
        <v>871</v>
      </c>
      <c r="C15" s="555"/>
      <c r="D15" s="404"/>
      <c r="E15" s="554"/>
      <c r="F15" s="555"/>
      <c r="G15" s="404"/>
      <c r="H15" s="554"/>
      <c r="I15" s="555"/>
      <c r="J15" s="404"/>
      <c r="K15" s="554"/>
      <c r="L15" s="555">
        <v>1300</v>
      </c>
      <c r="M15" s="404">
        <v>1411</v>
      </c>
      <c r="N15" s="554">
        <v>557.327</v>
      </c>
      <c r="O15" s="555"/>
      <c r="P15" s="404"/>
      <c r="Q15" s="554"/>
      <c r="R15" s="555"/>
      <c r="S15" s="404"/>
      <c r="T15" s="554"/>
      <c r="U15" s="555">
        <v>44000</v>
      </c>
      <c r="V15" s="404">
        <v>1272.3</v>
      </c>
      <c r="W15" s="2065"/>
      <c r="X15" s="555"/>
      <c r="Y15" s="564"/>
      <c r="Z15" s="554"/>
      <c r="AA15" s="555"/>
      <c r="AB15" s="564"/>
      <c r="AC15" s="554"/>
      <c r="AD15" s="555"/>
      <c r="AE15" s="564"/>
      <c r="AF15" s="554"/>
      <c r="AG15" s="555"/>
      <c r="AH15" s="564"/>
      <c r="AI15" s="554"/>
      <c r="AJ15" s="555"/>
      <c r="AK15" s="564"/>
      <c r="AL15" s="554"/>
      <c r="AM15" s="555"/>
      <c r="AN15" s="564"/>
      <c r="AO15" s="554"/>
      <c r="AP15" s="555"/>
      <c r="AQ15" s="564"/>
      <c r="AR15" s="554"/>
      <c r="AS15" s="555"/>
      <c r="AT15" s="564"/>
      <c r="AU15" s="554"/>
      <c r="AV15" s="555"/>
      <c r="AW15" s="564"/>
      <c r="AX15" s="554"/>
      <c r="AY15" s="555"/>
      <c r="AZ15" s="564"/>
      <c r="BA15" s="554"/>
      <c r="BB15" s="555">
        <v>88577</v>
      </c>
      <c r="BC15" s="564">
        <v>88397</v>
      </c>
      <c r="BD15" s="554">
        <v>84100.277000000002</v>
      </c>
      <c r="BE15" s="555"/>
      <c r="BF15" s="564"/>
      <c r="BG15" s="554"/>
      <c r="BH15" s="555">
        <f>C15+F15+I15+L15+O15+R15+U15+X15+AA15+AD15+AG15+AJ15+AM15+AP15+AS15+AV15+AY15+BB15+BE15</f>
        <v>133877</v>
      </c>
      <c r="BI15" s="564">
        <f t="shared" ref="BH15:BJ17" si="7">D15+G15+J15+M15+P15+S15+V15+Y15+AB15+AE15+AH15+AK15+AN15+AQ15+AT15+AW15+AZ15+BC15+BF15</f>
        <v>91080.3</v>
      </c>
      <c r="BJ15" s="554">
        <f t="shared" si="7"/>
        <v>84657.604000000007</v>
      </c>
      <c r="BK15" s="555"/>
      <c r="BL15" s="564"/>
      <c r="BM15" s="554"/>
      <c r="BN15" s="555">
        <v>150</v>
      </c>
      <c r="BO15" s="564">
        <v>150</v>
      </c>
      <c r="BP15" s="554"/>
      <c r="BQ15" s="555"/>
      <c r="BR15" s="564"/>
      <c r="BS15" s="554"/>
      <c r="BT15" s="555"/>
      <c r="BU15" s="564"/>
      <c r="BV15" s="554"/>
      <c r="BW15" s="555"/>
      <c r="BX15" s="564"/>
      <c r="BY15" s="554"/>
      <c r="BZ15" s="555"/>
      <c r="CA15" s="564"/>
      <c r="CB15" s="554"/>
      <c r="CC15" s="555">
        <v>9546</v>
      </c>
      <c r="CD15" s="564">
        <v>14424</v>
      </c>
      <c r="CE15" s="554">
        <v>7555.0690000000004</v>
      </c>
      <c r="CF15" s="555"/>
      <c r="CG15" s="564"/>
      <c r="CH15" s="554"/>
      <c r="CI15" s="555">
        <v>1600</v>
      </c>
      <c r="CJ15" s="564">
        <v>2510.6</v>
      </c>
      <c r="CK15" s="560">
        <v>1888</v>
      </c>
      <c r="CL15" s="555"/>
      <c r="CM15" s="564"/>
      <c r="CN15" s="554"/>
      <c r="CO15" s="555"/>
      <c r="CP15" s="564"/>
      <c r="CQ15" s="554"/>
      <c r="CR15" s="555"/>
      <c r="CS15" s="404"/>
      <c r="CT15" s="554"/>
      <c r="CU15" s="555">
        <f t="shared" ref="CU15:CU19" si="8">BK15+BN15+BQ15+BT15+BW15+BZ15+CC15+CF15+CI15+CL15+CO15+CR15</f>
        <v>11296</v>
      </c>
      <c r="CV15" s="564">
        <f t="shared" ref="CV15:CV19" si="9">BL15+BO15+BR15+BU15+BX15+CA15+CD15+CG15+CJ15+CM15+CP15+CS15</f>
        <v>17084.599999999999</v>
      </c>
      <c r="CW15" s="554">
        <f t="shared" ref="CW15:CW19" si="10">BM15+BP15+BS15+BV15+BY15+CB15+CE15+CH15+CK15+CN15+CQ15+CT15</f>
        <v>9443.0689999999995</v>
      </c>
      <c r="CX15" s="565">
        <f t="shared" si="5"/>
        <v>145173</v>
      </c>
      <c r="CY15" s="566">
        <f t="shared" si="5"/>
        <v>108164.9</v>
      </c>
      <c r="CZ15" s="567">
        <f t="shared" si="5"/>
        <v>94100.67300000001</v>
      </c>
      <c r="DA15" s="555"/>
      <c r="DB15" s="564"/>
      <c r="DC15" s="554"/>
      <c r="DD15" s="555">
        <v>67033</v>
      </c>
      <c r="DE15" s="564">
        <v>68513</v>
      </c>
      <c r="DF15" s="554">
        <v>56551.214999999997</v>
      </c>
      <c r="DG15" s="555">
        <v>1600835</v>
      </c>
      <c r="DH15" s="560">
        <v>1657018.297</v>
      </c>
      <c r="DI15" s="554">
        <v>1399650.5959999999</v>
      </c>
      <c r="DJ15" s="555">
        <f>DA15+DD15+DG15</f>
        <v>1667868</v>
      </c>
      <c r="DK15" s="560">
        <f>DB15+DE15+DH15</f>
        <v>1725531.297</v>
      </c>
      <c r="DL15" s="560">
        <f>DC15+DF15+DI15</f>
        <v>1456201.811</v>
      </c>
      <c r="DM15" s="555">
        <v>2259508</v>
      </c>
      <c r="DN15" s="560">
        <v>2446612.398</v>
      </c>
      <c r="DO15" s="554">
        <v>2391722.0529999998</v>
      </c>
      <c r="DP15" s="405">
        <v>1162351.07</v>
      </c>
      <c r="DQ15" s="560">
        <v>1177820.044</v>
      </c>
      <c r="DR15" s="554">
        <v>1174483.01</v>
      </c>
      <c r="DS15" s="555">
        <f t="shared" ref="DS15:DU19" si="11">CX15+DJ15+DM15+DP15</f>
        <v>5234900.07</v>
      </c>
      <c r="DT15" s="405">
        <f t="shared" si="11"/>
        <v>5458128.6389999995</v>
      </c>
      <c r="DU15" s="560">
        <f t="shared" si="11"/>
        <v>5116507.5469999993</v>
      </c>
      <c r="DV15" s="1583">
        <f>DU15/DT15*100</f>
        <v>93.741058252841228</v>
      </c>
    </row>
    <row r="16" spans="1:126" ht="23.1" customHeight="1" x14ac:dyDescent="0.2">
      <c r="A16" s="1490" t="s">
        <v>593</v>
      </c>
      <c r="B16" s="1492" t="s">
        <v>893</v>
      </c>
      <c r="C16" s="555"/>
      <c r="D16" s="404"/>
      <c r="E16" s="554"/>
      <c r="F16" s="555"/>
      <c r="G16" s="404"/>
      <c r="H16" s="554"/>
      <c r="I16" s="555"/>
      <c r="J16" s="404"/>
      <c r="K16" s="554"/>
      <c r="L16" s="555">
        <v>286</v>
      </c>
      <c r="M16" s="404">
        <v>407</v>
      </c>
      <c r="N16" s="554">
        <v>180.37</v>
      </c>
      <c r="O16" s="555"/>
      <c r="P16" s="404"/>
      <c r="Q16" s="554"/>
      <c r="R16" s="555"/>
      <c r="S16" s="404"/>
      <c r="T16" s="554"/>
      <c r="U16" s="555">
        <v>10085</v>
      </c>
      <c r="V16" s="404">
        <v>1007.574</v>
      </c>
      <c r="W16" s="554"/>
      <c r="X16" s="555"/>
      <c r="Y16" s="564"/>
      <c r="Z16" s="554"/>
      <c r="AA16" s="555"/>
      <c r="AB16" s="564"/>
      <c r="AC16" s="554"/>
      <c r="AD16" s="555"/>
      <c r="AE16" s="564"/>
      <c r="AF16" s="554"/>
      <c r="AG16" s="555"/>
      <c r="AH16" s="564"/>
      <c r="AI16" s="554"/>
      <c r="AJ16" s="555"/>
      <c r="AK16" s="564"/>
      <c r="AL16" s="554"/>
      <c r="AM16" s="555"/>
      <c r="AN16" s="564"/>
      <c r="AO16" s="554"/>
      <c r="AP16" s="555"/>
      <c r="AQ16" s="564"/>
      <c r="AR16" s="554"/>
      <c r="AS16" s="555"/>
      <c r="AT16" s="564"/>
      <c r="AU16" s="554"/>
      <c r="AV16" s="555"/>
      <c r="AW16" s="564"/>
      <c r="AX16" s="554"/>
      <c r="AY16" s="555"/>
      <c r="AZ16" s="564"/>
      <c r="BA16" s="554"/>
      <c r="BB16" s="555">
        <v>20945</v>
      </c>
      <c r="BC16" s="564">
        <v>20945</v>
      </c>
      <c r="BD16" s="554">
        <v>19593.754000000001</v>
      </c>
      <c r="BE16" s="555"/>
      <c r="BF16" s="564"/>
      <c r="BG16" s="554"/>
      <c r="BH16" s="555">
        <f t="shared" si="7"/>
        <v>31316</v>
      </c>
      <c r="BI16" s="564">
        <f t="shared" si="7"/>
        <v>22359.574000000001</v>
      </c>
      <c r="BJ16" s="554">
        <f t="shared" si="7"/>
        <v>19774.124</v>
      </c>
      <c r="BK16" s="555"/>
      <c r="BL16" s="564">
        <v>8</v>
      </c>
      <c r="BM16" s="554">
        <v>9.3439999999999994</v>
      </c>
      <c r="BN16" s="555">
        <v>80</v>
      </c>
      <c r="BO16" s="564">
        <v>80</v>
      </c>
      <c r="BP16" s="554"/>
      <c r="BQ16" s="555"/>
      <c r="BR16" s="564"/>
      <c r="BS16" s="554"/>
      <c r="BT16" s="555"/>
      <c r="BU16" s="564"/>
      <c r="BV16" s="554"/>
      <c r="BW16" s="555"/>
      <c r="BX16" s="564"/>
      <c r="BY16" s="554"/>
      <c r="BZ16" s="555"/>
      <c r="CA16" s="564"/>
      <c r="CB16" s="554"/>
      <c r="CC16" s="555">
        <v>2423</v>
      </c>
      <c r="CD16" s="564">
        <v>3389.6419999999998</v>
      </c>
      <c r="CE16" s="554">
        <v>1704.3530000000001</v>
      </c>
      <c r="CF16" s="555"/>
      <c r="CG16" s="564"/>
      <c r="CH16" s="554"/>
      <c r="CI16" s="555">
        <v>352</v>
      </c>
      <c r="CJ16" s="564">
        <v>552.4</v>
      </c>
      <c r="CK16" s="560">
        <v>303.82</v>
      </c>
      <c r="CL16" s="555"/>
      <c r="CM16" s="564"/>
      <c r="CN16" s="554"/>
      <c r="CO16" s="555"/>
      <c r="CP16" s="564"/>
      <c r="CQ16" s="554"/>
      <c r="CR16" s="555"/>
      <c r="CS16" s="404"/>
      <c r="CT16" s="554"/>
      <c r="CU16" s="555">
        <f t="shared" si="8"/>
        <v>2855</v>
      </c>
      <c r="CV16" s="564">
        <f t="shared" si="9"/>
        <v>4030.0419999999999</v>
      </c>
      <c r="CW16" s="554">
        <f t="shared" si="10"/>
        <v>2017.5170000000001</v>
      </c>
      <c r="CX16" s="565">
        <f t="shared" si="5"/>
        <v>34171</v>
      </c>
      <c r="CY16" s="566">
        <f t="shared" si="5"/>
        <v>26389.616000000002</v>
      </c>
      <c r="CZ16" s="567">
        <f t="shared" si="5"/>
        <v>21791.641</v>
      </c>
      <c r="DA16" s="555"/>
      <c r="DB16" s="564"/>
      <c r="DC16" s="554"/>
      <c r="DD16" s="555">
        <v>16155</v>
      </c>
      <c r="DE16" s="564">
        <v>18557</v>
      </c>
      <c r="DF16" s="554">
        <v>13126.921</v>
      </c>
      <c r="DG16" s="555">
        <v>398631</v>
      </c>
      <c r="DH16" s="560">
        <v>450890.837</v>
      </c>
      <c r="DI16" s="554">
        <v>327593.62800000003</v>
      </c>
      <c r="DJ16" s="555">
        <f t="shared" ref="DJ16:DJ18" si="12">DA16+DD16+DG16</f>
        <v>414786</v>
      </c>
      <c r="DK16" s="560">
        <f t="shared" ref="DK16:DK18" si="13">DB16+DE16+DH16</f>
        <v>469447.837</v>
      </c>
      <c r="DL16" s="560">
        <f t="shared" ref="DL16:DL18" si="14">DC16+DF16+DI16</f>
        <v>340720.549</v>
      </c>
      <c r="DM16" s="555">
        <v>553991</v>
      </c>
      <c r="DN16" s="560">
        <v>607969.45200000005</v>
      </c>
      <c r="DO16" s="554">
        <v>599739.80900000001</v>
      </c>
      <c r="DP16" s="405">
        <v>267253.91800000001</v>
      </c>
      <c r="DQ16" s="560">
        <v>278236.17099999997</v>
      </c>
      <c r="DR16" s="554">
        <v>275571.59000000003</v>
      </c>
      <c r="DS16" s="555">
        <f t="shared" si="11"/>
        <v>1270201.9180000001</v>
      </c>
      <c r="DT16" s="405">
        <f t="shared" si="11"/>
        <v>1382043.0759999999</v>
      </c>
      <c r="DU16" s="560">
        <f t="shared" si="11"/>
        <v>1237823.5890000002</v>
      </c>
      <c r="DV16" s="1583">
        <f t="shared" ref="DV16:DV26" si="15">DU16/DT16*100</f>
        <v>89.564761800521495</v>
      </c>
    </row>
    <row r="17" spans="1:126" ht="23.1" customHeight="1" x14ac:dyDescent="0.2">
      <c r="A17" s="1490" t="s">
        <v>594</v>
      </c>
      <c r="B17" s="1491" t="s">
        <v>872</v>
      </c>
      <c r="C17" s="555">
        <v>723127</v>
      </c>
      <c r="D17" s="404">
        <v>832877</v>
      </c>
      <c r="E17" s="554">
        <v>803470.50199999998</v>
      </c>
      <c r="F17" s="555">
        <v>295892</v>
      </c>
      <c r="G17" s="404">
        <v>319214</v>
      </c>
      <c r="H17" s="554">
        <v>238147.163</v>
      </c>
      <c r="I17" s="555">
        <v>94040</v>
      </c>
      <c r="J17" s="404">
        <v>36121</v>
      </c>
      <c r="K17" s="554">
        <v>31520.280999999999</v>
      </c>
      <c r="L17" s="555">
        <v>41440</v>
      </c>
      <c r="M17" s="404">
        <v>110764</v>
      </c>
      <c r="N17" s="554">
        <v>43460.24</v>
      </c>
      <c r="O17" s="555"/>
      <c r="P17" s="404"/>
      <c r="Q17" s="554"/>
      <c r="R17" s="555">
        <v>99728</v>
      </c>
      <c r="S17" s="404">
        <v>92546.678</v>
      </c>
      <c r="T17" s="554">
        <v>92300.880999999994</v>
      </c>
      <c r="U17" s="555">
        <v>356917</v>
      </c>
      <c r="V17" s="404">
        <v>365113.49300000002</v>
      </c>
      <c r="W17" s="554">
        <v>347139.136</v>
      </c>
      <c r="X17" s="555">
        <v>17721</v>
      </c>
      <c r="Y17" s="564">
        <v>18775.78</v>
      </c>
      <c r="Z17" s="554">
        <v>11978.843999999999</v>
      </c>
      <c r="AA17" s="555"/>
      <c r="AB17" s="564"/>
      <c r="AC17" s="554"/>
      <c r="AD17" s="555"/>
      <c r="AE17" s="564"/>
      <c r="AF17" s="554"/>
      <c r="AG17" s="555">
        <v>572140</v>
      </c>
      <c r="AH17" s="564">
        <v>586413</v>
      </c>
      <c r="AI17" s="554">
        <v>537005.245</v>
      </c>
      <c r="AJ17" s="555"/>
      <c r="AK17" s="564"/>
      <c r="AL17" s="554"/>
      <c r="AM17" s="555"/>
      <c r="AN17" s="564">
        <v>84146</v>
      </c>
      <c r="AO17" s="554">
        <v>4829.6499999999996</v>
      </c>
      <c r="AP17" s="555"/>
      <c r="AQ17" s="564"/>
      <c r="AR17" s="554"/>
      <c r="AS17" s="555"/>
      <c r="AT17" s="564"/>
      <c r="AU17" s="554"/>
      <c r="AV17" s="555">
        <v>855275</v>
      </c>
      <c r="AW17" s="564">
        <v>862140.826</v>
      </c>
      <c r="AX17" s="554">
        <v>684060.25399999996</v>
      </c>
      <c r="AY17" s="555">
        <v>40000</v>
      </c>
      <c r="AZ17" s="564">
        <v>40000</v>
      </c>
      <c r="BA17" s="554">
        <v>32525.952000000001</v>
      </c>
      <c r="BB17" s="555">
        <v>310717</v>
      </c>
      <c r="BC17" s="564">
        <v>350373.10399999999</v>
      </c>
      <c r="BD17" s="554">
        <v>252624.96799999999</v>
      </c>
      <c r="BE17" s="555">
        <v>157229</v>
      </c>
      <c r="BF17" s="564">
        <f>175545</f>
        <v>175545</v>
      </c>
      <c r="BG17" s="554">
        <f>136630.595</f>
        <v>136630.595</v>
      </c>
      <c r="BH17" s="555">
        <f t="shared" si="7"/>
        <v>3564226</v>
      </c>
      <c r="BI17" s="564">
        <f t="shared" si="7"/>
        <v>3874029.8810000001</v>
      </c>
      <c r="BJ17" s="554">
        <f t="shared" si="7"/>
        <v>3215693.7109999997</v>
      </c>
      <c r="BK17" s="555">
        <v>635</v>
      </c>
      <c r="BL17" s="564">
        <v>627</v>
      </c>
      <c r="BM17" s="554">
        <v>467.98700000000002</v>
      </c>
      <c r="BN17" s="555">
        <v>137828</v>
      </c>
      <c r="BO17" s="564">
        <v>150999</v>
      </c>
      <c r="BP17" s="554">
        <v>85509.877999999997</v>
      </c>
      <c r="BQ17" s="555">
        <v>78996</v>
      </c>
      <c r="BR17" s="564">
        <v>78996</v>
      </c>
      <c r="BS17" s="554">
        <v>78996</v>
      </c>
      <c r="BT17" s="555">
        <v>10948</v>
      </c>
      <c r="BU17" s="564">
        <v>17282</v>
      </c>
      <c r="BV17" s="554">
        <v>9896.9040000000005</v>
      </c>
      <c r="BW17" s="555"/>
      <c r="BX17" s="564">
        <v>496</v>
      </c>
      <c r="BY17" s="554">
        <v>495.6</v>
      </c>
      <c r="BZ17" s="555">
        <v>47905</v>
      </c>
      <c r="CA17" s="564">
        <v>60578</v>
      </c>
      <c r="CB17" s="554">
        <v>60983.586000000003</v>
      </c>
      <c r="CC17" s="555">
        <v>245117</v>
      </c>
      <c r="CD17" s="564">
        <v>340130.1</v>
      </c>
      <c r="CE17" s="554">
        <v>247278.465</v>
      </c>
      <c r="CF17" s="555"/>
      <c r="CG17" s="564"/>
      <c r="CH17" s="554"/>
      <c r="CI17" s="555">
        <v>740</v>
      </c>
      <c r="CJ17" s="564">
        <v>1827.2449999999999</v>
      </c>
      <c r="CK17" s="560">
        <v>951.61</v>
      </c>
      <c r="CL17" s="555">
        <v>36321</v>
      </c>
      <c r="CM17" s="564">
        <v>15650</v>
      </c>
      <c r="CN17" s="554">
        <v>15652.120999999999</v>
      </c>
      <c r="CO17" s="555">
        <v>241221</v>
      </c>
      <c r="CP17" s="564">
        <v>235506.12400000001</v>
      </c>
      <c r="CQ17" s="554">
        <v>173943.00599999999</v>
      </c>
      <c r="CR17" s="555"/>
      <c r="CS17" s="404"/>
      <c r="CT17" s="554"/>
      <c r="CU17" s="555">
        <f t="shared" si="8"/>
        <v>799711</v>
      </c>
      <c r="CV17" s="564">
        <f t="shared" si="9"/>
        <v>902091.46900000004</v>
      </c>
      <c r="CW17" s="554">
        <f t="shared" si="10"/>
        <v>674175.15700000001</v>
      </c>
      <c r="CX17" s="565">
        <f t="shared" si="5"/>
        <v>4363937</v>
      </c>
      <c r="CY17" s="566">
        <f t="shared" si="5"/>
        <v>4776121.3499999996</v>
      </c>
      <c r="CZ17" s="567">
        <f t="shared" si="5"/>
        <v>3889868.8679999998</v>
      </c>
      <c r="DA17" s="555">
        <v>37853</v>
      </c>
      <c r="DB17" s="564">
        <v>44516.286</v>
      </c>
      <c r="DC17" s="554">
        <v>34452.468000000001</v>
      </c>
      <c r="DD17" s="555"/>
      <c r="DE17" s="564"/>
      <c r="DF17" s="554"/>
      <c r="DG17" s="555">
        <v>450010</v>
      </c>
      <c r="DH17" s="564">
        <v>472257.53700000001</v>
      </c>
      <c r="DI17" s="554">
        <v>370124.68400000001</v>
      </c>
      <c r="DJ17" s="555">
        <f t="shared" si="12"/>
        <v>487863</v>
      </c>
      <c r="DK17" s="560">
        <f t="shared" si="13"/>
        <v>516773.82300000003</v>
      </c>
      <c r="DL17" s="560">
        <f t="shared" si="14"/>
        <v>404577.152</v>
      </c>
      <c r="DM17" s="555">
        <v>554103</v>
      </c>
      <c r="DN17" s="560">
        <v>656842.47699999996</v>
      </c>
      <c r="DO17" s="554">
        <v>594229.17200000002</v>
      </c>
      <c r="DP17" s="405">
        <v>357003.35200000001</v>
      </c>
      <c r="DQ17" s="560">
        <v>408715.15299999999</v>
      </c>
      <c r="DR17" s="554">
        <v>358547.065</v>
      </c>
      <c r="DS17" s="555">
        <f t="shared" si="11"/>
        <v>5762906.352</v>
      </c>
      <c r="DT17" s="405">
        <f t="shared" si="11"/>
        <v>6358452.8029999994</v>
      </c>
      <c r="DU17" s="560">
        <f t="shared" si="11"/>
        <v>5247222.2570000002</v>
      </c>
      <c r="DV17" s="1583">
        <f t="shared" si="15"/>
        <v>82.523570113224608</v>
      </c>
    </row>
    <row r="18" spans="1:126" s="120" customFormat="1" ht="20.100000000000001" customHeight="1" x14ac:dyDescent="0.2">
      <c r="A18" s="1493"/>
      <c r="B18" s="1813" t="s">
        <v>835</v>
      </c>
      <c r="C18" s="1433"/>
      <c r="D18" s="1434"/>
      <c r="E18" s="1435"/>
      <c r="F18" s="1433"/>
      <c r="G18" s="1434"/>
      <c r="H18" s="1435"/>
      <c r="I18" s="1433"/>
      <c r="J18" s="1434"/>
      <c r="K18" s="1435"/>
      <c r="L18" s="1433"/>
      <c r="M18" s="1434"/>
      <c r="N18" s="1435"/>
      <c r="O18" s="1433"/>
      <c r="P18" s="1434"/>
      <c r="Q18" s="1435"/>
      <c r="R18" s="1433"/>
      <c r="S18" s="1434"/>
      <c r="T18" s="1435"/>
      <c r="U18" s="1433"/>
      <c r="V18" s="1434"/>
      <c r="W18" s="1435"/>
      <c r="X18" s="1433"/>
      <c r="Y18" s="1436"/>
      <c r="Z18" s="1435"/>
      <c r="AA18" s="1433"/>
      <c r="AB18" s="1436"/>
      <c r="AC18" s="1435"/>
      <c r="AD18" s="1433"/>
      <c r="AE18" s="1436"/>
      <c r="AF18" s="1435"/>
      <c r="AG18" s="1433"/>
      <c r="AH18" s="1436"/>
      <c r="AI18" s="1435"/>
      <c r="AJ18" s="1433"/>
      <c r="AK18" s="1436"/>
      <c r="AL18" s="1435"/>
      <c r="AM18" s="1433"/>
      <c r="AN18" s="1436"/>
      <c r="AO18" s="1435"/>
      <c r="AP18" s="1433"/>
      <c r="AQ18" s="1436"/>
      <c r="AR18" s="1435"/>
      <c r="AS18" s="1433"/>
      <c r="AT18" s="1436"/>
      <c r="AU18" s="1435"/>
      <c r="AV18" s="1433"/>
      <c r="AW18" s="1436"/>
      <c r="AX18" s="1435"/>
      <c r="AY18" s="1433"/>
      <c r="AZ18" s="1436"/>
      <c r="BA18" s="1435"/>
      <c r="BB18" s="1433"/>
      <c r="BC18" s="1436"/>
      <c r="BD18" s="1435"/>
      <c r="BE18" s="1556"/>
      <c r="BF18" s="1557">
        <v>4948</v>
      </c>
      <c r="BG18" s="1558">
        <v>4948</v>
      </c>
      <c r="BH18" s="1556">
        <f t="shared" ref="BH18:BJ19" si="16">C18+F18+I18+L18+O18+R18+U18+X18+AA18+AD18+AG18+AJ18+AM18+AP18+AS18+AV18+AY18+BB18+BE18</f>
        <v>0</v>
      </c>
      <c r="BI18" s="1557">
        <f t="shared" si="16"/>
        <v>4948</v>
      </c>
      <c r="BJ18" s="1558">
        <f t="shared" si="16"/>
        <v>4948</v>
      </c>
      <c r="BK18" s="1486"/>
      <c r="BL18" s="1489"/>
      <c r="BM18" s="1488"/>
      <c r="BN18" s="1486"/>
      <c r="BO18" s="1489"/>
      <c r="BP18" s="1488"/>
      <c r="BQ18" s="1486"/>
      <c r="BR18" s="1489"/>
      <c r="BS18" s="1488"/>
      <c r="BT18" s="1486"/>
      <c r="BU18" s="1489"/>
      <c r="BV18" s="1488"/>
      <c r="BW18" s="1486"/>
      <c r="BX18" s="1489"/>
      <c r="BY18" s="1488"/>
      <c r="BZ18" s="1486"/>
      <c r="CA18" s="1489"/>
      <c r="CB18" s="1488"/>
      <c r="CC18" s="1486"/>
      <c r="CD18" s="1489"/>
      <c r="CE18" s="1488"/>
      <c r="CF18" s="1486"/>
      <c r="CG18" s="1489"/>
      <c r="CH18" s="1488"/>
      <c r="CI18" s="1486"/>
      <c r="CJ18" s="1489"/>
      <c r="CK18" s="1525"/>
      <c r="CL18" s="1486"/>
      <c r="CM18" s="1489"/>
      <c r="CN18" s="1488"/>
      <c r="CO18" s="1486"/>
      <c r="CP18" s="1489"/>
      <c r="CQ18" s="1488"/>
      <c r="CR18" s="1433"/>
      <c r="CS18" s="1434"/>
      <c r="CT18" s="1435"/>
      <c r="CU18" s="1556">
        <f t="shared" si="8"/>
        <v>0</v>
      </c>
      <c r="CV18" s="1557">
        <f t="shared" si="9"/>
        <v>0</v>
      </c>
      <c r="CW18" s="1558">
        <f t="shared" si="10"/>
        <v>0</v>
      </c>
      <c r="CX18" s="1486">
        <f t="shared" si="5"/>
        <v>0</v>
      </c>
      <c r="CY18" s="1489">
        <f t="shared" si="5"/>
        <v>4948</v>
      </c>
      <c r="CZ18" s="1488">
        <f t="shared" si="5"/>
        <v>4948</v>
      </c>
      <c r="DA18" s="1486"/>
      <c r="DB18" s="1489"/>
      <c r="DC18" s="1488"/>
      <c r="DD18" s="1486"/>
      <c r="DE18" s="1489"/>
      <c r="DF18" s="1488"/>
      <c r="DG18" s="1486"/>
      <c r="DH18" s="1525"/>
      <c r="DI18" s="1488"/>
      <c r="DJ18" s="1556">
        <f t="shared" si="12"/>
        <v>0</v>
      </c>
      <c r="DK18" s="1559">
        <f t="shared" si="13"/>
        <v>0</v>
      </c>
      <c r="DL18" s="1572">
        <f t="shared" si="14"/>
        <v>0</v>
      </c>
      <c r="DM18" s="1486"/>
      <c r="DN18" s="1525"/>
      <c r="DO18" s="1488"/>
      <c r="DP18" s="1543"/>
      <c r="DQ18" s="1525"/>
      <c r="DR18" s="1488"/>
      <c r="DS18" s="1556">
        <f t="shared" si="11"/>
        <v>0</v>
      </c>
      <c r="DT18" s="1559">
        <f t="shared" si="11"/>
        <v>4948</v>
      </c>
      <c r="DU18" s="1572">
        <f t="shared" si="11"/>
        <v>4948</v>
      </c>
      <c r="DV18" s="1584">
        <f t="shared" si="15"/>
        <v>100</v>
      </c>
    </row>
    <row r="19" spans="1:126" ht="24.95" customHeight="1" x14ac:dyDescent="0.2">
      <c r="A19" s="1416" t="s">
        <v>595</v>
      </c>
      <c r="B19" s="1417" t="s">
        <v>221</v>
      </c>
      <c r="C19" s="1446"/>
      <c r="D19" s="534"/>
      <c r="E19" s="678"/>
      <c r="F19" s="1446"/>
      <c r="G19" s="534"/>
      <c r="H19" s="678"/>
      <c r="I19" s="1446"/>
      <c r="J19" s="534"/>
      <c r="K19" s="678"/>
      <c r="L19" s="1446"/>
      <c r="M19" s="534"/>
      <c r="N19" s="678"/>
      <c r="O19" s="555"/>
      <c r="P19" s="404"/>
      <c r="Q19" s="554"/>
      <c r="R19" s="555"/>
      <c r="S19" s="404"/>
      <c r="T19" s="554"/>
      <c r="U19" s="555"/>
      <c r="V19" s="404"/>
      <c r="W19" s="554"/>
      <c r="X19" s="555">
        <v>77415</v>
      </c>
      <c r="Y19" s="564">
        <v>87315</v>
      </c>
      <c r="Z19" s="554">
        <v>64950.705000000002</v>
      </c>
      <c r="AA19" s="555"/>
      <c r="AB19" s="564"/>
      <c r="AC19" s="554"/>
      <c r="AD19" s="555"/>
      <c r="AE19" s="564"/>
      <c r="AF19" s="554"/>
      <c r="AG19" s="555"/>
      <c r="AH19" s="564"/>
      <c r="AI19" s="554"/>
      <c r="AJ19" s="555"/>
      <c r="AK19" s="564"/>
      <c r="AL19" s="554"/>
      <c r="AM19" s="555"/>
      <c r="AN19" s="564"/>
      <c r="AO19" s="554"/>
      <c r="AP19" s="555"/>
      <c r="AQ19" s="564"/>
      <c r="AR19" s="554"/>
      <c r="AS19" s="555"/>
      <c r="AT19" s="564"/>
      <c r="AU19" s="554"/>
      <c r="AV19" s="555"/>
      <c r="AW19" s="564"/>
      <c r="AX19" s="554"/>
      <c r="AY19" s="555"/>
      <c r="AZ19" s="564"/>
      <c r="BA19" s="554"/>
      <c r="BB19" s="555"/>
      <c r="BC19" s="564"/>
      <c r="BD19" s="554"/>
      <c r="BE19" s="555"/>
      <c r="BF19" s="564"/>
      <c r="BG19" s="554"/>
      <c r="BH19" s="555">
        <f t="shared" si="16"/>
        <v>77415</v>
      </c>
      <c r="BI19" s="564">
        <f t="shared" si="16"/>
        <v>87315</v>
      </c>
      <c r="BJ19" s="554">
        <f t="shared" si="16"/>
        <v>64950.705000000002</v>
      </c>
      <c r="BK19" s="1446"/>
      <c r="BL19" s="1500"/>
      <c r="BM19" s="678"/>
      <c r="BN19" s="1446"/>
      <c r="BO19" s="1500"/>
      <c r="BP19" s="678"/>
      <c r="BQ19" s="1446"/>
      <c r="BR19" s="1500"/>
      <c r="BS19" s="678"/>
      <c r="BT19" s="1446"/>
      <c r="BU19" s="1500"/>
      <c r="BV19" s="678"/>
      <c r="BW19" s="1446"/>
      <c r="BX19" s="1500"/>
      <c r="BY19" s="678"/>
      <c r="BZ19" s="1446"/>
      <c r="CA19" s="1500"/>
      <c r="CB19" s="678"/>
      <c r="CC19" s="1446">
        <v>77600</v>
      </c>
      <c r="CD19" s="1500">
        <v>89200</v>
      </c>
      <c r="CE19" s="678">
        <v>80947.22</v>
      </c>
      <c r="CF19" s="1446">
        <v>250</v>
      </c>
      <c r="CG19" s="1500">
        <v>250</v>
      </c>
      <c r="CH19" s="678">
        <v>75.195999999999998</v>
      </c>
      <c r="CI19" s="1446">
        <v>16900</v>
      </c>
      <c r="CJ19" s="1500">
        <v>20975</v>
      </c>
      <c r="CK19" s="1521">
        <v>8583.31</v>
      </c>
      <c r="CL19" s="1446"/>
      <c r="CM19" s="1500"/>
      <c r="CN19" s="678"/>
      <c r="CO19" s="1446"/>
      <c r="CP19" s="1500"/>
      <c r="CQ19" s="678"/>
      <c r="CR19" s="555"/>
      <c r="CS19" s="404"/>
      <c r="CT19" s="554"/>
      <c r="CU19" s="1446">
        <f t="shared" si="8"/>
        <v>94750</v>
      </c>
      <c r="CV19" s="1500">
        <f t="shared" si="9"/>
        <v>110425</v>
      </c>
      <c r="CW19" s="678">
        <f t="shared" si="10"/>
        <v>89605.725999999995</v>
      </c>
      <c r="CX19" s="565">
        <f t="shared" si="5"/>
        <v>172165</v>
      </c>
      <c r="CY19" s="566">
        <f t="shared" si="5"/>
        <v>197740</v>
      </c>
      <c r="CZ19" s="567">
        <f t="shared" si="5"/>
        <v>154556.43099999998</v>
      </c>
      <c r="DA19" s="555">
        <v>685</v>
      </c>
      <c r="DB19" s="564">
        <v>685</v>
      </c>
      <c r="DC19" s="554">
        <v>184.08</v>
      </c>
      <c r="DD19" s="555"/>
      <c r="DE19" s="564"/>
      <c r="DF19" s="554"/>
      <c r="DG19" s="555"/>
      <c r="DH19" s="560"/>
      <c r="DI19" s="554"/>
      <c r="DJ19" s="555">
        <f>DA19+DD19+DG19</f>
        <v>685</v>
      </c>
      <c r="DK19" s="405">
        <f>DB19+DE19+DH19</f>
        <v>685</v>
      </c>
      <c r="DL19" s="560">
        <f>DC19+DF19+DI19</f>
        <v>184.08</v>
      </c>
      <c r="DM19" s="555"/>
      <c r="DN19" s="560"/>
      <c r="DO19" s="554"/>
      <c r="DP19" s="405"/>
      <c r="DQ19" s="560"/>
      <c r="DR19" s="554"/>
      <c r="DS19" s="565">
        <f t="shared" si="11"/>
        <v>172850</v>
      </c>
      <c r="DT19" s="1560">
        <f t="shared" si="11"/>
        <v>198425</v>
      </c>
      <c r="DU19" s="1573">
        <f t="shared" si="11"/>
        <v>154740.51099999997</v>
      </c>
      <c r="DV19" s="1582">
        <f t="shared" si="15"/>
        <v>77.984382512284228</v>
      </c>
    </row>
    <row r="20" spans="1:126" ht="24.95" customHeight="1" x14ac:dyDescent="0.2">
      <c r="A20" s="1416" t="s">
        <v>39</v>
      </c>
      <c r="B20" s="1417" t="s">
        <v>543</v>
      </c>
      <c r="C20" s="553">
        <f>SUM(C21:C30)</f>
        <v>2000</v>
      </c>
      <c r="D20" s="360">
        <f t="shared" ref="D20:BG20" si="17">SUM(D21:D30)</f>
        <v>2785</v>
      </c>
      <c r="E20" s="552">
        <f t="shared" si="17"/>
        <v>830.23699999999997</v>
      </c>
      <c r="F20" s="553">
        <f t="shared" si="17"/>
        <v>0</v>
      </c>
      <c r="G20" s="360">
        <f t="shared" si="17"/>
        <v>0</v>
      </c>
      <c r="H20" s="552">
        <f t="shared" si="17"/>
        <v>0</v>
      </c>
      <c r="I20" s="553">
        <f t="shared" si="17"/>
        <v>0</v>
      </c>
      <c r="J20" s="360">
        <f t="shared" si="17"/>
        <v>0</v>
      </c>
      <c r="K20" s="552">
        <f t="shared" si="17"/>
        <v>0</v>
      </c>
      <c r="L20" s="553">
        <f t="shared" si="17"/>
        <v>0</v>
      </c>
      <c r="M20" s="360">
        <f t="shared" si="17"/>
        <v>0</v>
      </c>
      <c r="N20" s="552">
        <f t="shared" si="17"/>
        <v>0</v>
      </c>
      <c r="O20" s="553">
        <f t="shared" si="17"/>
        <v>0</v>
      </c>
      <c r="P20" s="360">
        <f t="shared" si="17"/>
        <v>0</v>
      </c>
      <c r="Q20" s="552">
        <f t="shared" si="17"/>
        <v>0</v>
      </c>
      <c r="R20" s="553">
        <f t="shared" si="17"/>
        <v>80000</v>
      </c>
      <c r="S20" s="360">
        <f t="shared" si="17"/>
        <v>0</v>
      </c>
      <c r="T20" s="552">
        <f t="shared" si="17"/>
        <v>0</v>
      </c>
      <c r="U20" s="553">
        <f t="shared" si="17"/>
        <v>89292</v>
      </c>
      <c r="V20" s="360">
        <f t="shared" si="17"/>
        <v>0</v>
      </c>
      <c r="W20" s="552">
        <f t="shared" si="17"/>
        <v>0</v>
      </c>
      <c r="X20" s="553">
        <f t="shared" si="17"/>
        <v>44485</v>
      </c>
      <c r="Y20" s="563">
        <f t="shared" si="17"/>
        <v>49672</v>
      </c>
      <c r="Z20" s="552">
        <f t="shared" si="17"/>
        <v>41060.741000000002</v>
      </c>
      <c r="AA20" s="553">
        <f t="shared" si="17"/>
        <v>4146</v>
      </c>
      <c r="AB20" s="563">
        <f t="shared" si="17"/>
        <v>4146</v>
      </c>
      <c r="AC20" s="552">
        <f t="shared" si="17"/>
        <v>4146</v>
      </c>
      <c r="AD20" s="553">
        <f t="shared" si="17"/>
        <v>358350</v>
      </c>
      <c r="AE20" s="563">
        <f t="shared" si="17"/>
        <v>363350</v>
      </c>
      <c r="AF20" s="552">
        <f t="shared" si="17"/>
        <v>365410</v>
      </c>
      <c r="AG20" s="553">
        <f t="shared" si="17"/>
        <v>40000</v>
      </c>
      <c r="AH20" s="563">
        <f t="shared" si="17"/>
        <v>11075</v>
      </c>
      <c r="AI20" s="552">
        <f t="shared" si="17"/>
        <v>0</v>
      </c>
      <c r="AJ20" s="553">
        <f t="shared" si="17"/>
        <v>0</v>
      </c>
      <c r="AK20" s="563">
        <f t="shared" si="17"/>
        <v>7121</v>
      </c>
      <c r="AL20" s="552">
        <f t="shared" si="17"/>
        <v>7120.835</v>
      </c>
      <c r="AM20" s="553">
        <f t="shared" si="17"/>
        <v>1472872</v>
      </c>
      <c r="AN20" s="563">
        <f t="shared" si="17"/>
        <v>264376</v>
      </c>
      <c r="AO20" s="552">
        <f t="shared" si="17"/>
        <v>192807.05100000001</v>
      </c>
      <c r="AP20" s="553">
        <f t="shared" si="17"/>
        <v>35012</v>
      </c>
      <c r="AQ20" s="563">
        <f t="shared" si="17"/>
        <v>35012</v>
      </c>
      <c r="AR20" s="552">
        <f t="shared" si="17"/>
        <v>31440</v>
      </c>
      <c r="AS20" s="553">
        <f t="shared" si="17"/>
        <v>13500</v>
      </c>
      <c r="AT20" s="563">
        <f t="shared" si="17"/>
        <v>14500</v>
      </c>
      <c r="AU20" s="552">
        <f t="shared" si="17"/>
        <v>14500</v>
      </c>
      <c r="AV20" s="553">
        <f t="shared" si="17"/>
        <v>0</v>
      </c>
      <c r="AW20" s="563">
        <f t="shared" si="17"/>
        <v>0</v>
      </c>
      <c r="AX20" s="552">
        <f t="shared" si="17"/>
        <v>0</v>
      </c>
      <c r="AY20" s="553">
        <f t="shared" si="17"/>
        <v>0</v>
      </c>
      <c r="AZ20" s="563">
        <f t="shared" si="17"/>
        <v>0</v>
      </c>
      <c r="BA20" s="552">
        <f t="shared" si="17"/>
        <v>0</v>
      </c>
      <c r="BB20" s="553">
        <f t="shared" si="17"/>
        <v>796791</v>
      </c>
      <c r="BC20" s="563">
        <f t="shared" si="17"/>
        <v>892309.61200000008</v>
      </c>
      <c r="BD20" s="552">
        <f t="shared" si="17"/>
        <v>142591.49600000001</v>
      </c>
      <c r="BE20" s="553">
        <f t="shared" si="17"/>
        <v>3100</v>
      </c>
      <c r="BF20" s="563">
        <f t="shared" si="17"/>
        <v>9200</v>
      </c>
      <c r="BG20" s="552">
        <f t="shared" si="17"/>
        <v>0</v>
      </c>
      <c r="BH20" s="1069">
        <f t="shared" ref="BH20:BH30" si="18">C20+F20+I20+L20+O20+R20+U20+X20+AA20+AD20+AG20+AJ20+AM20+AP20+AS20+AV20+AY20+BB20+BE20</f>
        <v>2939548</v>
      </c>
      <c r="BI20" s="1520">
        <f t="shared" ref="BI20:BI30" si="19">D20+G20+J20+M20+P20+S20+V20+Y20+AB20+AE20+AH20+AK20+AN20+AQ20+AT20+AW20+AZ20+BC20+BF20</f>
        <v>1653546.6120000002</v>
      </c>
      <c r="BJ20" s="1519">
        <f t="shared" ref="BJ20:BJ30" si="20">E20+H20+K20+N20+Q20+T20+W20+Z20+AC20+AF20+AI20+AL20+AO20+AR20+AU20+AX20+BA20+BD20+BG20</f>
        <v>799906.3600000001</v>
      </c>
      <c r="BK20" s="553">
        <f t="shared" ref="BK20:CY20" si="21">SUM(BK21:BK30)</f>
        <v>0</v>
      </c>
      <c r="BL20" s="563">
        <f t="shared" si="21"/>
        <v>0</v>
      </c>
      <c r="BM20" s="552">
        <f t="shared" si="21"/>
        <v>0</v>
      </c>
      <c r="BN20" s="553">
        <f t="shared" si="21"/>
        <v>12000</v>
      </c>
      <c r="BO20" s="563">
        <f t="shared" si="21"/>
        <v>12000</v>
      </c>
      <c r="BP20" s="552">
        <f t="shared" si="21"/>
        <v>1903.46</v>
      </c>
      <c r="BQ20" s="553">
        <f t="shared" si="21"/>
        <v>0</v>
      </c>
      <c r="BR20" s="563">
        <f t="shared" si="21"/>
        <v>0</v>
      </c>
      <c r="BS20" s="552">
        <f t="shared" si="21"/>
        <v>0</v>
      </c>
      <c r="BT20" s="553">
        <f t="shared" si="21"/>
        <v>0</v>
      </c>
      <c r="BU20" s="563">
        <f t="shared" si="21"/>
        <v>0</v>
      </c>
      <c r="BV20" s="552">
        <f t="shared" si="21"/>
        <v>0</v>
      </c>
      <c r="BW20" s="553">
        <f t="shared" si="21"/>
        <v>0</v>
      </c>
      <c r="BX20" s="563">
        <f t="shared" si="21"/>
        <v>0</v>
      </c>
      <c r="BY20" s="552">
        <f t="shared" si="21"/>
        <v>0</v>
      </c>
      <c r="BZ20" s="553">
        <f t="shared" si="21"/>
        <v>0</v>
      </c>
      <c r="CA20" s="563">
        <f t="shared" si="21"/>
        <v>0</v>
      </c>
      <c r="CB20" s="552">
        <f t="shared" si="21"/>
        <v>0</v>
      </c>
      <c r="CC20" s="553">
        <f t="shared" si="21"/>
        <v>101095</v>
      </c>
      <c r="CD20" s="563">
        <f t="shared" si="21"/>
        <v>290447.74699999997</v>
      </c>
      <c r="CE20" s="552">
        <f t="shared" si="21"/>
        <v>2660</v>
      </c>
      <c r="CF20" s="553">
        <f t="shared" si="21"/>
        <v>0</v>
      </c>
      <c r="CG20" s="563">
        <f t="shared" si="21"/>
        <v>0</v>
      </c>
      <c r="CH20" s="552">
        <f t="shared" si="21"/>
        <v>0</v>
      </c>
      <c r="CI20" s="553">
        <f t="shared" si="21"/>
        <v>143606</v>
      </c>
      <c r="CJ20" s="563">
        <f t="shared" si="21"/>
        <v>120895.755</v>
      </c>
      <c r="CK20" s="559">
        <f t="shared" si="21"/>
        <v>52847.24</v>
      </c>
      <c r="CL20" s="553">
        <f t="shared" ref="CL20:CN20" si="22">SUM(CL21:CL30)</f>
        <v>0</v>
      </c>
      <c r="CM20" s="563">
        <f t="shared" si="22"/>
        <v>0</v>
      </c>
      <c r="CN20" s="552">
        <f t="shared" si="22"/>
        <v>0</v>
      </c>
      <c r="CO20" s="553">
        <f t="shared" ref="CO20:CT20" si="23">SUM(CO21:CO30)</f>
        <v>0</v>
      </c>
      <c r="CP20" s="563">
        <f t="shared" si="23"/>
        <v>0</v>
      </c>
      <c r="CQ20" s="552">
        <f t="shared" si="23"/>
        <v>0</v>
      </c>
      <c r="CR20" s="553">
        <f t="shared" si="23"/>
        <v>0</v>
      </c>
      <c r="CS20" s="360">
        <f t="shared" si="23"/>
        <v>0</v>
      </c>
      <c r="CT20" s="552">
        <f t="shared" si="23"/>
        <v>0</v>
      </c>
      <c r="CU20" s="553">
        <f t="shared" si="21"/>
        <v>256701</v>
      </c>
      <c r="CV20" s="563">
        <f t="shared" si="21"/>
        <v>423343.50199999998</v>
      </c>
      <c r="CW20" s="552">
        <f t="shared" si="21"/>
        <v>57410.7</v>
      </c>
      <c r="CX20" s="553">
        <f t="shared" si="21"/>
        <v>3196249</v>
      </c>
      <c r="CY20" s="563">
        <f t="shared" si="21"/>
        <v>2076890.1140000001</v>
      </c>
      <c r="CZ20" s="552">
        <f t="shared" ref="CZ20:DU20" si="24">SUM(CZ21:CZ30)</f>
        <v>857317.05999999994</v>
      </c>
      <c r="DA20" s="553">
        <f t="shared" si="24"/>
        <v>0</v>
      </c>
      <c r="DB20" s="563">
        <f t="shared" si="24"/>
        <v>0</v>
      </c>
      <c r="DC20" s="552">
        <f t="shared" si="24"/>
        <v>0</v>
      </c>
      <c r="DD20" s="553">
        <f t="shared" si="24"/>
        <v>0</v>
      </c>
      <c r="DE20" s="563">
        <f t="shared" si="24"/>
        <v>0</v>
      </c>
      <c r="DF20" s="552">
        <f t="shared" si="24"/>
        <v>0</v>
      </c>
      <c r="DG20" s="553">
        <f>SUM(DG21:DG30)</f>
        <v>0</v>
      </c>
      <c r="DH20" s="563">
        <f t="shared" si="24"/>
        <v>87740</v>
      </c>
      <c r="DI20" s="552">
        <f t="shared" si="24"/>
        <v>87740</v>
      </c>
      <c r="DJ20" s="553">
        <f>SUM(DJ21:DJ30)</f>
        <v>0</v>
      </c>
      <c r="DK20" s="563">
        <f t="shared" si="24"/>
        <v>87740</v>
      </c>
      <c r="DL20" s="559">
        <f t="shared" si="24"/>
        <v>87740</v>
      </c>
      <c r="DM20" s="553">
        <f>SUM(DM21:DM30)</f>
        <v>0</v>
      </c>
      <c r="DN20" s="563">
        <f t="shared" si="24"/>
        <v>2118.422</v>
      </c>
      <c r="DO20" s="552">
        <f t="shared" si="24"/>
        <v>2118.422</v>
      </c>
      <c r="DP20" s="561">
        <f t="shared" si="24"/>
        <v>0</v>
      </c>
      <c r="DQ20" s="563">
        <f t="shared" si="24"/>
        <v>0</v>
      </c>
      <c r="DR20" s="552">
        <f t="shared" si="24"/>
        <v>0</v>
      </c>
      <c r="DS20" s="553">
        <f t="shared" si="24"/>
        <v>3196249</v>
      </c>
      <c r="DT20" s="563">
        <f t="shared" si="24"/>
        <v>2166748.5359999998</v>
      </c>
      <c r="DU20" s="559">
        <f t="shared" si="24"/>
        <v>947175.48199999996</v>
      </c>
      <c r="DV20" s="1583">
        <f t="shared" si="15"/>
        <v>43.714139701165585</v>
      </c>
    </row>
    <row r="21" spans="1:126" ht="18" customHeight="1" x14ac:dyDescent="0.2">
      <c r="A21" s="1418" t="s">
        <v>836</v>
      </c>
      <c r="B21" s="1419" t="s">
        <v>837</v>
      </c>
      <c r="C21" s="596"/>
      <c r="D21" s="1402"/>
      <c r="E21" s="1403"/>
      <c r="F21" s="596"/>
      <c r="G21" s="1402"/>
      <c r="H21" s="1403"/>
      <c r="I21" s="596"/>
      <c r="J21" s="1402"/>
      <c r="K21" s="1403"/>
      <c r="L21" s="596"/>
      <c r="M21" s="1402"/>
      <c r="N21" s="1403"/>
      <c r="O21" s="596"/>
      <c r="P21" s="1402"/>
      <c r="Q21" s="1403"/>
      <c r="R21" s="596"/>
      <c r="S21" s="1402"/>
      <c r="T21" s="1403"/>
      <c r="U21" s="596"/>
      <c r="V21" s="1402"/>
      <c r="W21" s="1403"/>
      <c r="X21" s="596"/>
      <c r="Y21" s="1445"/>
      <c r="Z21" s="1403"/>
      <c r="AA21" s="596"/>
      <c r="AB21" s="1445"/>
      <c r="AC21" s="1403"/>
      <c r="AD21" s="596"/>
      <c r="AE21" s="1445"/>
      <c r="AF21" s="1403"/>
      <c r="AG21" s="596"/>
      <c r="AH21" s="1445"/>
      <c r="AI21" s="1403"/>
      <c r="AJ21" s="596"/>
      <c r="AK21" s="1445"/>
      <c r="AL21" s="1403"/>
      <c r="AM21" s="596"/>
      <c r="AN21" s="1445"/>
      <c r="AO21" s="1403"/>
      <c r="AP21" s="596"/>
      <c r="AQ21" s="1445"/>
      <c r="AR21" s="1403"/>
      <c r="AS21" s="596"/>
      <c r="AT21" s="1445"/>
      <c r="AU21" s="1403"/>
      <c r="AV21" s="596"/>
      <c r="AW21" s="1445"/>
      <c r="AX21" s="1403"/>
      <c r="AY21" s="596"/>
      <c r="AZ21" s="1445"/>
      <c r="BA21" s="1403"/>
      <c r="BB21" s="596"/>
      <c r="BC21" s="1445"/>
      <c r="BD21" s="1403"/>
      <c r="BE21" s="596"/>
      <c r="BF21" s="1445"/>
      <c r="BG21" s="1403"/>
      <c r="BH21" s="1497">
        <f t="shared" si="18"/>
        <v>0</v>
      </c>
      <c r="BI21" s="1498">
        <f t="shared" si="19"/>
        <v>0</v>
      </c>
      <c r="BJ21" s="1499">
        <f t="shared" si="20"/>
        <v>0</v>
      </c>
      <c r="BK21" s="1497"/>
      <c r="BL21" s="1498"/>
      <c r="BM21" s="1499"/>
      <c r="BN21" s="1497"/>
      <c r="BO21" s="1498"/>
      <c r="BP21" s="1499"/>
      <c r="BQ21" s="1497"/>
      <c r="BR21" s="1498"/>
      <c r="BS21" s="1499"/>
      <c r="BT21" s="1497"/>
      <c r="BU21" s="1498"/>
      <c r="BV21" s="1499"/>
      <c r="BW21" s="1497"/>
      <c r="BX21" s="1498"/>
      <c r="BY21" s="1499"/>
      <c r="BZ21" s="1497"/>
      <c r="CA21" s="1498"/>
      <c r="CB21" s="1499"/>
      <c r="CC21" s="1497"/>
      <c r="CD21" s="1498"/>
      <c r="CE21" s="1499"/>
      <c r="CF21" s="1497"/>
      <c r="CG21" s="1498"/>
      <c r="CH21" s="1499"/>
      <c r="CI21" s="1497"/>
      <c r="CJ21" s="1498"/>
      <c r="CK21" s="1544"/>
      <c r="CL21" s="1497"/>
      <c r="CM21" s="1498"/>
      <c r="CN21" s="1499"/>
      <c r="CO21" s="1497"/>
      <c r="CP21" s="1498"/>
      <c r="CQ21" s="1499"/>
      <c r="CR21" s="596"/>
      <c r="CS21" s="1402"/>
      <c r="CT21" s="1403"/>
      <c r="CU21" s="1497">
        <f t="shared" ref="CU21:CU30" si="25">BK21+BN21+BQ21+BT21+BW21+BZ21+CC21+CF21+CI21+CL21+CO21+CR21</f>
        <v>0</v>
      </c>
      <c r="CV21" s="1498">
        <f t="shared" ref="CV21:CV30" si="26">BL21+BO21+BR21+BU21+BX21+CA21+CD21+CG21+CJ21+CM21+CP21+CS21</f>
        <v>0</v>
      </c>
      <c r="CW21" s="1499">
        <f t="shared" ref="CW21:CW30" si="27">BM21+BP21+BS21+BV21+BY21+CB21+CE21+CH21+CK21+CN21+CQ21+CT21</f>
        <v>0</v>
      </c>
      <c r="CX21" s="1437">
        <f t="shared" ref="CX21:CX42" si="28">BH21+CU21</f>
        <v>0</v>
      </c>
      <c r="CY21" s="1440">
        <f t="shared" ref="CY21:CY42" si="29">BI21+CV21</f>
        <v>0</v>
      </c>
      <c r="CZ21" s="1439">
        <f t="shared" ref="CZ21:CZ42" si="30">BJ21+CW21</f>
        <v>0</v>
      </c>
      <c r="DA21" s="1497"/>
      <c r="DB21" s="1498"/>
      <c r="DC21" s="1499"/>
      <c r="DD21" s="1497"/>
      <c r="DE21" s="1498"/>
      <c r="DF21" s="1499"/>
      <c r="DG21" s="1497"/>
      <c r="DH21" s="1544"/>
      <c r="DI21" s="1499"/>
      <c r="DJ21" s="596">
        <f t="shared" ref="DJ21:DJ31" si="31">DA21+DD21+DG21</f>
        <v>0</v>
      </c>
      <c r="DK21" s="1402">
        <f t="shared" ref="DK21:DK31" si="32">DB21+DE21+DH21</f>
        <v>0</v>
      </c>
      <c r="DL21" s="2042">
        <f t="shared" ref="DL21:DL31" si="33">DC21+DF21+DI21</f>
        <v>0</v>
      </c>
      <c r="DM21" s="1497"/>
      <c r="DN21" s="1544"/>
      <c r="DO21" s="1499"/>
      <c r="DP21" s="2047"/>
      <c r="DQ21" s="1544"/>
      <c r="DR21" s="1499"/>
      <c r="DS21" s="555">
        <f t="shared" ref="DS21:DS30" si="34">CX21+DJ21+DM21+DP21</f>
        <v>0</v>
      </c>
      <c r="DT21" s="405">
        <f t="shared" ref="DT21:DT30" si="35">CY21+DK21+DN21+DQ21</f>
        <v>0</v>
      </c>
      <c r="DU21" s="560">
        <f t="shared" ref="DU21:DU30" si="36">CZ21+DL21+DO21+DR21</f>
        <v>0</v>
      </c>
      <c r="DV21" s="1585">
        <v>0</v>
      </c>
    </row>
    <row r="22" spans="1:126" ht="18" customHeight="1" x14ac:dyDescent="0.2">
      <c r="A22" s="1418" t="s">
        <v>838</v>
      </c>
      <c r="B22" s="1419" t="s">
        <v>880</v>
      </c>
      <c r="C22" s="555"/>
      <c r="D22" s="404"/>
      <c r="E22" s="554"/>
      <c r="F22" s="555"/>
      <c r="G22" s="404"/>
      <c r="H22" s="554"/>
      <c r="I22" s="555"/>
      <c r="J22" s="404"/>
      <c r="K22" s="554"/>
      <c r="L22" s="555"/>
      <c r="M22" s="404"/>
      <c r="N22" s="554"/>
      <c r="O22" s="555"/>
      <c r="P22" s="404"/>
      <c r="Q22" s="554"/>
      <c r="R22" s="555"/>
      <c r="S22" s="404"/>
      <c r="T22" s="554"/>
      <c r="U22" s="555"/>
      <c r="V22" s="404"/>
      <c r="W22" s="554"/>
      <c r="X22" s="555"/>
      <c r="Y22" s="564"/>
      <c r="Z22" s="554"/>
      <c r="AA22" s="555"/>
      <c r="AB22" s="564"/>
      <c r="AC22" s="554"/>
      <c r="AD22" s="555"/>
      <c r="AE22" s="564"/>
      <c r="AF22" s="554"/>
      <c r="AG22" s="555"/>
      <c r="AH22" s="564"/>
      <c r="AI22" s="554"/>
      <c r="AJ22" s="555"/>
      <c r="AK22" s="564"/>
      <c r="AL22" s="554"/>
      <c r="AM22" s="555"/>
      <c r="AN22" s="564"/>
      <c r="AO22" s="554"/>
      <c r="AP22" s="555"/>
      <c r="AQ22" s="564"/>
      <c r="AR22" s="554"/>
      <c r="AS22" s="555"/>
      <c r="AT22" s="564"/>
      <c r="AU22" s="554"/>
      <c r="AV22" s="555"/>
      <c r="AW22" s="564"/>
      <c r="AX22" s="554"/>
      <c r="AY22" s="555"/>
      <c r="AZ22" s="564"/>
      <c r="BA22" s="554"/>
      <c r="BB22" s="555">
        <v>150591</v>
      </c>
      <c r="BC22" s="564">
        <v>150591.49600000001</v>
      </c>
      <c r="BD22" s="554">
        <v>142591.49600000001</v>
      </c>
      <c r="BE22" s="555"/>
      <c r="BF22" s="564"/>
      <c r="BG22" s="554"/>
      <c r="BH22" s="1451">
        <f t="shared" si="18"/>
        <v>150591</v>
      </c>
      <c r="BI22" s="1454">
        <f t="shared" si="19"/>
        <v>150591.49600000001</v>
      </c>
      <c r="BJ22" s="1453">
        <f t="shared" si="20"/>
        <v>142591.49600000001</v>
      </c>
      <c r="BK22" s="1451"/>
      <c r="BL22" s="1454"/>
      <c r="BM22" s="1453"/>
      <c r="BN22" s="1451"/>
      <c r="BO22" s="1454"/>
      <c r="BP22" s="1453"/>
      <c r="BQ22" s="1451"/>
      <c r="BR22" s="1454"/>
      <c r="BS22" s="1453"/>
      <c r="BT22" s="1451"/>
      <c r="BU22" s="1454"/>
      <c r="BV22" s="1453"/>
      <c r="BW22" s="1451"/>
      <c r="BX22" s="1454"/>
      <c r="BY22" s="1453"/>
      <c r="BZ22" s="1451"/>
      <c r="CA22" s="1454"/>
      <c r="CB22" s="1453"/>
      <c r="CC22" s="1451"/>
      <c r="CD22" s="1454"/>
      <c r="CE22" s="1453"/>
      <c r="CF22" s="1451"/>
      <c r="CG22" s="1454"/>
      <c r="CH22" s="1453"/>
      <c r="CI22" s="1451"/>
      <c r="CJ22" s="1454"/>
      <c r="CK22" s="1524"/>
      <c r="CL22" s="1451"/>
      <c r="CM22" s="1454"/>
      <c r="CN22" s="1453"/>
      <c r="CO22" s="1451"/>
      <c r="CP22" s="1454"/>
      <c r="CQ22" s="1453"/>
      <c r="CR22" s="555"/>
      <c r="CS22" s="404"/>
      <c r="CT22" s="554"/>
      <c r="CU22" s="1451">
        <f t="shared" si="25"/>
        <v>0</v>
      </c>
      <c r="CV22" s="1454">
        <f t="shared" si="26"/>
        <v>0</v>
      </c>
      <c r="CW22" s="1453">
        <f t="shared" si="27"/>
        <v>0</v>
      </c>
      <c r="CX22" s="565">
        <f t="shared" si="28"/>
        <v>150591</v>
      </c>
      <c r="CY22" s="566">
        <f t="shared" si="29"/>
        <v>150591.49600000001</v>
      </c>
      <c r="CZ22" s="567">
        <f t="shared" si="30"/>
        <v>142591.49600000001</v>
      </c>
      <c r="DA22" s="1451"/>
      <c r="DB22" s="1454"/>
      <c r="DC22" s="1453"/>
      <c r="DD22" s="1451"/>
      <c r="DE22" s="1454"/>
      <c r="DF22" s="1453"/>
      <c r="DG22" s="1451"/>
      <c r="DH22" s="1524">
        <v>87740</v>
      </c>
      <c r="DI22" s="1453">
        <v>87740</v>
      </c>
      <c r="DJ22" s="555">
        <f t="shared" si="31"/>
        <v>0</v>
      </c>
      <c r="DK22" s="404">
        <f t="shared" si="32"/>
        <v>87740</v>
      </c>
      <c r="DL22" s="560">
        <f t="shared" si="33"/>
        <v>87740</v>
      </c>
      <c r="DM22" s="1451"/>
      <c r="DN22" s="1524">
        <v>2118.422</v>
      </c>
      <c r="DO22" s="1453">
        <v>2118.422</v>
      </c>
      <c r="DP22" s="1546"/>
      <c r="DQ22" s="1524"/>
      <c r="DR22" s="1453"/>
      <c r="DS22" s="555">
        <f t="shared" si="34"/>
        <v>150591</v>
      </c>
      <c r="DT22" s="405">
        <f t="shared" si="35"/>
        <v>240449.91800000001</v>
      </c>
      <c r="DU22" s="560">
        <f t="shared" si="36"/>
        <v>232449.91800000001</v>
      </c>
      <c r="DV22" s="1583">
        <f>DU22/DT22*100</f>
        <v>96.672903835217767</v>
      </c>
    </row>
    <row r="23" spans="1:126" ht="18" customHeight="1" x14ac:dyDescent="0.2">
      <c r="A23" s="1418" t="s">
        <v>839</v>
      </c>
      <c r="B23" s="1419" t="s">
        <v>881</v>
      </c>
      <c r="C23" s="555"/>
      <c r="D23" s="404"/>
      <c r="E23" s="554"/>
      <c r="F23" s="555"/>
      <c r="G23" s="404"/>
      <c r="H23" s="554"/>
      <c r="I23" s="555"/>
      <c r="J23" s="404"/>
      <c r="K23" s="554"/>
      <c r="L23" s="555"/>
      <c r="M23" s="404"/>
      <c r="N23" s="554"/>
      <c r="O23" s="555"/>
      <c r="P23" s="404"/>
      <c r="Q23" s="554"/>
      <c r="R23" s="555"/>
      <c r="S23" s="404"/>
      <c r="T23" s="554"/>
      <c r="U23" s="555"/>
      <c r="V23" s="404"/>
      <c r="W23" s="554"/>
      <c r="X23" s="555"/>
      <c r="Y23" s="564"/>
      <c r="Z23" s="554"/>
      <c r="AA23" s="555"/>
      <c r="AB23" s="564"/>
      <c r="AC23" s="554"/>
      <c r="AD23" s="555"/>
      <c r="AE23" s="564"/>
      <c r="AF23" s="554"/>
      <c r="AG23" s="555"/>
      <c r="AH23" s="564"/>
      <c r="AI23" s="554"/>
      <c r="AJ23" s="555"/>
      <c r="AK23" s="564"/>
      <c r="AL23" s="554"/>
      <c r="AM23" s="555"/>
      <c r="AN23" s="564"/>
      <c r="AO23" s="554"/>
      <c r="AP23" s="555"/>
      <c r="AQ23" s="564"/>
      <c r="AR23" s="554"/>
      <c r="AS23" s="555"/>
      <c r="AT23" s="564"/>
      <c r="AU23" s="554"/>
      <c r="AV23" s="555"/>
      <c r="AW23" s="564"/>
      <c r="AX23" s="554"/>
      <c r="AY23" s="555"/>
      <c r="AZ23" s="564"/>
      <c r="BA23" s="554"/>
      <c r="BB23" s="555"/>
      <c r="BC23" s="564"/>
      <c r="BD23" s="554"/>
      <c r="BE23" s="555"/>
      <c r="BF23" s="564"/>
      <c r="BG23" s="554"/>
      <c r="BH23" s="1451">
        <f t="shared" si="18"/>
        <v>0</v>
      </c>
      <c r="BI23" s="1454">
        <f t="shared" si="19"/>
        <v>0</v>
      </c>
      <c r="BJ23" s="1453">
        <f t="shared" si="20"/>
        <v>0</v>
      </c>
      <c r="BK23" s="1451"/>
      <c r="BL23" s="1454"/>
      <c r="BM23" s="1453"/>
      <c r="BN23" s="1451"/>
      <c r="BO23" s="1454"/>
      <c r="BP23" s="1453"/>
      <c r="BQ23" s="1451"/>
      <c r="BR23" s="1454"/>
      <c r="BS23" s="1453"/>
      <c r="BT23" s="1451"/>
      <c r="BU23" s="1454"/>
      <c r="BV23" s="1453"/>
      <c r="BW23" s="1451"/>
      <c r="BX23" s="1454"/>
      <c r="BY23" s="1453"/>
      <c r="BZ23" s="1451"/>
      <c r="CA23" s="1454"/>
      <c r="CB23" s="1453"/>
      <c r="CC23" s="1451"/>
      <c r="CD23" s="1454"/>
      <c r="CE23" s="1453"/>
      <c r="CF23" s="1451"/>
      <c r="CG23" s="1454"/>
      <c r="CH23" s="1453"/>
      <c r="CI23" s="1451"/>
      <c r="CJ23" s="1454"/>
      <c r="CK23" s="1524"/>
      <c r="CL23" s="1451"/>
      <c r="CM23" s="1454"/>
      <c r="CN23" s="1453"/>
      <c r="CO23" s="1451"/>
      <c r="CP23" s="1454"/>
      <c r="CQ23" s="1453"/>
      <c r="CR23" s="555"/>
      <c r="CS23" s="404"/>
      <c r="CT23" s="554"/>
      <c r="CU23" s="1451">
        <f t="shared" si="25"/>
        <v>0</v>
      </c>
      <c r="CV23" s="1454">
        <f t="shared" si="26"/>
        <v>0</v>
      </c>
      <c r="CW23" s="1453">
        <f t="shared" si="27"/>
        <v>0</v>
      </c>
      <c r="CX23" s="565">
        <f t="shared" si="28"/>
        <v>0</v>
      </c>
      <c r="CY23" s="566">
        <f t="shared" si="29"/>
        <v>0</v>
      </c>
      <c r="CZ23" s="567">
        <f t="shared" si="30"/>
        <v>0</v>
      </c>
      <c r="DA23" s="1451"/>
      <c r="DB23" s="1454"/>
      <c r="DC23" s="1453"/>
      <c r="DD23" s="1451"/>
      <c r="DE23" s="1454"/>
      <c r="DF23" s="1453"/>
      <c r="DG23" s="1451"/>
      <c r="DH23" s="1524"/>
      <c r="DI23" s="1453"/>
      <c r="DJ23" s="555">
        <f t="shared" si="31"/>
        <v>0</v>
      </c>
      <c r="DK23" s="404">
        <f t="shared" si="32"/>
        <v>0</v>
      </c>
      <c r="DL23" s="560">
        <f t="shared" si="33"/>
        <v>0</v>
      </c>
      <c r="DM23" s="1451"/>
      <c r="DN23" s="1524"/>
      <c r="DO23" s="1453"/>
      <c r="DP23" s="1546"/>
      <c r="DQ23" s="1524"/>
      <c r="DR23" s="1453"/>
      <c r="DS23" s="555">
        <f t="shared" si="34"/>
        <v>0</v>
      </c>
      <c r="DT23" s="405">
        <f t="shared" si="35"/>
        <v>0</v>
      </c>
      <c r="DU23" s="560">
        <f t="shared" si="36"/>
        <v>0</v>
      </c>
      <c r="DV23" s="1583">
        <v>0</v>
      </c>
    </row>
    <row r="24" spans="1:126" ht="18" customHeight="1" x14ac:dyDescent="0.2">
      <c r="A24" s="1418" t="s">
        <v>840</v>
      </c>
      <c r="B24" s="1419" t="s">
        <v>882</v>
      </c>
      <c r="C24" s="555"/>
      <c r="D24" s="404"/>
      <c r="E24" s="554"/>
      <c r="F24" s="555"/>
      <c r="G24" s="404"/>
      <c r="H24" s="554"/>
      <c r="I24" s="555"/>
      <c r="J24" s="404"/>
      <c r="K24" s="554"/>
      <c r="L24" s="555"/>
      <c r="M24" s="404"/>
      <c r="N24" s="554"/>
      <c r="O24" s="555"/>
      <c r="P24" s="404"/>
      <c r="Q24" s="554"/>
      <c r="R24" s="555"/>
      <c r="S24" s="404"/>
      <c r="T24" s="554"/>
      <c r="U24" s="555"/>
      <c r="V24" s="404"/>
      <c r="W24" s="554"/>
      <c r="X24" s="555"/>
      <c r="Y24" s="564"/>
      <c r="Z24" s="554"/>
      <c r="AA24" s="555"/>
      <c r="AB24" s="564"/>
      <c r="AC24" s="554"/>
      <c r="AD24" s="555"/>
      <c r="AE24" s="564"/>
      <c r="AF24" s="554"/>
      <c r="AG24" s="555"/>
      <c r="AH24" s="564"/>
      <c r="AI24" s="554"/>
      <c r="AJ24" s="555"/>
      <c r="AK24" s="564"/>
      <c r="AL24" s="554"/>
      <c r="AM24" s="555"/>
      <c r="AN24" s="564"/>
      <c r="AO24" s="554"/>
      <c r="AP24" s="555"/>
      <c r="AQ24" s="564"/>
      <c r="AR24" s="554"/>
      <c r="AS24" s="555"/>
      <c r="AT24" s="564"/>
      <c r="AU24" s="554"/>
      <c r="AV24" s="555"/>
      <c r="AW24" s="564"/>
      <c r="AX24" s="554"/>
      <c r="AY24" s="555"/>
      <c r="AZ24" s="564"/>
      <c r="BA24" s="554"/>
      <c r="BB24" s="555"/>
      <c r="BC24" s="564"/>
      <c r="BD24" s="554"/>
      <c r="BE24" s="555"/>
      <c r="BF24" s="564"/>
      <c r="BG24" s="554"/>
      <c r="BH24" s="1451">
        <f t="shared" si="18"/>
        <v>0</v>
      </c>
      <c r="BI24" s="1454">
        <f t="shared" si="19"/>
        <v>0</v>
      </c>
      <c r="BJ24" s="1453">
        <f t="shared" si="20"/>
        <v>0</v>
      </c>
      <c r="BK24" s="1451"/>
      <c r="BL24" s="1454"/>
      <c r="BM24" s="1453"/>
      <c r="BN24" s="1451"/>
      <c r="BO24" s="1454"/>
      <c r="BP24" s="1453"/>
      <c r="BQ24" s="1451"/>
      <c r="BR24" s="1454"/>
      <c r="BS24" s="1453"/>
      <c r="BT24" s="1451"/>
      <c r="BU24" s="1454"/>
      <c r="BV24" s="1453"/>
      <c r="BW24" s="1451"/>
      <c r="BX24" s="1454"/>
      <c r="BY24" s="1453"/>
      <c r="BZ24" s="1451"/>
      <c r="CA24" s="1454"/>
      <c r="CB24" s="1453"/>
      <c r="CC24" s="1451"/>
      <c r="CD24" s="1454"/>
      <c r="CE24" s="1453"/>
      <c r="CF24" s="1451"/>
      <c r="CG24" s="1454"/>
      <c r="CH24" s="1453"/>
      <c r="CI24" s="1451"/>
      <c r="CJ24" s="1454"/>
      <c r="CK24" s="1524"/>
      <c r="CL24" s="1451"/>
      <c r="CM24" s="1454"/>
      <c r="CN24" s="1453"/>
      <c r="CO24" s="1451"/>
      <c r="CP24" s="1454"/>
      <c r="CQ24" s="1453"/>
      <c r="CR24" s="555"/>
      <c r="CS24" s="404"/>
      <c r="CT24" s="554"/>
      <c r="CU24" s="1451">
        <f t="shared" si="25"/>
        <v>0</v>
      </c>
      <c r="CV24" s="1454">
        <f t="shared" si="26"/>
        <v>0</v>
      </c>
      <c r="CW24" s="1453">
        <f t="shared" si="27"/>
        <v>0</v>
      </c>
      <c r="CX24" s="1186">
        <f t="shared" si="28"/>
        <v>0</v>
      </c>
      <c r="CY24" s="1443">
        <f t="shared" si="29"/>
        <v>0</v>
      </c>
      <c r="CZ24" s="1442">
        <f t="shared" si="30"/>
        <v>0</v>
      </c>
      <c r="DA24" s="1451"/>
      <c r="DB24" s="1454"/>
      <c r="DC24" s="1453"/>
      <c r="DD24" s="1451"/>
      <c r="DE24" s="1454"/>
      <c r="DF24" s="1453"/>
      <c r="DG24" s="1451"/>
      <c r="DH24" s="1524"/>
      <c r="DI24" s="1453"/>
      <c r="DJ24" s="555">
        <f t="shared" si="31"/>
        <v>0</v>
      </c>
      <c r="DK24" s="404">
        <f t="shared" si="32"/>
        <v>0</v>
      </c>
      <c r="DL24" s="560">
        <f t="shared" si="33"/>
        <v>0</v>
      </c>
      <c r="DM24" s="1451"/>
      <c r="DN24" s="1524"/>
      <c r="DO24" s="1453"/>
      <c r="DP24" s="1546"/>
      <c r="DQ24" s="1524"/>
      <c r="DR24" s="1453"/>
      <c r="DS24" s="555">
        <f t="shared" si="34"/>
        <v>0</v>
      </c>
      <c r="DT24" s="405">
        <f t="shared" si="35"/>
        <v>0</v>
      </c>
      <c r="DU24" s="560">
        <f t="shared" si="36"/>
        <v>0</v>
      </c>
      <c r="DV24" s="1583">
        <v>0</v>
      </c>
    </row>
    <row r="25" spans="1:126" ht="18" customHeight="1" x14ac:dyDescent="0.2">
      <c r="A25" s="1418" t="s">
        <v>841</v>
      </c>
      <c r="B25" s="1419" t="s">
        <v>883</v>
      </c>
      <c r="C25" s="555"/>
      <c r="D25" s="404"/>
      <c r="E25" s="554"/>
      <c r="F25" s="555"/>
      <c r="G25" s="404"/>
      <c r="H25" s="554"/>
      <c r="I25" s="555"/>
      <c r="J25" s="404"/>
      <c r="K25" s="554"/>
      <c r="L25" s="555"/>
      <c r="M25" s="404"/>
      <c r="N25" s="554"/>
      <c r="O25" s="555"/>
      <c r="P25" s="404"/>
      <c r="Q25" s="554"/>
      <c r="R25" s="555"/>
      <c r="S25" s="404"/>
      <c r="T25" s="554"/>
      <c r="U25" s="555"/>
      <c r="V25" s="404"/>
      <c r="W25" s="554"/>
      <c r="X25" s="555"/>
      <c r="Y25" s="564"/>
      <c r="Z25" s="554"/>
      <c r="AA25" s="555"/>
      <c r="AB25" s="564"/>
      <c r="AC25" s="554"/>
      <c r="AD25" s="555"/>
      <c r="AE25" s="564"/>
      <c r="AF25" s="554"/>
      <c r="AG25" s="555"/>
      <c r="AH25" s="564"/>
      <c r="AI25" s="554"/>
      <c r="AJ25" s="555"/>
      <c r="AK25" s="564"/>
      <c r="AL25" s="554"/>
      <c r="AM25" s="555"/>
      <c r="AN25" s="564"/>
      <c r="AO25" s="554"/>
      <c r="AP25" s="555"/>
      <c r="AQ25" s="564"/>
      <c r="AR25" s="554"/>
      <c r="AS25" s="555"/>
      <c r="AT25" s="564"/>
      <c r="AU25" s="554"/>
      <c r="AV25" s="555"/>
      <c r="AW25" s="564"/>
      <c r="AX25" s="554"/>
      <c r="AY25" s="555"/>
      <c r="AZ25" s="564"/>
      <c r="BA25" s="554"/>
      <c r="BB25" s="555"/>
      <c r="BC25" s="564"/>
      <c r="BD25" s="554"/>
      <c r="BE25" s="555"/>
      <c r="BF25" s="564"/>
      <c r="BG25" s="554"/>
      <c r="BH25" s="1451">
        <f t="shared" si="18"/>
        <v>0</v>
      </c>
      <c r="BI25" s="1454">
        <f t="shared" si="19"/>
        <v>0</v>
      </c>
      <c r="BJ25" s="1453">
        <f t="shared" si="20"/>
        <v>0</v>
      </c>
      <c r="BK25" s="1451"/>
      <c r="BL25" s="1454"/>
      <c r="BM25" s="1453"/>
      <c r="BN25" s="1451"/>
      <c r="BO25" s="1454"/>
      <c r="BP25" s="1453"/>
      <c r="BQ25" s="1451"/>
      <c r="BR25" s="1454"/>
      <c r="BS25" s="1453"/>
      <c r="BT25" s="1451"/>
      <c r="BU25" s="1454"/>
      <c r="BV25" s="1453"/>
      <c r="BW25" s="1451"/>
      <c r="BX25" s="1454"/>
      <c r="BY25" s="1453"/>
      <c r="BZ25" s="1451"/>
      <c r="CA25" s="1454"/>
      <c r="CB25" s="1453"/>
      <c r="CC25" s="1451"/>
      <c r="CD25" s="1454"/>
      <c r="CE25" s="1453"/>
      <c r="CF25" s="1451"/>
      <c r="CG25" s="1454"/>
      <c r="CH25" s="1453"/>
      <c r="CI25" s="1451"/>
      <c r="CJ25" s="1454"/>
      <c r="CK25" s="1524"/>
      <c r="CL25" s="1451"/>
      <c r="CM25" s="1454"/>
      <c r="CN25" s="1453"/>
      <c r="CO25" s="1451"/>
      <c r="CP25" s="1454"/>
      <c r="CQ25" s="1453"/>
      <c r="CR25" s="555"/>
      <c r="CS25" s="404"/>
      <c r="CT25" s="554"/>
      <c r="CU25" s="1451">
        <f t="shared" si="25"/>
        <v>0</v>
      </c>
      <c r="CV25" s="1454">
        <f t="shared" si="26"/>
        <v>0</v>
      </c>
      <c r="CW25" s="1453">
        <f t="shared" si="27"/>
        <v>0</v>
      </c>
      <c r="CX25" s="1186">
        <f t="shared" si="28"/>
        <v>0</v>
      </c>
      <c r="CY25" s="1443">
        <f t="shared" si="29"/>
        <v>0</v>
      </c>
      <c r="CZ25" s="1442">
        <f t="shared" si="30"/>
        <v>0</v>
      </c>
      <c r="DA25" s="1451"/>
      <c r="DB25" s="1454"/>
      <c r="DC25" s="1453"/>
      <c r="DD25" s="1451"/>
      <c r="DE25" s="1454"/>
      <c r="DF25" s="1453"/>
      <c r="DG25" s="1451"/>
      <c r="DH25" s="1524"/>
      <c r="DI25" s="1453"/>
      <c r="DJ25" s="555">
        <f t="shared" si="31"/>
        <v>0</v>
      </c>
      <c r="DK25" s="404">
        <f t="shared" si="32"/>
        <v>0</v>
      </c>
      <c r="DL25" s="560">
        <f t="shared" si="33"/>
        <v>0</v>
      </c>
      <c r="DM25" s="1451"/>
      <c r="DN25" s="1524"/>
      <c r="DO25" s="1453"/>
      <c r="DP25" s="1546"/>
      <c r="DQ25" s="1524"/>
      <c r="DR25" s="1453"/>
      <c r="DS25" s="555">
        <f t="shared" si="34"/>
        <v>0</v>
      </c>
      <c r="DT25" s="405">
        <f t="shared" si="35"/>
        <v>0</v>
      </c>
      <c r="DU25" s="560">
        <f t="shared" si="36"/>
        <v>0</v>
      </c>
      <c r="DV25" s="1583">
        <v>0</v>
      </c>
    </row>
    <row r="26" spans="1:126" s="120" customFormat="1" ht="18" customHeight="1" x14ac:dyDescent="0.2">
      <c r="A26" s="1418" t="s">
        <v>842</v>
      </c>
      <c r="B26" s="1420" t="s">
        <v>884</v>
      </c>
      <c r="C26" s="555"/>
      <c r="D26" s="404"/>
      <c r="E26" s="554"/>
      <c r="F26" s="555"/>
      <c r="G26" s="404"/>
      <c r="H26" s="554"/>
      <c r="I26" s="555"/>
      <c r="J26" s="404"/>
      <c r="K26" s="554"/>
      <c r="L26" s="555"/>
      <c r="M26" s="404"/>
      <c r="N26" s="554"/>
      <c r="O26" s="555"/>
      <c r="P26" s="404"/>
      <c r="Q26" s="554"/>
      <c r="R26" s="555"/>
      <c r="S26" s="404"/>
      <c r="T26" s="554"/>
      <c r="U26" s="555"/>
      <c r="V26" s="404"/>
      <c r="W26" s="554"/>
      <c r="X26" s="555"/>
      <c r="Y26" s="564"/>
      <c r="Z26" s="554"/>
      <c r="AA26" s="555"/>
      <c r="AB26" s="564"/>
      <c r="AC26" s="554"/>
      <c r="AD26" s="555"/>
      <c r="AE26" s="564"/>
      <c r="AF26" s="554"/>
      <c r="AG26" s="555"/>
      <c r="AH26" s="564"/>
      <c r="AI26" s="554"/>
      <c r="AJ26" s="555"/>
      <c r="AK26" s="564">
        <v>7121</v>
      </c>
      <c r="AL26" s="554">
        <v>7120.835</v>
      </c>
      <c r="AM26" s="555"/>
      <c r="AN26" s="564"/>
      <c r="AO26" s="554"/>
      <c r="AP26" s="555">
        <v>35012</v>
      </c>
      <c r="AQ26" s="564">
        <v>35012</v>
      </c>
      <c r="AR26" s="554">
        <v>31440</v>
      </c>
      <c r="AS26" s="555">
        <v>13500</v>
      </c>
      <c r="AT26" s="564">
        <v>14500</v>
      </c>
      <c r="AU26" s="554">
        <v>14500</v>
      </c>
      <c r="AV26" s="555"/>
      <c r="AW26" s="564"/>
      <c r="AX26" s="554"/>
      <c r="AY26" s="555"/>
      <c r="AZ26" s="564"/>
      <c r="BA26" s="554"/>
      <c r="BB26" s="555"/>
      <c r="BC26" s="564"/>
      <c r="BD26" s="554"/>
      <c r="BE26" s="555"/>
      <c r="BF26" s="564"/>
      <c r="BG26" s="554"/>
      <c r="BH26" s="1451">
        <f t="shared" si="18"/>
        <v>48512</v>
      </c>
      <c r="BI26" s="1454">
        <f t="shared" si="19"/>
        <v>56633</v>
      </c>
      <c r="BJ26" s="1453">
        <f t="shared" si="20"/>
        <v>53060.834999999999</v>
      </c>
      <c r="BK26" s="1451"/>
      <c r="BL26" s="1454"/>
      <c r="BM26" s="1453"/>
      <c r="BN26" s="1451"/>
      <c r="BO26" s="1454"/>
      <c r="BP26" s="1453"/>
      <c r="BQ26" s="1451"/>
      <c r="BR26" s="1454"/>
      <c r="BS26" s="1453"/>
      <c r="BT26" s="1451"/>
      <c r="BU26" s="1454"/>
      <c r="BV26" s="1453"/>
      <c r="BW26" s="1451"/>
      <c r="BX26" s="1454"/>
      <c r="BY26" s="1453"/>
      <c r="BZ26" s="1451"/>
      <c r="CA26" s="1454"/>
      <c r="CB26" s="1453"/>
      <c r="CC26" s="1451">
        <v>1600</v>
      </c>
      <c r="CD26" s="1454">
        <v>1600</v>
      </c>
      <c r="CE26" s="1453">
        <v>1600</v>
      </c>
      <c r="CF26" s="1451"/>
      <c r="CG26" s="1454"/>
      <c r="CH26" s="1453"/>
      <c r="CI26" s="1451">
        <v>4400</v>
      </c>
      <c r="CJ26" s="1454">
        <v>12260</v>
      </c>
      <c r="CK26" s="1524">
        <v>8661</v>
      </c>
      <c r="CL26" s="1451"/>
      <c r="CM26" s="1454"/>
      <c r="CN26" s="1453"/>
      <c r="CO26" s="1451"/>
      <c r="CP26" s="1454"/>
      <c r="CQ26" s="1453"/>
      <c r="CR26" s="555"/>
      <c r="CS26" s="404"/>
      <c r="CT26" s="554"/>
      <c r="CU26" s="1451">
        <f t="shared" si="25"/>
        <v>6000</v>
      </c>
      <c r="CV26" s="1454">
        <f t="shared" si="26"/>
        <v>13860</v>
      </c>
      <c r="CW26" s="1453">
        <f t="shared" si="27"/>
        <v>10261</v>
      </c>
      <c r="CX26" s="1186">
        <f t="shared" si="28"/>
        <v>54512</v>
      </c>
      <c r="CY26" s="1443">
        <f t="shared" si="29"/>
        <v>70493</v>
      </c>
      <c r="CZ26" s="1442">
        <f t="shared" si="30"/>
        <v>63321.834999999999</v>
      </c>
      <c r="DA26" s="1451"/>
      <c r="DB26" s="1454"/>
      <c r="DC26" s="1453"/>
      <c r="DD26" s="1451"/>
      <c r="DE26" s="1454"/>
      <c r="DF26" s="1453"/>
      <c r="DG26" s="1451"/>
      <c r="DH26" s="1524"/>
      <c r="DI26" s="1453"/>
      <c r="DJ26" s="555">
        <f t="shared" si="31"/>
        <v>0</v>
      </c>
      <c r="DK26" s="404">
        <f t="shared" si="32"/>
        <v>0</v>
      </c>
      <c r="DL26" s="560">
        <f t="shared" si="33"/>
        <v>0</v>
      </c>
      <c r="DM26" s="1451"/>
      <c r="DN26" s="1524"/>
      <c r="DO26" s="1453"/>
      <c r="DP26" s="1546"/>
      <c r="DQ26" s="1524"/>
      <c r="DR26" s="1453"/>
      <c r="DS26" s="555">
        <f t="shared" si="34"/>
        <v>54512</v>
      </c>
      <c r="DT26" s="405">
        <f t="shared" si="35"/>
        <v>70493</v>
      </c>
      <c r="DU26" s="560">
        <f t="shared" si="36"/>
        <v>63321.834999999999</v>
      </c>
      <c r="DV26" s="1583">
        <f t="shared" si="15"/>
        <v>89.82712467904615</v>
      </c>
    </row>
    <row r="27" spans="1:126" ht="18" customHeight="1" x14ac:dyDescent="0.2">
      <c r="A27" s="1418" t="s">
        <v>843</v>
      </c>
      <c r="B27" s="1419" t="s">
        <v>885</v>
      </c>
      <c r="C27" s="555"/>
      <c r="D27" s="404"/>
      <c r="E27" s="554"/>
      <c r="F27" s="555"/>
      <c r="G27" s="404"/>
      <c r="H27" s="554"/>
      <c r="I27" s="555"/>
      <c r="J27" s="404"/>
      <c r="K27" s="554"/>
      <c r="L27" s="555"/>
      <c r="M27" s="404"/>
      <c r="N27" s="554"/>
      <c r="O27" s="555"/>
      <c r="P27" s="404"/>
      <c r="Q27" s="554"/>
      <c r="R27" s="555"/>
      <c r="S27" s="404"/>
      <c r="T27" s="554"/>
      <c r="U27" s="555"/>
      <c r="V27" s="404"/>
      <c r="W27" s="554"/>
      <c r="X27" s="555"/>
      <c r="Y27" s="564"/>
      <c r="Z27" s="554"/>
      <c r="AA27" s="555"/>
      <c r="AB27" s="564"/>
      <c r="AC27" s="554"/>
      <c r="AD27" s="555"/>
      <c r="AE27" s="404"/>
      <c r="AF27" s="554"/>
      <c r="AG27" s="555"/>
      <c r="AH27" s="564"/>
      <c r="AI27" s="554"/>
      <c r="AJ27" s="555"/>
      <c r="AK27" s="564"/>
      <c r="AL27" s="554"/>
      <c r="AM27" s="555"/>
      <c r="AN27" s="564"/>
      <c r="AO27" s="554"/>
      <c r="AP27" s="555"/>
      <c r="AQ27" s="564"/>
      <c r="AR27" s="554"/>
      <c r="AS27" s="555"/>
      <c r="AT27" s="564"/>
      <c r="AU27" s="554"/>
      <c r="AV27" s="555"/>
      <c r="AW27" s="564"/>
      <c r="AX27" s="554"/>
      <c r="AY27" s="555"/>
      <c r="AZ27" s="564"/>
      <c r="BA27" s="554"/>
      <c r="BB27" s="555"/>
      <c r="BC27" s="564"/>
      <c r="BD27" s="554"/>
      <c r="BE27" s="555"/>
      <c r="BF27" s="564"/>
      <c r="BG27" s="554"/>
      <c r="BH27" s="1451">
        <f t="shared" si="18"/>
        <v>0</v>
      </c>
      <c r="BI27" s="1454">
        <f t="shared" si="19"/>
        <v>0</v>
      </c>
      <c r="BJ27" s="1453">
        <f t="shared" si="20"/>
        <v>0</v>
      </c>
      <c r="BK27" s="555"/>
      <c r="BL27" s="1454"/>
      <c r="BM27" s="1453"/>
      <c r="BN27" s="1451"/>
      <c r="BO27" s="1454"/>
      <c r="BP27" s="1453"/>
      <c r="BQ27" s="1451"/>
      <c r="BR27" s="1454"/>
      <c r="BS27" s="1453"/>
      <c r="BT27" s="1451"/>
      <c r="BU27" s="1454"/>
      <c r="BV27" s="1453"/>
      <c r="BW27" s="1451"/>
      <c r="BX27" s="1454"/>
      <c r="BY27" s="1453"/>
      <c r="BZ27" s="1451"/>
      <c r="CA27" s="1454"/>
      <c r="CB27" s="1453"/>
      <c r="CC27" s="1451"/>
      <c r="CD27" s="1514"/>
      <c r="CE27" s="1453"/>
      <c r="CF27" s="1451"/>
      <c r="CG27" s="1454"/>
      <c r="CH27" s="1453"/>
      <c r="CI27" s="1451"/>
      <c r="CJ27" s="1454"/>
      <c r="CK27" s="1524"/>
      <c r="CL27" s="1451"/>
      <c r="CM27" s="1454"/>
      <c r="CN27" s="1453"/>
      <c r="CO27" s="1451"/>
      <c r="CP27" s="1454"/>
      <c r="CQ27" s="1453"/>
      <c r="CR27" s="555"/>
      <c r="CS27" s="404"/>
      <c r="CT27" s="554"/>
      <c r="CU27" s="1451">
        <f t="shared" si="25"/>
        <v>0</v>
      </c>
      <c r="CV27" s="1454">
        <f t="shared" si="26"/>
        <v>0</v>
      </c>
      <c r="CW27" s="1453">
        <f t="shared" si="27"/>
        <v>0</v>
      </c>
      <c r="CX27" s="555">
        <f t="shared" si="28"/>
        <v>0</v>
      </c>
      <c r="CY27" s="564">
        <f t="shared" si="29"/>
        <v>0</v>
      </c>
      <c r="CZ27" s="554">
        <f t="shared" si="30"/>
        <v>0</v>
      </c>
      <c r="DA27" s="1451"/>
      <c r="DB27" s="1454"/>
      <c r="DC27" s="1453"/>
      <c r="DD27" s="1451"/>
      <c r="DE27" s="1454"/>
      <c r="DF27" s="1453"/>
      <c r="DG27" s="1451"/>
      <c r="DH27" s="1524"/>
      <c r="DI27" s="1453"/>
      <c r="DJ27" s="555">
        <f t="shared" si="31"/>
        <v>0</v>
      </c>
      <c r="DK27" s="404">
        <f t="shared" si="32"/>
        <v>0</v>
      </c>
      <c r="DL27" s="560">
        <f t="shared" si="33"/>
        <v>0</v>
      </c>
      <c r="DM27" s="1451"/>
      <c r="DN27" s="1524"/>
      <c r="DO27" s="1453"/>
      <c r="DP27" s="1546"/>
      <c r="DQ27" s="1524"/>
      <c r="DR27" s="1453"/>
      <c r="DS27" s="555">
        <f t="shared" si="34"/>
        <v>0</v>
      </c>
      <c r="DT27" s="405">
        <f t="shared" si="35"/>
        <v>0</v>
      </c>
      <c r="DU27" s="560">
        <f t="shared" si="36"/>
        <v>0</v>
      </c>
      <c r="DV27" s="1583">
        <v>0</v>
      </c>
    </row>
    <row r="28" spans="1:126" ht="18" customHeight="1" x14ac:dyDescent="0.2">
      <c r="A28" s="1418" t="s">
        <v>844</v>
      </c>
      <c r="B28" s="1419" t="s">
        <v>886</v>
      </c>
      <c r="C28" s="555"/>
      <c r="D28" s="404"/>
      <c r="E28" s="554"/>
      <c r="F28" s="555"/>
      <c r="G28" s="404"/>
      <c r="H28" s="554"/>
      <c r="I28" s="555"/>
      <c r="J28" s="404"/>
      <c r="K28" s="554"/>
      <c r="L28" s="555"/>
      <c r="M28" s="404"/>
      <c r="N28" s="554"/>
      <c r="O28" s="555"/>
      <c r="P28" s="404"/>
      <c r="Q28" s="554"/>
      <c r="R28" s="555"/>
      <c r="S28" s="404"/>
      <c r="T28" s="554"/>
      <c r="U28" s="555"/>
      <c r="V28" s="404"/>
      <c r="W28" s="554"/>
      <c r="X28" s="555"/>
      <c r="Y28" s="564"/>
      <c r="Z28" s="554"/>
      <c r="AA28" s="555"/>
      <c r="AB28" s="564"/>
      <c r="AC28" s="554"/>
      <c r="AD28" s="555"/>
      <c r="AE28" s="404"/>
      <c r="AF28" s="595"/>
      <c r="AG28" s="555"/>
      <c r="AH28" s="564"/>
      <c r="AI28" s="554"/>
      <c r="AJ28" s="555"/>
      <c r="AK28" s="564"/>
      <c r="AL28" s="554"/>
      <c r="AM28" s="555"/>
      <c r="AN28" s="564"/>
      <c r="AO28" s="554"/>
      <c r="AP28" s="555"/>
      <c r="AQ28" s="564"/>
      <c r="AR28" s="554"/>
      <c r="AS28" s="555"/>
      <c r="AT28" s="564"/>
      <c r="AU28" s="554"/>
      <c r="AV28" s="555"/>
      <c r="AW28" s="564"/>
      <c r="AX28" s="554"/>
      <c r="AY28" s="555"/>
      <c r="AZ28" s="564"/>
      <c r="BA28" s="554"/>
      <c r="BB28" s="555"/>
      <c r="BC28" s="564"/>
      <c r="BD28" s="554"/>
      <c r="BE28" s="555"/>
      <c r="BF28" s="564"/>
      <c r="BG28" s="554"/>
      <c r="BH28" s="1451">
        <f t="shared" si="18"/>
        <v>0</v>
      </c>
      <c r="BI28" s="1454">
        <f t="shared" si="19"/>
        <v>0</v>
      </c>
      <c r="BJ28" s="1453">
        <f t="shared" si="20"/>
        <v>0</v>
      </c>
      <c r="BK28" s="555"/>
      <c r="BL28" s="564"/>
      <c r="BM28" s="554"/>
      <c r="BN28" s="555"/>
      <c r="BO28" s="564"/>
      <c r="BP28" s="554"/>
      <c r="BQ28" s="555"/>
      <c r="BR28" s="564"/>
      <c r="BS28" s="554"/>
      <c r="BT28" s="555"/>
      <c r="BU28" s="564"/>
      <c r="BV28" s="554"/>
      <c r="BW28" s="555"/>
      <c r="BX28" s="564"/>
      <c r="BY28" s="554"/>
      <c r="BZ28" s="555"/>
      <c r="CA28" s="564"/>
      <c r="CB28" s="554"/>
      <c r="CC28" s="555"/>
      <c r="CD28" s="564"/>
      <c r="CE28" s="554"/>
      <c r="CF28" s="555"/>
      <c r="CG28" s="564"/>
      <c r="CH28" s="554"/>
      <c r="CI28" s="555"/>
      <c r="CJ28" s="564"/>
      <c r="CK28" s="560"/>
      <c r="CL28" s="555"/>
      <c r="CM28" s="564"/>
      <c r="CN28" s="554"/>
      <c r="CO28" s="555"/>
      <c r="CP28" s="564"/>
      <c r="CQ28" s="554"/>
      <c r="CR28" s="555"/>
      <c r="CS28" s="404"/>
      <c r="CT28" s="554"/>
      <c r="CU28" s="1451">
        <f t="shared" si="25"/>
        <v>0</v>
      </c>
      <c r="CV28" s="1454">
        <f t="shared" si="26"/>
        <v>0</v>
      </c>
      <c r="CW28" s="1453">
        <f t="shared" si="27"/>
        <v>0</v>
      </c>
      <c r="CX28" s="555">
        <f t="shared" si="28"/>
        <v>0</v>
      </c>
      <c r="CY28" s="564">
        <f t="shared" si="29"/>
        <v>0</v>
      </c>
      <c r="CZ28" s="554">
        <f t="shared" si="30"/>
        <v>0</v>
      </c>
      <c r="DA28" s="1451"/>
      <c r="DB28" s="1454"/>
      <c r="DC28" s="1453"/>
      <c r="DD28" s="1451"/>
      <c r="DE28" s="1454"/>
      <c r="DF28" s="1453"/>
      <c r="DG28" s="1451"/>
      <c r="DH28" s="1524"/>
      <c r="DI28" s="1453"/>
      <c r="DJ28" s="555">
        <f t="shared" si="31"/>
        <v>0</v>
      </c>
      <c r="DK28" s="404">
        <f t="shared" si="32"/>
        <v>0</v>
      </c>
      <c r="DL28" s="560">
        <f t="shared" si="33"/>
        <v>0</v>
      </c>
      <c r="DM28" s="1451"/>
      <c r="DN28" s="1524"/>
      <c r="DO28" s="1453"/>
      <c r="DP28" s="1546"/>
      <c r="DQ28" s="1524"/>
      <c r="DR28" s="1453"/>
      <c r="DS28" s="555">
        <f t="shared" si="34"/>
        <v>0</v>
      </c>
      <c r="DT28" s="405">
        <f t="shared" si="35"/>
        <v>0</v>
      </c>
      <c r="DU28" s="560">
        <f t="shared" si="36"/>
        <v>0</v>
      </c>
      <c r="DV28" s="1583">
        <v>0</v>
      </c>
    </row>
    <row r="29" spans="1:126" ht="18" customHeight="1" x14ac:dyDescent="0.2">
      <c r="A29" s="1418" t="s">
        <v>845</v>
      </c>
      <c r="B29" s="1420" t="s">
        <v>887</v>
      </c>
      <c r="C29" s="555">
        <v>2000</v>
      </c>
      <c r="D29" s="404">
        <v>2785</v>
      </c>
      <c r="E29" s="554">
        <v>830.23699999999997</v>
      </c>
      <c r="F29" s="555"/>
      <c r="G29" s="404"/>
      <c r="H29" s="554"/>
      <c r="I29" s="555"/>
      <c r="J29" s="404"/>
      <c r="K29" s="554"/>
      <c r="L29" s="555"/>
      <c r="M29" s="404"/>
      <c r="N29" s="554"/>
      <c r="O29" s="555"/>
      <c r="P29" s="404"/>
      <c r="Q29" s="554"/>
      <c r="R29" s="555"/>
      <c r="S29" s="404"/>
      <c r="T29" s="554"/>
      <c r="U29" s="555"/>
      <c r="V29" s="404"/>
      <c r="W29" s="554"/>
      <c r="X29" s="555">
        <v>44485</v>
      </c>
      <c r="Y29" s="564">
        <v>49672</v>
      </c>
      <c r="Z29" s="554">
        <v>41060.741000000002</v>
      </c>
      <c r="AA29" s="555">
        <v>4146</v>
      </c>
      <c r="AB29" s="564">
        <v>4146</v>
      </c>
      <c r="AC29" s="554">
        <v>4146</v>
      </c>
      <c r="AD29" s="555">
        <v>358350</v>
      </c>
      <c r="AE29" s="404">
        <v>363350</v>
      </c>
      <c r="AF29" s="595">
        <v>365410</v>
      </c>
      <c r="AG29" s="555"/>
      <c r="AH29" s="564"/>
      <c r="AI29" s="554"/>
      <c r="AJ29" s="555"/>
      <c r="AK29" s="564"/>
      <c r="AL29" s="554"/>
      <c r="AM29" s="555">
        <v>193645</v>
      </c>
      <c r="AN29" s="564">
        <v>194546</v>
      </c>
      <c r="AO29" s="554">
        <v>192807.05100000001</v>
      </c>
      <c r="AP29" s="555"/>
      <c r="AQ29" s="564"/>
      <c r="AR29" s="554"/>
      <c r="AS29" s="555"/>
      <c r="AT29" s="564"/>
      <c r="AU29" s="554"/>
      <c r="AV29" s="555"/>
      <c r="AW29" s="564"/>
      <c r="AX29" s="554"/>
      <c r="AY29" s="555"/>
      <c r="AZ29" s="564"/>
      <c r="BA29" s="554"/>
      <c r="BB29" s="555"/>
      <c r="BC29" s="564"/>
      <c r="BD29" s="554"/>
      <c r="BE29" s="555"/>
      <c r="BF29" s="564"/>
      <c r="BG29" s="554"/>
      <c r="BH29" s="1451">
        <f t="shared" si="18"/>
        <v>602626</v>
      </c>
      <c r="BI29" s="1454">
        <f t="shared" si="19"/>
        <v>614499</v>
      </c>
      <c r="BJ29" s="1453">
        <f t="shared" si="20"/>
        <v>604254.02899999998</v>
      </c>
      <c r="BK29" s="555"/>
      <c r="BL29" s="564"/>
      <c r="BM29" s="554"/>
      <c r="BN29" s="555">
        <v>12000</v>
      </c>
      <c r="BO29" s="564">
        <v>12000</v>
      </c>
      <c r="BP29" s="554">
        <v>1903.46</v>
      </c>
      <c r="BQ29" s="555"/>
      <c r="BR29" s="564"/>
      <c r="BS29" s="554"/>
      <c r="BT29" s="555"/>
      <c r="BU29" s="564"/>
      <c r="BV29" s="1453"/>
      <c r="BW29" s="1451"/>
      <c r="BX29" s="1454"/>
      <c r="BY29" s="1453"/>
      <c r="BZ29" s="1451"/>
      <c r="CA29" s="1454"/>
      <c r="CB29" s="1453"/>
      <c r="CC29" s="555"/>
      <c r="CD29" s="564">
        <v>1560</v>
      </c>
      <c r="CE29" s="554">
        <v>1060</v>
      </c>
      <c r="CF29" s="555"/>
      <c r="CG29" s="564"/>
      <c r="CH29" s="554"/>
      <c r="CI29" s="555">
        <v>54706</v>
      </c>
      <c r="CJ29" s="564">
        <v>52565.754999999997</v>
      </c>
      <c r="CK29" s="560">
        <v>44186.239999999998</v>
      </c>
      <c r="CL29" s="555"/>
      <c r="CM29" s="564"/>
      <c r="CN29" s="554"/>
      <c r="CO29" s="555"/>
      <c r="CP29" s="564"/>
      <c r="CQ29" s="554"/>
      <c r="CR29" s="555"/>
      <c r="CS29" s="404"/>
      <c r="CT29" s="554"/>
      <c r="CU29" s="1451">
        <f t="shared" si="25"/>
        <v>66706</v>
      </c>
      <c r="CV29" s="1454">
        <f t="shared" si="26"/>
        <v>66125.755000000005</v>
      </c>
      <c r="CW29" s="1453">
        <f t="shared" si="27"/>
        <v>47149.7</v>
      </c>
      <c r="CX29" s="565">
        <f t="shared" si="28"/>
        <v>669332</v>
      </c>
      <c r="CY29" s="566">
        <f t="shared" si="29"/>
        <v>680624.755</v>
      </c>
      <c r="CZ29" s="567">
        <f t="shared" si="30"/>
        <v>651403.72899999993</v>
      </c>
      <c r="DA29" s="1451"/>
      <c r="DB29" s="1454"/>
      <c r="DC29" s="1453"/>
      <c r="DD29" s="1451"/>
      <c r="DE29" s="1454"/>
      <c r="DF29" s="1453"/>
      <c r="DG29" s="1451"/>
      <c r="DH29" s="1524"/>
      <c r="DI29" s="1453"/>
      <c r="DJ29" s="555">
        <f t="shared" si="31"/>
        <v>0</v>
      </c>
      <c r="DK29" s="404">
        <f t="shared" si="32"/>
        <v>0</v>
      </c>
      <c r="DL29" s="560">
        <f t="shared" si="33"/>
        <v>0</v>
      </c>
      <c r="DM29" s="1451"/>
      <c r="DN29" s="1524"/>
      <c r="DO29" s="1453"/>
      <c r="DP29" s="1546"/>
      <c r="DQ29" s="1524"/>
      <c r="DR29" s="1453"/>
      <c r="DS29" s="555">
        <f t="shared" si="34"/>
        <v>669332</v>
      </c>
      <c r="DT29" s="405">
        <f t="shared" si="35"/>
        <v>680624.755</v>
      </c>
      <c r="DU29" s="560">
        <f t="shared" si="36"/>
        <v>651403.72899999993</v>
      </c>
      <c r="DV29" s="1583">
        <f t="shared" ref="DV29:DV34" si="37">DU29/DT29*100</f>
        <v>95.706734763122142</v>
      </c>
    </row>
    <row r="30" spans="1:126" ht="18" customHeight="1" x14ac:dyDescent="0.2">
      <c r="A30" s="1418" t="s">
        <v>846</v>
      </c>
      <c r="B30" s="1421" t="s">
        <v>888</v>
      </c>
      <c r="C30" s="1444"/>
      <c r="D30" s="1487"/>
      <c r="E30" s="1435"/>
      <c r="F30" s="1486"/>
      <c r="G30" s="1487"/>
      <c r="H30" s="1488"/>
      <c r="I30" s="1433"/>
      <c r="J30" s="1434"/>
      <c r="K30" s="1435"/>
      <c r="L30" s="1486"/>
      <c r="M30" s="1487"/>
      <c r="N30" s="1488"/>
      <c r="O30" s="1486"/>
      <c r="P30" s="1487"/>
      <c r="Q30" s="1488"/>
      <c r="R30" s="1486">
        <v>80000</v>
      </c>
      <c r="S30" s="1487"/>
      <c r="T30" s="1488"/>
      <c r="U30" s="1486">
        <v>89292</v>
      </c>
      <c r="V30" s="1487"/>
      <c r="W30" s="1488"/>
      <c r="X30" s="1486"/>
      <c r="Y30" s="1489"/>
      <c r="Z30" s="1488"/>
      <c r="AA30" s="1486"/>
      <c r="AB30" s="1489"/>
      <c r="AC30" s="1488"/>
      <c r="AD30" s="1486"/>
      <c r="AE30" s="1489"/>
      <c r="AF30" s="1488"/>
      <c r="AG30" s="1486">
        <v>40000</v>
      </c>
      <c r="AH30" s="1489">
        <v>11075</v>
      </c>
      <c r="AI30" s="1488"/>
      <c r="AJ30" s="1486"/>
      <c r="AK30" s="1489"/>
      <c r="AL30" s="1488"/>
      <c r="AM30" s="1486">
        <v>1279227</v>
      </c>
      <c r="AN30" s="1489">
        <v>69830</v>
      </c>
      <c r="AO30" s="1488"/>
      <c r="AP30" s="1486"/>
      <c r="AQ30" s="1489"/>
      <c r="AR30" s="1488"/>
      <c r="AS30" s="1486"/>
      <c r="AT30" s="1489"/>
      <c r="AU30" s="1488"/>
      <c r="AV30" s="1486"/>
      <c r="AW30" s="1489"/>
      <c r="AX30" s="1488"/>
      <c r="AY30" s="1486"/>
      <c r="AZ30" s="1489"/>
      <c r="BA30" s="1488"/>
      <c r="BB30" s="1486">
        <v>646200</v>
      </c>
      <c r="BC30" s="1489">
        <f>102134.116+639584</f>
        <v>741718.11600000004</v>
      </c>
      <c r="BD30" s="1488"/>
      <c r="BE30" s="1486">
        <v>3100</v>
      </c>
      <c r="BF30" s="1489">
        <v>9200</v>
      </c>
      <c r="BG30" s="1488"/>
      <c r="BH30" s="1486">
        <f t="shared" si="18"/>
        <v>2137819</v>
      </c>
      <c r="BI30" s="1489">
        <f t="shared" si="19"/>
        <v>831823.11600000004</v>
      </c>
      <c r="BJ30" s="1488">
        <f t="shared" si="20"/>
        <v>0</v>
      </c>
      <c r="BK30" s="1433"/>
      <c r="BL30" s="1436"/>
      <c r="BM30" s="1435"/>
      <c r="BN30" s="1433"/>
      <c r="BO30" s="1436"/>
      <c r="BP30" s="1435"/>
      <c r="BQ30" s="1433"/>
      <c r="BR30" s="1436"/>
      <c r="BS30" s="1435"/>
      <c r="BT30" s="1433"/>
      <c r="BU30" s="1436"/>
      <c r="BV30" s="1488"/>
      <c r="BW30" s="1486"/>
      <c r="BX30" s="1489"/>
      <c r="BY30" s="1488"/>
      <c r="BZ30" s="1486"/>
      <c r="CA30" s="1489"/>
      <c r="CB30" s="1488"/>
      <c r="CC30" s="1486">
        <v>99495</v>
      </c>
      <c r="CD30" s="1489">
        <f>283292.747+3995</f>
        <v>287287.74699999997</v>
      </c>
      <c r="CE30" s="1488"/>
      <c r="CF30" s="1433"/>
      <c r="CG30" s="1436"/>
      <c r="CH30" s="1435"/>
      <c r="CI30" s="1486">
        <v>84500</v>
      </c>
      <c r="CJ30" s="1489">
        <f>3838+52232</f>
        <v>56070</v>
      </c>
      <c r="CK30" s="1525"/>
      <c r="CL30" s="1486"/>
      <c r="CM30" s="1489"/>
      <c r="CN30" s="1488"/>
      <c r="CO30" s="1486"/>
      <c r="CP30" s="1489"/>
      <c r="CQ30" s="1488"/>
      <c r="CR30" s="1486"/>
      <c r="CS30" s="1487"/>
      <c r="CT30" s="1488"/>
      <c r="CU30" s="1486">
        <f t="shared" si="25"/>
        <v>183995</v>
      </c>
      <c r="CV30" s="1489">
        <f t="shared" si="26"/>
        <v>343357.74699999997</v>
      </c>
      <c r="CW30" s="1488">
        <f t="shared" si="27"/>
        <v>0</v>
      </c>
      <c r="CX30" s="1433">
        <f t="shared" si="28"/>
        <v>2321814</v>
      </c>
      <c r="CY30" s="1436">
        <f t="shared" si="29"/>
        <v>1175180.8629999999</v>
      </c>
      <c r="CZ30" s="1435">
        <f t="shared" si="30"/>
        <v>0</v>
      </c>
      <c r="DA30" s="1486"/>
      <c r="DB30" s="1489"/>
      <c r="DC30" s="1488"/>
      <c r="DD30" s="1486"/>
      <c r="DE30" s="1489"/>
      <c r="DF30" s="1488"/>
      <c r="DG30" s="1486"/>
      <c r="DH30" s="1525"/>
      <c r="DI30" s="1488"/>
      <c r="DJ30" s="1549">
        <f t="shared" si="31"/>
        <v>0</v>
      </c>
      <c r="DK30" s="597">
        <f t="shared" si="32"/>
        <v>0</v>
      </c>
      <c r="DL30" s="1574">
        <f t="shared" si="33"/>
        <v>0</v>
      </c>
      <c r="DM30" s="1486"/>
      <c r="DN30" s="1525"/>
      <c r="DO30" s="1488"/>
      <c r="DP30" s="1543"/>
      <c r="DQ30" s="1525"/>
      <c r="DR30" s="1488"/>
      <c r="DS30" s="1549">
        <f t="shared" si="34"/>
        <v>2321814</v>
      </c>
      <c r="DT30" s="1561">
        <f t="shared" si="35"/>
        <v>1175180.8629999999</v>
      </c>
      <c r="DU30" s="1574">
        <f t="shared" si="36"/>
        <v>0</v>
      </c>
      <c r="DV30" s="1586">
        <f t="shared" si="37"/>
        <v>0</v>
      </c>
    </row>
    <row r="31" spans="1:126" ht="24.95" customHeight="1" x14ac:dyDescent="0.2">
      <c r="A31" s="1414" t="s">
        <v>116</v>
      </c>
      <c r="B31" s="1415" t="s">
        <v>847</v>
      </c>
      <c r="C31" s="553">
        <f t="shared" ref="C31:AH31" si="38">C32+C33+C34</f>
        <v>1198090</v>
      </c>
      <c r="D31" s="360">
        <f t="shared" si="38"/>
        <v>1955902</v>
      </c>
      <c r="E31" s="552">
        <f t="shared" si="38"/>
        <v>1113113.1259999999</v>
      </c>
      <c r="F31" s="553">
        <f t="shared" si="38"/>
        <v>52420</v>
      </c>
      <c r="G31" s="360">
        <f t="shared" si="38"/>
        <v>20324</v>
      </c>
      <c r="H31" s="552">
        <f t="shared" si="38"/>
        <v>8108.5309999999999</v>
      </c>
      <c r="I31" s="553">
        <f t="shared" si="38"/>
        <v>0</v>
      </c>
      <c r="J31" s="360">
        <f t="shared" si="38"/>
        <v>0</v>
      </c>
      <c r="K31" s="552">
        <f t="shared" si="38"/>
        <v>0</v>
      </c>
      <c r="L31" s="553">
        <f t="shared" si="38"/>
        <v>0</v>
      </c>
      <c r="M31" s="360">
        <f t="shared" si="38"/>
        <v>0</v>
      </c>
      <c r="N31" s="552">
        <f t="shared" si="38"/>
        <v>0</v>
      </c>
      <c r="O31" s="553">
        <f t="shared" si="38"/>
        <v>0</v>
      </c>
      <c r="P31" s="360">
        <f t="shared" si="38"/>
        <v>0</v>
      </c>
      <c r="Q31" s="552">
        <f t="shared" si="38"/>
        <v>0</v>
      </c>
      <c r="R31" s="553">
        <f t="shared" si="38"/>
        <v>120983</v>
      </c>
      <c r="S31" s="360">
        <f t="shared" si="38"/>
        <v>205529</v>
      </c>
      <c r="T31" s="552">
        <f t="shared" si="38"/>
        <v>90704.368000000002</v>
      </c>
      <c r="U31" s="553">
        <f t="shared" si="38"/>
        <v>101929</v>
      </c>
      <c r="V31" s="360">
        <f t="shared" si="38"/>
        <v>330617.61099999998</v>
      </c>
      <c r="W31" s="552">
        <f t="shared" si="38"/>
        <v>280101.03700000001</v>
      </c>
      <c r="X31" s="553">
        <f t="shared" si="38"/>
        <v>0</v>
      </c>
      <c r="Y31" s="563">
        <f t="shared" si="38"/>
        <v>0</v>
      </c>
      <c r="Z31" s="552">
        <f t="shared" si="38"/>
        <v>0</v>
      </c>
      <c r="AA31" s="553">
        <f t="shared" si="38"/>
        <v>0</v>
      </c>
      <c r="AB31" s="563">
        <f t="shared" si="38"/>
        <v>0</v>
      </c>
      <c r="AC31" s="552">
        <f t="shared" si="38"/>
        <v>0</v>
      </c>
      <c r="AD31" s="553">
        <f t="shared" si="38"/>
        <v>0</v>
      </c>
      <c r="AE31" s="563">
        <f t="shared" si="38"/>
        <v>0</v>
      </c>
      <c r="AF31" s="552">
        <f t="shared" si="38"/>
        <v>0</v>
      </c>
      <c r="AG31" s="553">
        <f t="shared" si="38"/>
        <v>30374</v>
      </c>
      <c r="AH31" s="563">
        <f t="shared" si="38"/>
        <v>78818</v>
      </c>
      <c r="AI31" s="552">
        <f t="shared" ref="AI31:BG31" si="39">AI32+AI33+AI34</f>
        <v>42083.248</v>
      </c>
      <c r="AJ31" s="553">
        <f t="shared" si="39"/>
        <v>0</v>
      </c>
      <c r="AK31" s="563">
        <f t="shared" si="39"/>
        <v>0</v>
      </c>
      <c r="AL31" s="552">
        <f t="shared" si="39"/>
        <v>0</v>
      </c>
      <c r="AM31" s="553">
        <f t="shared" si="39"/>
        <v>608846</v>
      </c>
      <c r="AN31" s="563">
        <f t="shared" si="39"/>
        <v>760995</v>
      </c>
      <c r="AO31" s="552">
        <f t="shared" si="39"/>
        <v>63352.79</v>
      </c>
      <c r="AP31" s="553">
        <f t="shared" si="39"/>
        <v>0</v>
      </c>
      <c r="AQ31" s="563">
        <f t="shared" si="39"/>
        <v>0</v>
      </c>
      <c r="AR31" s="552">
        <f t="shared" si="39"/>
        <v>0</v>
      </c>
      <c r="AS31" s="553">
        <f t="shared" si="39"/>
        <v>0</v>
      </c>
      <c r="AT31" s="563">
        <f t="shared" si="39"/>
        <v>0</v>
      </c>
      <c r="AU31" s="552">
        <f t="shared" si="39"/>
        <v>0</v>
      </c>
      <c r="AV31" s="553">
        <f t="shared" si="39"/>
        <v>1981</v>
      </c>
      <c r="AW31" s="563">
        <f t="shared" si="39"/>
        <v>1981</v>
      </c>
      <c r="AX31" s="552">
        <f t="shared" si="39"/>
        <v>436.99900000000002</v>
      </c>
      <c r="AY31" s="553">
        <f t="shared" si="39"/>
        <v>0</v>
      </c>
      <c r="AZ31" s="563">
        <f t="shared" si="39"/>
        <v>0</v>
      </c>
      <c r="BA31" s="552">
        <f t="shared" si="39"/>
        <v>0</v>
      </c>
      <c r="BB31" s="553">
        <f t="shared" si="39"/>
        <v>11350</v>
      </c>
      <c r="BC31" s="563">
        <f t="shared" si="39"/>
        <v>6632</v>
      </c>
      <c r="BD31" s="552">
        <f t="shared" si="39"/>
        <v>0</v>
      </c>
      <c r="BE31" s="553">
        <f t="shared" si="39"/>
        <v>68747</v>
      </c>
      <c r="BF31" s="563">
        <f t="shared" si="39"/>
        <v>1437704</v>
      </c>
      <c r="BG31" s="552">
        <f t="shared" si="39"/>
        <v>1418321.075</v>
      </c>
      <c r="BH31" s="553">
        <f t="shared" ref="BH31:BJ33" si="40">C31+F31+I31+L31+O31+R31+U31+X31+AA31+AD31+AG31+AJ31+AM31+AP31+AS31+AV31+AY31+BB31+BE31</f>
        <v>2194720</v>
      </c>
      <c r="BI31" s="563">
        <f t="shared" si="40"/>
        <v>4798502.6109999996</v>
      </c>
      <c r="BJ31" s="552">
        <f t="shared" si="40"/>
        <v>3016221.1739999996</v>
      </c>
      <c r="BK31" s="553">
        <f t="shared" ref="BK31:CK31" si="41">BK32+BK33+BK34</f>
        <v>0</v>
      </c>
      <c r="BL31" s="563">
        <f t="shared" si="41"/>
        <v>0</v>
      </c>
      <c r="BM31" s="552">
        <f t="shared" si="41"/>
        <v>0</v>
      </c>
      <c r="BN31" s="553">
        <f t="shared" si="41"/>
        <v>0</v>
      </c>
      <c r="BO31" s="563">
        <f t="shared" si="41"/>
        <v>0</v>
      </c>
      <c r="BP31" s="552">
        <f t="shared" si="41"/>
        <v>0</v>
      </c>
      <c r="BQ31" s="553">
        <f t="shared" si="41"/>
        <v>0</v>
      </c>
      <c r="BR31" s="563">
        <f t="shared" si="41"/>
        <v>0</v>
      </c>
      <c r="BS31" s="552">
        <f t="shared" si="41"/>
        <v>0</v>
      </c>
      <c r="BT31" s="553">
        <f t="shared" si="41"/>
        <v>30480</v>
      </c>
      <c r="BU31" s="563">
        <f t="shared" si="41"/>
        <v>60859</v>
      </c>
      <c r="BV31" s="552">
        <f t="shared" si="41"/>
        <v>29362.400000000001</v>
      </c>
      <c r="BW31" s="553">
        <f t="shared" si="41"/>
        <v>25400</v>
      </c>
      <c r="BX31" s="563">
        <f t="shared" si="41"/>
        <v>57119</v>
      </c>
      <c r="BY31" s="552">
        <f t="shared" si="41"/>
        <v>26678.276000000002</v>
      </c>
      <c r="BZ31" s="553">
        <f t="shared" si="41"/>
        <v>43264</v>
      </c>
      <c r="CA31" s="563">
        <f t="shared" si="41"/>
        <v>243539</v>
      </c>
      <c r="CB31" s="552">
        <f t="shared" si="41"/>
        <v>94682.785000000003</v>
      </c>
      <c r="CC31" s="553">
        <f t="shared" si="41"/>
        <v>0</v>
      </c>
      <c r="CD31" s="563">
        <f t="shared" si="41"/>
        <v>84835</v>
      </c>
      <c r="CE31" s="552">
        <f t="shared" si="41"/>
        <v>73755.25</v>
      </c>
      <c r="CF31" s="553">
        <f t="shared" si="41"/>
        <v>0</v>
      </c>
      <c r="CG31" s="563">
        <f t="shared" si="41"/>
        <v>0</v>
      </c>
      <c r="CH31" s="552">
        <f t="shared" si="41"/>
        <v>0</v>
      </c>
      <c r="CI31" s="553">
        <f>CI32+CI33+CI34</f>
        <v>54000</v>
      </c>
      <c r="CJ31" s="563">
        <f t="shared" si="41"/>
        <v>193411</v>
      </c>
      <c r="CK31" s="559">
        <f t="shared" si="41"/>
        <v>82201.781000000003</v>
      </c>
      <c r="CL31" s="553">
        <f>CL32+CL33+CL34</f>
        <v>2223</v>
      </c>
      <c r="CM31" s="563">
        <f t="shared" ref="CM31:CN31" si="42">CM32+CM33+CM34</f>
        <v>229</v>
      </c>
      <c r="CN31" s="552">
        <f t="shared" si="42"/>
        <v>228.67500000000001</v>
      </c>
      <c r="CO31" s="553">
        <f>CO32+CO33+CO34</f>
        <v>4960</v>
      </c>
      <c r="CP31" s="563">
        <f t="shared" ref="CP31:CT31" si="43">CP32+CP33+CP34</f>
        <v>1587</v>
      </c>
      <c r="CQ31" s="552">
        <f t="shared" si="43"/>
        <v>1586.3130000000001</v>
      </c>
      <c r="CR31" s="553">
        <f t="shared" si="43"/>
        <v>0</v>
      </c>
      <c r="CS31" s="360">
        <f t="shared" si="43"/>
        <v>38100</v>
      </c>
      <c r="CT31" s="552">
        <f t="shared" si="43"/>
        <v>0</v>
      </c>
      <c r="CU31" s="553">
        <f>BK31+BN31+BQ31+BT31+BW31+BZ31+CC31+CF31+CI31+CL31+CO31+CR31</f>
        <v>160327</v>
      </c>
      <c r="CV31" s="563">
        <f>BL31+BO31+BR31+BU31+BX31+CA31+CD31+CG31+CJ31+CM31+CP31+CS31</f>
        <v>679679</v>
      </c>
      <c r="CW31" s="552">
        <f>BM31+BP31+BS31+BV31+BY31+CB31+CE31+CH31+CK31+CN31+CQ31+CT31</f>
        <v>308495.48000000004</v>
      </c>
      <c r="CX31" s="553">
        <f t="shared" si="28"/>
        <v>2355047</v>
      </c>
      <c r="CY31" s="563">
        <f t="shared" si="29"/>
        <v>5478181.6109999996</v>
      </c>
      <c r="CZ31" s="552">
        <f t="shared" si="30"/>
        <v>3324716.6539999996</v>
      </c>
      <c r="DA31" s="553">
        <f t="shared" ref="DA31:DU31" si="44">DA32+DA33+DA34</f>
        <v>0</v>
      </c>
      <c r="DB31" s="563">
        <f t="shared" si="44"/>
        <v>0</v>
      </c>
      <c r="DC31" s="552">
        <f t="shared" si="44"/>
        <v>0</v>
      </c>
      <c r="DD31" s="553">
        <f t="shared" si="44"/>
        <v>0</v>
      </c>
      <c r="DE31" s="563">
        <f t="shared" si="44"/>
        <v>0</v>
      </c>
      <c r="DF31" s="552">
        <f t="shared" si="44"/>
        <v>0</v>
      </c>
      <c r="DG31" s="553">
        <f>DG32+DG33+DG34</f>
        <v>167839</v>
      </c>
      <c r="DH31" s="563">
        <f t="shared" si="44"/>
        <v>277615</v>
      </c>
      <c r="DI31" s="552">
        <f t="shared" si="44"/>
        <v>106688.712</v>
      </c>
      <c r="DJ31" s="553">
        <f t="shared" si="31"/>
        <v>167839</v>
      </c>
      <c r="DK31" s="563">
        <f t="shared" si="32"/>
        <v>277615</v>
      </c>
      <c r="DL31" s="559">
        <f t="shared" si="33"/>
        <v>106688.712</v>
      </c>
      <c r="DM31" s="553">
        <f t="shared" si="44"/>
        <v>64019</v>
      </c>
      <c r="DN31" s="563">
        <f t="shared" si="44"/>
        <v>143990.79700000002</v>
      </c>
      <c r="DO31" s="552">
        <f t="shared" si="44"/>
        <v>134660.42600000001</v>
      </c>
      <c r="DP31" s="561">
        <f t="shared" si="44"/>
        <v>2000</v>
      </c>
      <c r="DQ31" s="563">
        <f t="shared" si="44"/>
        <v>78952.923999999999</v>
      </c>
      <c r="DR31" s="552">
        <f t="shared" si="44"/>
        <v>47069.101000000002</v>
      </c>
      <c r="DS31" s="553">
        <f t="shared" si="44"/>
        <v>2588905</v>
      </c>
      <c r="DT31" s="563">
        <f t="shared" si="44"/>
        <v>5978740.3319999995</v>
      </c>
      <c r="DU31" s="559">
        <f t="shared" si="44"/>
        <v>3613134.8929999992</v>
      </c>
      <c r="DV31" s="1582">
        <f t="shared" si="37"/>
        <v>60.433045965576135</v>
      </c>
    </row>
    <row r="32" spans="1:126" ht="23.1" customHeight="1" x14ac:dyDescent="0.2">
      <c r="A32" s="1422" t="s">
        <v>40</v>
      </c>
      <c r="B32" s="1423" t="s">
        <v>394</v>
      </c>
      <c r="C32" s="1447">
        <v>1198090</v>
      </c>
      <c r="D32" s="1448">
        <v>1955902</v>
      </c>
      <c r="E32" s="1449">
        <v>1113113.1259999999</v>
      </c>
      <c r="F32" s="1447">
        <v>52420</v>
      </c>
      <c r="G32" s="1448">
        <v>20324</v>
      </c>
      <c r="H32" s="1449">
        <v>8108.5309999999999</v>
      </c>
      <c r="I32" s="1447"/>
      <c r="J32" s="1448"/>
      <c r="K32" s="1449"/>
      <c r="L32" s="1447"/>
      <c r="M32" s="1448"/>
      <c r="N32" s="1449"/>
      <c r="O32" s="1447"/>
      <c r="P32" s="1448"/>
      <c r="Q32" s="1449"/>
      <c r="R32" s="1447">
        <v>120983</v>
      </c>
      <c r="S32" s="1448">
        <v>121853</v>
      </c>
      <c r="T32" s="1449">
        <v>7506.3320000000003</v>
      </c>
      <c r="U32" s="1447">
        <v>101929</v>
      </c>
      <c r="V32" s="1448">
        <v>330617.61099999998</v>
      </c>
      <c r="W32" s="1449">
        <v>280101.03700000001</v>
      </c>
      <c r="X32" s="1447"/>
      <c r="Y32" s="1450"/>
      <c r="Z32" s="1449"/>
      <c r="AA32" s="1447"/>
      <c r="AB32" s="1450"/>
      <c r="AC32" s="1449"/>
      <c r="AD32" s="1447"/>
      <c r="AE32" s="1450"/>
      <c r="AF32" s="1449"/>
      <c r="AG32" s="1447">
        <v>23114</v>
      </c>
      <c r="AH32" s="1450">
        <v>23114</v>
      </c>
      <c r="AI32" s="1449"/>
      <c r="AJ32" s="1447"/>
      <c r="AK32" s="1450"/>
      <c r="AL32" s="1449"/>
      <c r="AM32" s="1447">
        <v>212218</v>
      </c>
      <c r="AN32" s="1450">
        <v>364367</v>
      </c>
      <c r="AO32" s="1449">
        <v>63352.79</v>
      </c>
      <c r="AP32" s="1447"/>
      <c r="AQ32" s="1450"/>
      <c r="AR32" s="1449"/>
      <c r="AS32" s="1447"/>
      <c r="AT32" s="1450"/>
      <c r="AU32" s="1449"/>
      <c r="AV32" s="1447">
        <v>1981</v>
      </c>
      <c r="AW32" s="1450">
        <v>1981</v>
      </c>
      <c r="AX32" s="1449">
        <v>436.99900000000002</v>
      </c>
      <c r="AY32" s="1447"/>
      <c r="AZ32" s="1450"/>
      <c r="BA32" s="1449"/>
      <c r="BB32" s="1447">
        <v>11350</v>
      </c>
      <c r="BC32" s="1450">
        <v>6632</v>
      </c>
      <c r="BD32" s="1449"/>
      <c r="BE32" s="1447">
        <v>54947</v>
      </c>
      <c r="BF32" s="1450">
        <v>1415390</v>
      </c>
      <c r="BG32" s="1449">
        <v>1399411.1259999999</v>
      </c>
      <c r="BH32" s="1447">
        <f t="shared" si="40"/>
        <v>1777032</v>
      </c>
      <c r="BI32" s="1450">
        <f t="shared" si="40"/>
        <v>4240180.6109999996</v>
      </c>
      <c r="BJ32" s="1449">
        <f t="shared" si="40"/>
        <v>2872029.9409999996</v>
      </c>
      <c r="BK32" s="1447"/>
      <c r="BL32" s="1450"/>
      <c r="BM32" s="1449"/>
      <c r="BN32" s="1447"/>
      <c r="BO32" s="1450"/>
      <c r="BP32" s="1449"/>
      <c r="BQ32" s="1447"/>
      <c r="BR32" s="1450"/>
      <c r="BS32" s="1449"/>
      <c r="BT32" s="1447">
        <v>30480</v>
      </c>
      <c r="BU32" s="1450">
        <v>60859</v>
      </c>
      <c r="BV32" s="1449">
        <v>29362.400000000001</v>
      </c>
      <c r="BW32" s="1447">
        <v>25400</v>
      </c>
      <c r="BX32" s="1450">
        <v>57119</v>
      </c>
      <c r="BY32" s="1449">
        <v>26678.276000000002</v>
      </c>
      <c r="BZ32" s="1447">
        <v>43264</v>
      </c>
      <c r="CA32" s="1450">
        <v>186296</v>
      </c>
      <c r="CB32" s="1449">
        <v>37439.760000000002</v>
      </c>
      <c r="CC32" s="1447"/>
      <c r="CD32" s="1450">
        <v>84835</v>
      </c>
      <c r="CE32" s="1449">
        <v>73755.25</v>
      </c>
      <c r="CF32" s="1447"/>
      <c r="CG32" s="1450"/>
      <c r="CH32" s="1449"/>
      <c r="CI32" s="1447"/>
      <c r="CJ32" s="1450"/>
      <c r="CK32" s="1545"/>
      <c r="CL32" s="1447">
        <v>2223</v>
      </c>
      <c r="CM32" s="1450">
        <v>229</v>
      </c>
      <c r="CN32" s="1449">
        <v>228.67500000000001</v>
      </c>
      <c r="CO32" s="1447"/>
      <c r="CP32" s="1450">
        <v>127</v>
      </c>
      <c r="CQ32" s="1449">
        <v>127</v>
      </c>
      <c r="CR32" s="1447"/>
      <c r="CS32" s="1448">
        <v>38100</v>
      </c>
      <c r="CT32" s="1449"/>
      <c r="CU32" s="1447">
        <f t="shared" ref="CU32:CU33" si="45">BK32+BN32+BQ32+BT32+BW32+BZ32+CC32+CF32+CI32+CL32+CO32+CR32</f>
        <v>101367</v>
      </c>
      <c r="CV32" s="1450">
        <f t="shared" ref="CV32:CV33" si="46">BL32+BO32+BR32+BU32+BX32+CA32+CD32+CG32+CJ32+CM32+CP32+CS32</f>
        <v>427565</v>
      </c>
      <c r="CW32" s="1449">
        <f t="shared" ref="CW32:CW33" si="47">BM32+BP32+BS32+BV32+BY32+CB32+CE32+CH32+CK32+CN32+CQ32+CT32</f>
        <v>167591.361</v>
      </c>
      <c r="CX32" s="553">
        <f t="shared" si="28"/>
        <v>1878399</v>
      </c>
      <c r="CY32" s="563">
        <f t="shared" si="29"/>
        <v>4667745.6109999996</v>
      </c>
      <c r="CZ32" s="552">
        <f t="shared" si="30"/>
        <v>3039621.3019999997</v>
      </c>
      <c r="DA32" s="1447"/>
      <c r="DB32" s="1450"/>
      <c r="DC32" s="1449"/>
      <c r="DD32" s="1447"/>
      <c r="DE32" s="1450"/>
      <c r="DF32" s="1449"/>
      <c r="DG32" s="1447">
        <v>155439</v>
      </c>
      <c r="DH32" s="1545">
        <v>263000</v>
      </c>
      <c r="DI32" s="1449">
        <v>104901.056</v>
      </c>
      <c r="DJ32" s="1447">
        <f t="shared" ref="DJ32:DJ33" si="48">DA32+DD32+DG32</f>
        <v>155439</v>
      </c>
      <c r="DK32" s="1548">
        <f t="shared" ref="DK32:DK33" si="49">DB32+DE32+DH32</f>
        <v>263000</v>
      </c>
      <c r="DL32" s="1545">
        <f t="shared" ref="DL32:DL33" si="50">DC32+DF32+DI32</f>
        <v>104901.056</v>
      </c>
      <c r="DM32" s="1447">
        <v>64019</v>
      </c>
      <c r="DN32" s="1545">
        <v>131275.16500000001</v>
      </c>
      <c r="DO32" s="1449">
        <v>122302.651</v>
      </c>
      <c r="DP32" s="1548">
        <v>2000</v>
      </c>
      <c r="DQ32" s="1545">
        <v>78952.923999999999</v>
      </c>
      <c r="DR32" s="1449">
        <v>47069.101000000002</v>
      </c>
      <c r="DS32" s="553">
        <f t="shared" ref="DS32:DU33" si="51">CX32+DJ32+DM32+DP32</f>
        <v>2099857</v>
      </c>
      <c r="DT32" s="561">
        <f t="shared" si="51"/>
        <v>5140973.6999999993</v>
      </c>
      <c r="DU32" s="559">
        <f t="shared" si="51"/>
        <v>3313894.1099999994</v>
      </c>
      <c r="DV32" s="1582">
        <f t="shared" si="37"/>
        <v>64.46043694018509</v>
      </c>
    </row>
    <row r="33" spans="1:126" ht="23.1" customHeight="1" x14ac:dyDescent="0.2">
      <c r="A33" s="1422" t="s">
        <v>41</v>
      </c>
      <c r="B33" s="1417" t="s">
        <v>395</v>
      </c>
      <c r="C33" s="1447"/>
      <c r="D33" s="1448"/>
      <c r="E33" s="1449"/>
      <c r="F33" s="1447"/>
      <c r="G33" s="1448"/>
      <c r="H33" s="1449"/>
      <c r="I33" s="1447"/>
      <c r="J33" s="1448"/>
      <c r="K33" s="1449"/>
      <c r="L33" s="1447"/>
      <c r="M33" s="1448"/>
      <c r="N33" s="1449"/>
      <c r="O33" s="1447"/>
      <c r="P33" s="1448"/>
      <c r="Q33" s="1449"/>
      <c r="R33" s="1447"/>
      <c r="S33" s="1448">
        <v>3676</v>
      </c>
      <c r="T33" s="1449">
        <v>3198.0360000000001</v>
      </c>
      <c r="U33" s="1447"/>
      <c r="V33" s="1448"/>
      <c r="W33" s="1449"/>
      <c r="X33" s="1447"/>
      <c r="Y33" s="1450"/>
      <c r="Z33" s="1449"/>
      <c r="AA33" s="1447"/>
      <c r="AB33" s="1450"/>
      <c r="AC33" s="1449"/>
      <c r="AD33" s="1447"/>
      <c r="AE33" s="1450"/>
      <c r="AF33" s="1449"/>
      <c r="AG33" s="1447">
        <v>6660</v>
      </c>
      <c r="AH33" s="1450">
        <v>16129</v>
      </c>
      <c r="AI33" s="1449">
        <v>13818.248</v>
      </c>
      <c r="AJ33" s="1447"/>
      <c r="AK33" s="1450"/>
      <c r="AL33" s="1449"/>
      <c r="AM33" s="1447"/>
      <c r="AN33" s="1450"/>
      <c r="AO33" s="1449"/>
      <c r="AP33" s="1447"/>
      <c r="AQ33" s="1450"/>
      <c r="AR33" s="1449"/>
      <c r="AS33" s="1447"/>
      <c r="AT33" s="1450"/>
      <c r="AU33" s="1449"/>
      <c r="AV33" s="1447"/>
      <c r="AW33" s="1450"/>
      <c r="AX33" s="1449"/>
      <c r="AY33" s="1447"/>
      <c r="AZ33" s="1450"/>
      <c r="BA33" s="1449"/>
      <c r="BB33" s="1447"/>
      <c r="BC33" s="1450"/>
      <c r="BD33" s="1449"/>
      <c r="BE33" s="1447">
        <v>13800</v>
      </c>
      <c r="BF33" s="1450">
        <v>22314</v>
      </c>
      <c r="BG33" s="1449">
        <v>18909.949000000001</v>
      </c>
      <c r="BH33" s="1447">
        <f t="shared" si="40"/>
        <v>20460</v>
      </c>
      <c r="BI33" s="1450">
        <f t="shared" si="40"/>
        <v>42119</v>
      </c>
      <c r="BJ33" s="1449">
        <f t="shared" si="40"/>
        <v>35926.233</v>
      </c>
      <c r="BK33" s="1447"/>
      <c r="BL33" s="1450"/>
      <c r="BM33" s="1449"/>
      <c r="BN33" s="1447"/>
      <c r="BO33" s="1450"/>
      <c r="BP33" s="1449"/>
      <c r="BQ33" s="1447"/>
      <c r="BR33" s="1450"/>
      <c r="BS33" s="1449"/>
      <c r="BT33" s="1447"/>
      <c r="BU33" s="1450"/>
      <c r="BV33" s="1449"/>
      <c r="BW33" s="1447"/>
      <c r="BX33" s="1450"/>
      <c r="BY33" s="1449"/>
      <c r="BZ33" s="1447"/>
      <c r="CA33" s="1450"/>
      <c r="CB33" s="1449"/>
      <c r="CC33" s="1447"/>
      <c r="CD33" s="1450"/>
      <c r="CE33" s="1449"/>
      <c r="CF33" s="1447"/>
      <c r="CG33" s="1450"/>
      <c r="CH33" s="1449"/>
      <c r="CI33" s="1447"/>
      <c r="CJ33" s="1450"/>
      <c r="CK33" s="1545"/>
      <c r="CL33" s="1447"/>
      <c r="CM33" s="1450"/>
      <c r="CN33" s="1449"/>
      <c r="CO33" s="1447">
        <v>4960</v>
      </c>
      <c r="CP33" s="1450">
        <v>1460</v>
      </c>
      <c r="CQ33" s="1449">
        <v>1459.3130000000001</v>
      </c>
      <c r="CR33" s="1447"/>
      <c r="CS33" s="1448"/>
      <c r="CT33" s="1449"/>
      <c r="CU33" s="1446">
        <f t="shared" si="45"/>
        <v>4960</v>
      </c>
      <c r="CV33" s="1500">
        <f t="shared" si="46"/>
        <v>1460</v>
      </c>
      <c r="CW33" s="678">
        <f t="shared" si="47"/>
        <v>1459.3130000000001</v>
      </c>
      <c r="CX33" s="1069">
        <f t="shared" si="28"/>
        <v>25420</v>
      </c>
      <c r="CY33" s="1520">
        <f t="shared" si="29"/>
        <v>43579</v>
      </c>
      <c r="CZ33" s="1519">
        <f t="shared" si="30"/>
        <v>37385.546000000002</v>
      </c>
      <c r="DA33" s="1446"/>
      <c r="DB33" s="1500"/>
      <c r="DC33" s="678"/>
      <c r="DD33" s="1446"/>
      <c r="DE33" s="1500"/>
      <c r="DF33" s="678"/>
      <c r="DG33" s="1446">
        <v>7400</v>
      </c>
      <c r="DH33" s="1521">
        <v>9615</v>
      </c>
      <c r="DI33" s="678">
        <v>734.06</v>
      </c>
      <c r="DJ33" s="1446">
        <f t="shared" si="48"/>
        <v>7400</v>
      </c>
      <c r="DK33" s="1522">
        <f t="shared" si="49"/>
        <v>9615</v>
      </c>
      <c r="DL33" s="2221">
        <f t="shared" si="50"/>
        <v>734.06</v>
      </c>
      <c r="DM33" s="1446"/>
      <c r="DN33" s="1521">
        <v>12715.632</v>
      </c>
      <c r="DO33" s="678">
        <v>12357.775</v>
      </c>
      <c r="DP33" s="1522"/>
      <c r="DQ33" s="1545"/>
      <c r="DR33" s="678"/>
      <c r="DS33" s="1069">
        <f t="shared" si="51"/>
        <v>32820</v>
      </c>
      <c r="DT33" s="1550">
        <f t="shared" si="51"/>
        <v>65909.631999999998</v>
      </c>
      <c r="DU33" s="2220">
        <f t="shared" si="51"/>
        <v>50477.381000000001</v>
      </c>
      <c r="DV33" s="1582">
        <f t="shared" si="37"/>
        <v>76.585742429877328</v>
      </c>
    </row>
    <row r="34" spans="1:126" ht="23.1" customHeight="1" x14ac:dyDescent="0.2">
      <c r="A34" s="1422" t="s">
        <v>653</v>
      </c>
      <c r="B34" s="1424" t="s">
        <v>544</v>
      </c>
      <c r="C34" s="1456">
        <f t="shared" ref="C34:AH34" si="52">SUM(C35:C42)</f>
        <v>0</v>
      </c>
      <c r="D34" s="1457">
        <f t="shared" si="52"/>
        <v>0</v>
      </c>
      <c r="E34" s="1458">
        <f t="shared" si="52"/>
        <v>0</v>
      </c>
      <c r="F34" s="1456">
        <f t="shared" si="52"/>
        <v>0</v>
      </c>
      <c r="G34" s="1457">
        <f t="shared" si="52"/>
        <v>0</v>
      </c>
      <c r="H34" s="1458">
        <f t="shared" si="52"/>
        <v>0</v>
      </c>
      <c r="I34" s="1456">
        <f t="shared" si="52"/>
        <v>0</v>
      </c>
      <c r="J34" s="1457">
        <f t="shared" si="52"/>
        <v>0</v>
      </c>
      <c r="K34" s="1458">
        <f t="shared" si="52"/>
        <v>0</v>
      </c>
      <c r="L34" s="1456">
        <f t="shared" si="52"/>
        <v>0</v>
      </c>
      <c r="M34" s="1457">
        <f t="shared" si="52"/>
        <v>0</v>
      </c>
      <c r="N34" s="1458">
        <f t="shared" si="52"/>
        <v>0</v>
      </c>
      <c r="O34" s="1456">
        <f t="shared" si="52"/>
        <v>0</v>
      </c>
      <c r="P34" s="1457">
        <f t="shared" si="52"/>
        <v>0</v>
      </c>
      <c r="Q34" s="1458">
        <f t="shared" si="52"/>
        <v>0</v>
      </c>
      <c r="R34" s="1456">
        <f t="shared" si="52"/>
        <v>0</v>
      </c>
      <c r="S34" s="1457">
        <f t="shared" si="52"/>
        <v>80000</v>
      </c>
      <c r="T34" s="1458">
        <f t="shared" si="52"/>
        <v>80000</v>
      </c>
      <c r="U34" s="1456">
        <f t="shared" si="52"/>
        <v>0</v>
      </c>
      <c r="V34" s="1457">
        <f t="shared" si="52"/>
        <v>0</v>
      </c>
      <c r="W34" s="1458">
        <f t="shared" si="52"/>
        <v>0</v>
      </c>
      <c r="X34" s="1456">
        <f t="shared" si="52"/>
        <v>0</v>
      </c>
      <c r="Y34" s="1459">
        <f t="shared" si="52"/>
        <v>0</v>
      </c>
      <c r="Z34" s="1458">
        <f t="shared" si="52"/>
        <v>0</v>
      </c>
      <c r="AA34" s="1456">
        <f t="shared" si="52"/>
        <v>0</v>
      </c>
      <c r="AB34" s="1459">
        <f t="shared" si="52"/>
        <v>0</v>
      </c>
      <c r="AC34" s="1458">
        <f t="shared" si="52"/>
        <v>0</v>
      </c>
      <c r="AD34" s="1456">
        <f t="shared" si="52"/>
        <v>0</v>
      </c>
      <c r="AE34" s="1459">
        <f t="shared" si="52"/>
        <v>0</v>
      </c>
      <c r="AF34" s="1458">
        <f t="shared" si="52"/>
        <v>0</v>
      </c>
      <c r="AG34" s="1456">
        <f t="shared" si="52"/>
        <v>600</v>
      </c>
      <c r="AH34" s="1459">
        <f t="shared" si="52"/>
        <v>39575</v>
      </c>
      <c r="AI34" s="1458">
        <f t="shared" ref="AI34:BN34" si="53">SUM(AI35:AI42)</f>
        <v>28265</v>
      </c>
      <c r="AJ34" s="1456">
        <f t="shared" si="53"/>
        <v>0</v>
      </c>
      <c r="AK34" s="1459">
        <f t="shared" si="53"/>
        <v>0</v>
      </c>
      <c r="AL34" s="1458">
        <f t="shared" si="53"/>
        <v>0</v>
      </c>
      <c r="AM34" s="1456">
        <f t="shared" si="53"/>
        <v>396628</v>
      </c>
      <c r="AN34" s="1459">
        <f t="shared" si="53"/>
        <v>396628</v>
      </c>
      <c r="AO34" s="1458">
        <f t="shared" si="53"/>
        <v>0</v>
      </c>
      <c r="AP34" s="1456">
        <f t="shared" si="53"/>
        <v>0</v>
      </c>
      <c r="AQ34" s="1459">
        <f t="shared" si="53"/>
        <v>0</v>
      </c>
      <c r="AR34" s="1458">
        <f t="shared" si="53"/>
        <v>0</v>
      </c>
      <c r="AS34" s="1456">
        <f t="shared" si="53"/>
        <v>0</v>
      </c>
      <c r="AT34" s="1459">
        <f t="shared" si="53"/>
        <v>0</v>
      </c>
      <c r="AU34" s="1458">
        <f t="shared" si="53"/>
        <v>0</v>
      </c>
      <c r="AV34" s="1456">
        <f t="shared" si="53"/>
        <v>0</v>
      </c>
      <c r="AW34" s="1459">
        <f t="shared" si="53"/>
        <v>0</v>
      </c>
      <c r="AX34" s="1458">
        <f t="shared" si="53"/>
        <v>0</v>
      </c>
      <c r="AY34" s="1456">
        <f t="shared" si="53"/>
        <v>0</v>
      </c>
      <c r="AZ34" s="1459">
        <f t="shared" si="53"/>
        <v>0</v>
      </c>
      <c r="BA34" s="1458">
        <f t="shared" si="53"/>
        <v>0</v>
      </c>
      <c r="BB34" s="1456">
        <f t="shared" si="53"/>
        <v>0</v>
      </c>
      <c r="BC34" s="1459">
        <f t="shared" si="53"/>
        <v>0</v>
      </c>
      <c r="BD34" s="1458">
        <f t="shared" si="53"/>
        <v>0</v>
      </c>
      <c r="BE34" s="1456">
        <f t="shared" si="53"/>
        <v>0</v>
      </c>
      <c r="BF34" s="1459">
        <f t="shared" si="53"/>
        <v>0</v>
      </c>
      <c r="BG34" s="1516">
        <f t="shared" si="53"/>
        <v>0</v>
      </c>
      <c r="BH34" s="1069">
        <f t="shared" si="53"/>
        <v>397228</v>
      </c>
      <c r="BI34" s="1518">
        <f t="shared" si="53"/>
        <v>516203</v>
      </c>
      <c r="BJ34" s="1519">
        <f t="shared" si="53"/>
        <v>108265</v>
      </c>
      <c r="BK34" s="1069">
        <f t="shared" si="53"/>
        <v>0</v>
      </c>
      <c r="BL34" s="1520">
        <f t="shared" si="53"/>
        <v>0</v>
      </c>
      <c r="BM34" s="1519">
        <f t="shared" si="53"/>
        <v>0</v>
      </c>
      <c r="BN34" s="1069">
        <f t="shared" si="53"/>
        <v>0</v>
      </c>
      <c r="BO34" s="1520">
        <f t="shared" ref="BO34:CW34" si="54">SUM(BO35:BO42)</f>
        <v>0</v>
      </c>
      <c r="BP34" s="1519">
        <f t="shared" si="54"/>
        <v>0</v>
      </c>
      <c r="BQ34" s="1069">
        <f t="shared" si="54"/>
        <v>0</v>
      </c>
      <c r="BR34" s="1520">
        <f t="shared" si="54"/>
        <v>0</v>
      </c>
      <c r="BS34" s="1519">
        <f t="shared" si="54"/>
        <v>0</v>
      </c>
      <c r="BT34" s="1069">
        <f t="shared" si="54"/>
        <v>0</v>
      </c>
      <c r="BU34" s="1520">
        <f t="shared" si="54"/>
        <v>0</v>
      </c>
      <c r="BV34" s="1519">
        <f t="shared" si="54"/>
        <v>0</v>
      </c>
      <c r="BW34" s="1069">
        <f t="shared" si="54"/>
        <v>0</v>
      </c>
      <c r="BX34" s="1520">
        <f t="shared" si="54"/>
        <v>0</v>
      </c>
      <c r="BY34" s="1519">
        <f t="shared" si="54"/>
        <v>0</v>
      </c>
      <c r="BZ34" s="1069">
        <f t="shared" si="54"/>
        <v>0</v>
      </c>
      <c r="CA34" s="1520">
        <f t="shared" si="54"/>
        <v>57243</v>
      </c>
      <c r="CB34" s="1519">
        <f t="shared" si="54"/>
        <v>57243.025000000001</v>
      </c>
      <c r="CC34" s="1069">
        <f t="shared" si="54"/>
        <v>0</v>
      </c>
      <c r="CD34" s="1520">
        <f t="shared" si="54"/>
        <v>0</v>
      </c>
      <c r="CE34" s="1519">
        <f t="shared" si="54"/>
        <v>0</v>
      </c>
      <c r="CF34" s="1069">
        <f t="shared" si="54"/>
        <v>0</v>
      </c>
      <c r="CG34" s="1520">
        <f t="shared" si="54"/>
        <v>0</v>
      </c>
      <c r="CH34" s="1519">
        <f t="shared" si="54"/>
        <v>0</v>
      </c>
      <c r="CI34" s="1069">
        <f t="shared" si="54"/>
        <v>54000</v>
      </c>
      <c r="CJ34" s="1520">
        <f t="shared" si="54"/>
        <v>193411</v>
      </c>
      <c r="CK34" s="1575">
        <f t="shared" si="54"/>
        <v>82201.781000000003</v>
      </c>
      <c r="CL34" s="1069">
        <f t="shared" ref="CL34:CN34" si="55">SUM(CL35:CL42)</f>
        <v>0</v>
      </c>
      <c r="CM34" s="1520">
        <f t="shared" si="55"/>
        <v>0</v>
      </c>
      <c r="CN34" s="1519">
        <f t="shared" si="55"/>
        <v>0</v>
      </c>
      <c r="CO34" s="1069">
        <f t="shared" ref="CO34:CT34" si="56">SUM(CO35:CO42)</f>
        <v>0</v>
      </c>
      <c r="CP34" s="1520">
        <f t="shared" si="56"/>
        <v>0</v>
      </c>
      <c r="CQ34" s="1519">
        <f t="shared" si="56"/>
        <v>0</v>
      </c>
      <c r="CR34" s="1456">
        <f t="shared" si="56"/>
        <v>0</v>
      </c>
      <c r="CS34" s="1457">
        <f t="shared" si="56"/>
        <v>0</v>
      </c>
      <c r="CT34" s="1458">
        <f t="shared" si="56"/>
        <v>0</v>
      </c>
      <c r="CU34" s="1069">
        <f t="shared" si="54"/>
        <v>54000</v>
      </c>
      <c r="CV34" s="1520">
        <f t="shared" si="54"/>
        <v>250654</v>
      </c>
      <c r="CW34" s="1519">
        <f t="shared" si="54"/>
        <v>139444.80600000001</v>
      </c>
      <c r="CX34" s="1069">
        <f t="shared" si="28"/>
        <v>451228</v>
      </c>
      <c r="CY34" s="1520">
        <f t="shared" si="29"/>
        <v>766857</v>
      </c>
      <c r="CZ34" s="1519">
        <f t="shared" si="30"/>
        <v>247709.80600000001</v>
      </c>
      <c r="DA34" s="1069">
        <f t="shared" ref="DA34:DI34" si="57">SUM(DA35:DA42)</f>
        <v>0</v>
      </c>
      <c r="DB34" s="1520">
        <f t="shared" si="57"/>
        <v>0</v>
      </c>
      <c r="DC34" s="1519">
        <f t="shared" si="57"/>
        <v>0</v>
      </c>
      <c r="DD34" s="1069">
        <f t="shared" si="57"/>
        <v>0</v>
      </c>
      <c r="DE34" s="1520">
        <f t="shared" si="57"/>
        <v>0</v>
      </c>
      <c r="DF34" s="1519">
        <f t="shared" si="57"/>
        <v>0</v>
      </c>
      <c r="DG34" s="1069">
        <f t="shared" si="57"/>
        <v>5000</v>
      </c>
      <c r="DH34" s="1520">
        <f t="shared" si="57"/>
        <v>5000</v>
      </c>
      <c r="DI34" s="1519">
        <f t="shared" si="57"/>
        <v>1053.596</v>
      </c>
      <c r="DJ34" s="1069">
        <f t="shared" ref="DJ34" si="58">DA34+DD34+DG34</f>
        <v>5000</v>
      </c>
      <c r="DK34" s="1550">
        <f t="shared" ref="DK34" si="59">DB34+DE34+DH34</f>
        <v>5000</v>
      </c>
      <c r="DL34" s="1575">
        <f t="shared" ref="DL34" si="60">DC34+DF34+DI34</f>
        <v>1053.596</v>
      </c>
      <c r="DM34" s="1069">
        <f t="shared" ref="DM34:DU34" si="61">SUM(DM35:DM42)</f>
        <v>0</v>
      </c>
      <c r="DN34" s="1520">
        <f t="shared" si="61"/>
        <v>0</v>
      </c>
      <c r="DO34" s="1519">
        <f t="shared" si="61"/>
        <v>0</v>
      </c>
      <c r="DP34" s="1550">
        <f t="shared" si="61"/>
        <v>0</v>
      </c>
      <c r="DQ34" s="1520">
        <f t="shared" si="61"/>
        <v>0</v>
      </c>
      <c r="DR34" s="1519">
        <f t="shared" si="61"/>
        <v>0</v>
      </c>
      <c r="DS34" s="1069">
        <f t="shared" si="61"/>
        <v>456228</v>
      </c>
      <c r="DT34" s="1520">
        <f t="shared" si="61"/>
        <v>771857</v>
      </c>
      <c r="DU34" s="1575">
        <f t="shared" si="61"/>
        <v>248763.402</v>
      </c>
      <c r="DV34" s="1582">
        <f t="shared" si="37"/>
        <v>32.229208519194621</v>
      </c>
    </row>
    <row r="35" spans="1:126" ht="18" customHeight="1" x14ac:dyDescent="0.2">
      <c r="A35" s="1418" t="s">
        <v>848</v>
      </c>
      <c r="B35" s="1419" t="s">
        <v>879</v>
      </c>
      <c r="C35" s="1477"/>
      <c r="D35" s="1478"/>
      <c r="E35" s="1479"/>
      <c r="F35" s="1477"/>
      <c r="G35" s="1478"/>
      <c r="H35" s="1480"/>
      <c r="I35" s="1481"/>
      <c r="J35" s="1478"/>
      <c r="K35" s="1480"/>
      <c r="L35" s="1481"/>
      <c r="M35" s="1478"/>
      <c r="N35" s="1480"/>
      <c r="O35" s="1481"/>
      <c r="P35" s="1478"/>
      <c r="Q35" s="1480"/>
      <c r="R35" s="1481"/>
      <c r="S35" s="1478"/>
      <c r="T35" s="1480"/>
      <c r="U35" s="1481"/>
      <c r="V35" s="1478"/>
      <c r="W35" s="1480"/>
      <c r="X35" s="1481"/>
      <c r="Y35" s="1478"/>
      <c r="Z35" s="1480"/>
      <c r="AA35" s="1481"/>
      <c r="AB35" s="1478"/>
      <c r="AC35" s="1480"/>
      <c r="AD35" s="1481"/>
      <c r="AE35" s="1478"/>
      <c r="AF35" s="1480"/>
      <c r="AG35" s="1481"/>
      <c r="AH35" s="1478"/>
      <c r="AI35" s="1480"/>
      <c r="AJ35" s="1481"/>
      <c r="AK35" s="1478"/>
      <c r="AL35" s="1480"/>
      <c r="AM35" s="1481"/>
      <c r="AN35" s="1478"/>
      <c r="AO35" s="1480"/>
      <c r="AP35" s="1481"/>
      <c r="AQ35" s="1478"/>
      <c r="AR35" s="1480"/>
      <c r="AS35" s="1481"/>
      <c r="AT35" s="1478"/>
      <c r="AU35" s="1480"/>
      <c r="AV35" s="1481"/>
      <c r="AW35" s="1478"/>
      <c r="AX35" s="1480"/>
      <c r="AY35" s="1481"/>
      <c r="AZ35" s="1478"/>
      <c r="BA35" s="1480"/>
      <c r="BB35" s="1481"/>
      <c r="BC35" s="1478"/>
      <c r="BD35" s="1480"/>
      <c r="BE35" s="1481"/>
      <c r="BF35" s="1478"/>
      <c r="BG35" s="1517"/>
      <c r="BH35" s="1497">
        <f t="shared" ref="BH35:BH42" si="62">C35+F35+I35+L35+O35+R35+U35+X35+AA35+AD35+AG35+AJ35+AM35+AP35+AS35+AV35+AY35+BB35+BE35</f>
        <v>0</v>
      </c>
      <c r="BI35" s="1515">
        <f t="shared" ref="BI35:BI42" si="63">D35+G35+J35+M35+P35+S35+V35+Y35+AB35+AE35+AH35+AK35+AN35+AQ35+AT35+AW35+AZ35+BC35+BF35</f>
        <v>0</v>
      </c>
      <c r="BJ35" s="1499">
        <f t="shared" ref="BJ35:BJ42" si="64">E35+H35+K35+N35+Q35+T35+W35+Z35+AC35+AF35+AI35+AL35+AO35+AR35+AU35+AX35+BA35+BD35+BG35</f>
        <v>0</v>
      </c>
      <c r="BK35" s="1477"/>
      <c r="BL35" s="1478"/>
      <c r="BM35" s="1480"/>
      <c r="BN35" s="1481"/>
      <c r="BO35" s="1478"/>
      <c r="BP35" s="1480"/>
      <c r="BQ35" s="1481"/>
      <c r="BR35" s="1478"/>
      <c r="BS35" s="1480"/>
      <c r="BT35" s="1481"/>
      <c r="BU35" s="1478"/>
      <c r="BV35" s="1480"/>
      <c r="BW35" s="1481"/>
      <c r="BX35" s="1478"/>
      <c r="BY35" s="1480"/>
      <c r="BZ35" s="1481"/>
      <c r="CA35" s="1478"/>
      <c r="CB35" s="1480"/>
      <c r="CC35" s="1481"/>
      <c r="CD35" s="1478"/>
      <c r="CE35" s="1480"/>
      <c r="CF35" s="1481"/>
      <c r="CG35" s="1478"/>
      <c r="CH35" s="1480"/>
      <c r="CI35" s="1481"/>
      <c r="CJ35" s="1478"/>
      <c r="CK35" s="1523"/>
      <c r="CL35" s="1477"/>
      <c r="CM35" s="1478"/>
      <c r="CN35" s="2038"/>
      <c r="CO35" s="1477"/>
      <c r="CP35" s="1478"/>
      <c r="CQ35" s="2038"/>
      <c r="CR35" s="1481"/>
      <c r="CS35" s="1478"/>
      <c r="CT35" s="1480"/>
      <c r="CU35" s="1526">
        <f t="shared" ref="CU35:CU42" si="65">BK35+BN35+BQ35+BT35+BW35+BZ35+CC35+CF35+CI35+CL35+CO35+CR35</f>
        <v>0</v>
      </c>
      <c r="CV35" s="1527">
        <f t="shared" ref="CV35:CV42" si="66">BL35+BO35+BR35+BU35+BX35+CA35+CD35+CG35+CJ35+CM35+CP35+CS35</f>
        <v>0</v>
      </c>
      <c r="CW35" s="1528">
        <f t="shared" ref="CW35:CW42" si="67">BM35+BP35+BS35+BV35+BY35+CB35+CE35+CH35+CK35+CN35+CQ35+CT35</f>
        <v>0</v>
      </c>
      <c r="CX35" s="1437">
        <f t="shared" si="28"/>
        <v>0</v>
      </c>
      <c r="CY35" s="1438">
        <f t="shared" si="29"/>
        <v>0</v>
      </c>
      <c r="CZ35" s="1439">
        <f t="shared" si="30"/>
        <v>0</v>
      </c>
      <c r="DA35" s="1481"/>
      <c r="DB35" s="1478"/>
      <c r="DC35" s="1480"/>
      <c r="DD35" s="1481"/>
      <c r="DE35" s="1478"/>
      <c r="DF35" s="1480"/>
      <c r="DG35" s="1481"/>
      <c r="DH35" s="1478"/>
      <c r="DI35" s="1517"/>
      <c r="DJ35" s="555">
        <f t="shared" ref="DJ35:DJ42" si="68">DA35+DD35+DG35</f>
        <v>0</v>
      </c>
      <c r="DK35" s="560">
        <f t="shared" ref="DK35:DK42" si="69">DB35+DE35+DH35</f>
        <v>0</v>
      </c>
      <c r="DL35" s="560">
        <f t="shared" ref="DL35:DL42" si="70">DC35+DF35+DI35</f>
        <v>0</v>
      </c>
      <c r="DM35" s="1477"/>
      <c r="DN35" s="1478"/>
      <c r="DO35" s="1479"/>
      <c r="DP35" s="1547"/>
      <c r="DQ35" s="1478"/>
      <c r="DR35" s="1480"/>
      <c r="DS35" s="555">
        <f t="shared" ref="DS35:DU42" si="71">CX35+DJ35+DM35+DP35</f>
        <v>0</v>
      </c>
      <c r="DT35" s="405">
        <f t="shared" si="71"/>
        <v>0</v>
      </c>
      <c r="DU35" s="560">
        <f t="shared" si="71"/>
        <v>0</v>
      </c>
      <c r="DV35" s="1585">
        <v>0</v>
      </c>
    </row>
    <row r="36" spans="1:126" ht="18" customHeight="1" x14ac:dyDescent="0.2">
      <c r="A36" s="1418" t="s">
        <v>849</v>
      </c>
      <c r="B36" s="1419" t="s">
        <v>878</v>
      </c>
      <c r="C36" s="1451"/>
      <c r="D36" s="1452"/>
      <c r="E36" s="1453"/>
      <c r="F36" s="1451"/>
      <c r="G36" s="1452"/>
      <c r="H36" s="1453"/>
      <c r="I36" s="1451"/>
      <c r="J36" s="1452"/>
      <c r="K36" s="1453"/>
      <c r="L36" s="1451"/>
      <c r="M36" s="1452"/>
      <c r="N36" s="1453"/>
      <c r="O36" s="1451"/>
      <c r="P36" s="1452"/>
      <c r="Q36" s="1453"/>
      <c r="R36" s="1451"/>
      <c r="S36" s="1452"/>
      <c r="T36" s="1453"/>
      <c r="U36" s="1451"/>
      <c r="V36" s="1452"/>
      <c r="W36" s="1453"/>
      <c r="X36" s="1451"/>
      <c r="Y36" s="1454"/>
      <c r="Z36" s="1453"/>
      <c r="AA36" s="1451"/>
      <c r="AB36" s="1454"/>
      <c r="AC36" s="1453"/>
      <c r="AD36" s="1451"/>
      <c r="AE36" s="1454"/>
      <c r="AF36" s="1453"/>
      <c r="AG36" s="1451"/>
      <c r="AH36" s="1454"/>
      <c r="AI36" s="1453"/>
      <c r="AJ36" s="1451"/>
      <c r="AK36" s="1454"/>
      <c r="AL36" s="1453"/>
      <c r="AM36" s="1451"/>
      <c r="AN36" s="1454"/>
      <c r="AO36" s="1453"/>
      <c r="AP36" s="1451"/>
      <c r="AQ36" s="1454"/>
      <c r="AR36" s="1453"/>
      <c r="AS36" s="1451"/>
      <c r="AT36" s="1454"/>
      <c r="AU36" s="1453"/>
      <c r="AV36" s="1451"/>
      <c r="AW36" s="1454"/>
      <c r="AX36" s="1453"/>
      <c r="AY36" s="1451"/>
      <c r="AZ36" s="1454"/>
      <c r="BA36" s="1453"/>
      <c r="BB36" s="1451"/>
      <c r="BC36" s="1454"/>
      <c r="BD36" s="1453"/>
      <c r="BE36" s="1451"/>
      <c r="BF36" s="1454"/>
      <c r="BG36" s="1453"/>
      <c r="BH36" s="1482">
        <f t="shared" si="62"/>
        <v>0</v>
      </c>
      <c r="BI36" s="1483">
        <f t="shared" si="63"/>
        <v>0</v>
      </c>
      <c r="BJ36" s="1484">
        <f t="shared" si="64"/>
        <v>0</v>
      </c>
      <c r="BK36" s="1451"/>
      <c r="BL36" s="1454"/>
      <c r="BM36" s="1453"/>
      <c r="BN36" s="1451"/>
      <c r="BO36" s="1454"/>
      <c r="BP36" s="1453"/>
      <c r="BQ36" s="1451"/>
      <c r="BR36" s="1454"/>
      <c r="BS36" s="1453"/>
      <c r="BT36" s="1451"/>
      <c r="BU36" s="1454"/>
      <c r="BV36" s="1453"/>
      <c r="BW36" s="1451"/>
      <c r="BX36" s="1454"/>
      <c r="BY36" s="1453"/>
      <c r="BZ36" s="1451"/>
      <c r="CA36" s="1454"/>
      <c r="CB36" s="1453"/>
      <c r="CC36" s="1451"/>
      <c r="CD36" s="1454"/>
      <c r="CE36" s="1453"/>
      <c r="CF36" s="1451"/>
      <c r="CG36" s="1454"/>
      <c r="CH36" s="1453"/>
      <c r="CI36" s="1451"/>
      <c r="CJ36" s="1454"/>
      <c r="CK36" s="1524"/>
      <c r="CL36" s="1451"/>
      <c r="CM36" s="1454"/>
      <c r="CN36" s="1453"/>
      <c r="CO36" s="1451"/>
      <c r="CP36" s="1454"/>
      <c r="CQ36" s="1453"/>
      <c r="CR36" s="1451"/>
      <c r="CS36" s="1452"/>
      <c r="CT36" s="1453"/>
      <c r="CU36" s="1185">
        <f t="shared" si="65"/>
        <v>0</v>
      </c>
      <c r="CV36" s="1455">
        <f t="shared" si="66"/>
        <v>0</v>
      </c>
      <c r="CW36" s="1184">
        <f t="shared" si="67"/>
        <v>0</v>
      </c>
      <c r="CX36" s="1186">
        <f t="shared" si="28"/>
        <v>0</v>
      </c>
      <c r="CY36" s="1441">
        <f t="shared" si="29"/>
        <v>0</v>
      </c>
      <c r="CZ36" s="1442">
        <f t="shared" si="30"/>
        <v>0</v>
      </c>
      <c r="DA36" s="1451"/>
      <c r="DB36" s="1454"/>
      <c r="DC36" s="1453"/>
      <c r="DD36" s="1451"/>
      <c r="DE36" s="1454"/>
      <c r="DF36" s="1453"/>
      <c r="DG36" s="1451"/>
      <c r="DH36" s="1454"/>
      <c r="DI36" s="1524"/>
      <c r="DJ36" s="555">
        <f t="shared" si="68"/>
        <v>0</v>
      </c>
      <c r="DK36" s="560">
        <f t="shared" si="69"/>
        <v>0</v>
      </c>
      <c r="DL36" s="560">
        <f t="shared" si="70"/>
        <v>0</v>
      </c>
      <c r="DM36" s="1451"/>
      <c r="DN36" s="1454"/>
      <c r="DO36" s="1453"/>
      <c r="DP36" s="1546"/>
      <c r="DQ36" s="1454"/>
      <c r="DR36" s="1453"/>
      <c r="DS36" s="555">
        <f t="shared" si="71"/>
        <v>0</v>
      </c>
      <c r="DT36" s="405">
        <f t="shared" si="71"/>
        <v>0</v>
      </c>
      <c r="DU36" s="560">
        <f t="shared" si="71"/>
        <v>0</v>
      </c>
      <c r="DV36" s="1583">
        <v>0</v>
      </c>
    </row>
    <row r="37" spans="1:126" ht="18" customHeight="1" x14ac:dyDescent="0.2">
      <c r="A37" s="1418" t="s">
        <v>850</v>
      </c>
      <c r="B37" s="1419" t="s">
        <v>877</v>
      </c>
      <c r="C37" s="1451"/>
      <c r="D37" s="1452"/>
      <c r="E37" s="1453"/>
      <c r="F37" s="1451"/>
      <c r="G37" s="1452"/>
      <c r="H37" s="1453"/>
      <c r="I37" s="1451"/>
      <c r="J37" s="1452"/>
      <c r="K37" s="1453"/>
      <c r="L37" s="1451"/>
      <c r="M37" s="1452"/>
      <c r="N37" s="1453"/>
      <c r="O37" s="1451"/>
      <c r="P37" s="1452"/>
      <c r="Q37" s="1453"/>
      <c r="R37" s="1451"/>
      <c r="S37" s="1452"/>
      <c r="T37" s="1453"/>
      <c r="U37" s="1451"/>
      <c r="V37" s="1452"/>
      <c r="W37" s="1453"/>
      <c r="X37" s="1451"/>
      <c r="Y37" s="1454"/>
      <c r="Z37" s="1453"/>
      <c r="AA37" s="1451"/>
      <c r="AB37" s="1454"/>
      <c r="AC37" s="1453"/>
      <c r="AD37" s="1451"/>
      <c r="AE37" s="1454"/>
      <c r="AF37" s="1453"/>
      <c r="AG37" s="1451"/>
      <c r="AH37" s="1454"/>
      <c r="AI37" s="1453"/>
      <c r="AJ37" s="1451"/>
      <c r="AK37" s="1454"/>
      <c r="AL37" s="1453"/>
      <c r="AM37" s="1451"/>
      <c r="AN37" s="1454"/>
      <c r="AO37" s="1453"/>
      <c r="AP37" s="1451"/>
      <c r="AQ37" s="1454"/>
      <c r="AR37" s="1453"/>
      <c r="AS37" s="1451"/>
      <c r="AT37" s="1454"/>
      <c r="AU37" s="1453"/>
      <c r="AV37" s="1451"/>
      <c r="AW37" s="1454"/>
      <c r="AX37" s="1453"/>
      <c r="AY37" s="1451"/>
      <c r="AZ37" s="1454"/>
      <c r="BA37" s="1453"/>
      <c r="BB37" s="1451"/>
      <c r="BC37" s="1454"/>
      <c r="BD37" s="1453"/>
      <c r="BE37" s="1451"/>
      <c r="BF37" s="1454"/>
      <c r="BG37" s="1453"/>
      <c r="BH37" s="1482">
        <f t="shared" si="62"/>
        <v>0</v>
      </c>
      <c r="BI37" s="1483">
        <f t="shared" si="63"/>
        <v>0</v>
      </c>
      <c r="BJ37" s="1484">
        <f t="shared" si="64"/>
        <v>0</v>
      </c>
      <c r="BK37" s="1451"/>
      <c r="BL37" s="1454"/>
      <c r="BM37" s="1453"/>
      <c r="BN37" s="1451"/>
      <c r="BO37" s="1454"/>
      <c r="BP37" s="1453"/>
      <c r="BQ37" s="1451"/>
      <c r="BR37" s="1454"/>
      <c r="BS37" s="1453"/>
      <c r="BT37" s="1451"/>
      <c r="BU37" s="1454"/>
      <c r="BV37" s="1453"/>
      <c r="BW37" s="1451"/>
      <c r="BX37" s="1454"/>
      <c r="BY37" s="1453"/>
      <c r="BZ37" s="1451"/>
      <c r="CA37" s="1454"/>
      <c r="CB37" s="1453"/>
      <c r="CC37" s="1451"/>
      <c r="CD37" s="1454"/>
      <c r="CE37" s="1453"/>
      <c r="CF37" s="1451"/>
      <c r="CG37" s="1454"/>
      <c r="CH37" s="1453"/>
      <c r="CI37" s="1451"/>
      <c r="CJ37" s="1454"/>
      <c r="CK37" s="1524"/>
      <c r="CL37" s="1451"/>
      <c r="CM37" s="1454"/>
      <c r="CN37" s="1453"/>
      <c r="CO37" s="1451"/>
      <c r="CP37" s="1454"/>
      <c r="CQ37" s="1453"/>
      <c r="CR37" s="1451"/>
      <c r="CS37" s="1452"/>
      <c r="CT37" s="1453"/>
      <c r="CU37" s="1451">
        <f t="shared" si="65"/>
        <v>0</v>
      </c>
      <c r="CV37" s="1452">
        <f t="shared" si="66"/>
        <v>0</v>
      </c>
      <c r="CW37" s="1453">
        <f t="shared" si="67"/>
        <v>0</v>
      </c>
      <c r="CX37" s="1186">
        <f t="shared" si="28"/>
        <v>0</v>
      </c>
      <c r="CY37" s="1441">
        <f t="shared" si="29"/>
        <v>0</v>
      </c>
      <c r="CZ37" s="1442">
        <f t="shared" si="30"/>
        <v>0</v>
      </c>
      <c r="DA37" s="1451"/>
      <c r="DB37" s="1454"/>
      <c r="DC37" s="1453"/>
      <c r="DD37" s="1451"/>
      <c r="DE37" s="1454"/>
      <c r="DF37" s="1453"/>
      <c r="DG37" s="1451"/>
      <c r="DH37" s="1454"/>
      <c r="DI37" s="1524"/>
      <c r="DJ37" s="555">
        <f t="shared" si="68"/>
        <v>0</v>
      </c>
      <c r="DK37" s="560">
        <f t="shared" si="69"/>
        <v>0</v>
      </c>
      <c r="DL37" s="560">
        <f t="shared" si="70"/>
        <v>0</v>
      </c>
      <c r="DM37" s="1451"/>
      <c r="DN37" s="1454"/>
      <c r="DO37" s="1453"/>
      <c r="DP37" s="1546"/>
      <c r="DQ37" s="1454"/>
      <c r="DR37" s="1453"/>
      <c r="DS37" s="555">
        <f t="shared" si="71"/>
        <v>0</v>
      </c>
      <c r="DT37" s="405">
        <f t="shared" si="71"/>
        <v>0</v>
      </c>
      <c r="DU37" s="560">
        <f t="shared" si="71"/>
        <v>0</v>
      </c>
      <c r="DV37" s="1583">
        <v>0</v>
      </c>
    </row>
    <row r="38" spans="1:126" ht="18" customHeight="1" x14ac:dyDescent="0.2">
      <c r="A38" s="1418" t="s">
        <v>851</v>
      </c>
      <c r="B38" s="1420" t="s">
        <v>876</v>
      </c>
      <c r="C38" s="1451"/>
      <c r="D38" s="1452"/>
      <c r="E38" s="1453"/>
      <c r="F38" s="1451"/>
      <c r="G38" s="1452"/>
      <c r="H38" s="1453"/>
      <c r="I38" s="1451"/>
      <c r="J38" s="1452"/>
      <c r="K38" s="1453"/>
      <c r="L38" s="1451"/>
      <c r="M38" s="1452"/>
      <c r="N38" s="1453"/>
      <c r="O38" s="1451"/>
      <c r="P38" s="1452"/>
      <c r="Q38" s="1453"/>
      <c r="R38" s="1451"/>
      <c r="S38" s="1452"/>
      <c r="T38" s="1453"/>
      <c r="U38" s="1451"/>
      <c r="V38" s="1452"/>
      <c r="W38" s="1453"/>
      <c r="X38" s="1451"/>
      <c r="Y38" s="1452"/>
      <c r="Z38" s="1453"/>
      <c r="AA38" s="1451"/>
      <c r="AB38" s="1452"/>
      <c r="AC38" s="1453"/>
      <c r="AD38" s="1451"/>
      <c r="AE38" s="1452"/>
      <c r="AF38" s="1453"/>
      <c r="AG38" s="1451">
        <v>600</v>
      </c>
      <c r="AH38" s="1452">
        <v>600</v>
      </c>
      <c r="AI38" s="1453">
        <v>0</v>
      </c>
      <c r="AJ38" s="1451"/>
      <c r="AK38" s="1452"/>
      <c r="AL38" s="1453"/>
      <c r="AM38" s="1451"/>
      <c r="AN38" s="1452"/>
      <c r="AO38" s="1453"/>
      <c r="AP38" s="1451"/>
      <c r="AQ38" s="1452"/>
      <c r="AR38" s="1453"/>
      <c r="AS38" s="1451"/>
      <c r="AT38" s="1452"/>
      <c r="AU38" s="1453"/>
      <c r="AV38" s="1451"/>
      <c r="AW38" s="1452"/>
      <c r="AX38" s="1453"/>
      <c r="AY38" s="1451"/>
      <c r="AZ38" s="1452"/>
      <c r="BA38" s="1453"/>
      <c r="BB38" s="1451"/>
      <c r="BC38" s="1452"/>
      <c r="BD38" s="1453"/>
      <c r="BE38" s="1451"/>
      <c r="BF38" s="1452"/>
      <c r="BG38" s="1453"/>
      <c r="BH38" s="1482">
        <f t="shared" si="62"/>
        <v>600</v>
      </c>
      <c r="BI38" s="1483">
        <f t="shared" si="63"/>
        <v>600</v>
      </c>
      <c r="BJ38" s="1484">
        <f t="shared" si="64"/>
        <v>0</v>
      </c>
      <c r="BK38" s="1451"/>
      <c r="BL38" s="1452"/>
      <c r="BM38" s="1453"/>
      <c r="BN38" s="1451"/>
      <c r="BO38" s="1452"/>
      <c r="BP38" s="1453"/>
      <c r="BQ38" s="1451"/>
      <c r="BR38" s="1452"/>
      <c r="BS38" s="1453"/>
      <c r="BT38" s="1451"/>
      <c r="BU38" s="1452"/>
      <c r="BV38" s="1453"/>
      <c r="BW38" s="1451"/>
      <c r="BX38" s="1452"/>
      <c r="BY38" s="1453"/>
      <c r="BZ38" s="1451"/>
      <c r="CA38" s="1452">
        <v>57243</v>
      </c>
      <c r="CB38" s="1453">
        <v>57243.025000000001</v>
      </c>
      <c r="CC38" s="1451"/>
      <c r="CD38" s="1452"/>
      <c r="CE38" s="1453"/>
      <c r="CF38" s="1451"/>
      <c r="CG38" s="1452"/>
      <c r="CH38" s="1453"/>
      <c r="CI38" s="1451"/>
      <c r="CJ38" s="1452">
        <v>635</v>
      </c>
      <c r="CK38" s="1524"/>
      <c r="CL38" s="1451"/>
      <c r="CM38" s="1452"/>
      <c r="CN38" s="1453"/>
      <c r="CO38" s="1451"/>
      <c r="CP38" s="1452"/>
      <c r="CQ38" s="1453"/>
      <c r="CR38" s="1451"/>
      <c r="CS38" s="1452"/>
      <c r="CT38" s="1453"/>
      <c r="CU38" s="1451">
        <f t="shared" si="65"/>
        <v>0</v>
      </c>
      <c r="CV38" s="1452">
        <f t="shared" si="66"/>
        <v>57878</v>
      </c>
      <c r="CW38" s="1453">
        <f t="shared" si="67"/>
        <v>57243.025000000001</v>
      </c>
      <c r="CX38" s="1186">
        <f t="shared" si="28"/>
        <v>600</v>
      </c>
      <c r="CY38" s="1441">
        <f t="shared" si="29"/>
        <v>58478</v>
      </c>
      <c r="CZ38" s="1442">
        <f t="shared" si="30"/>
        <v>57243.025000000001</v>
      </c>
      <c r="DA38" s="1451"/>
      <c r="DB38" s="1452"/>
      <c r="DC38" s="1453"/>
      <c r="DD38" s="1451"/>
      <c r="DE38" s="1452"/>
      <c r="DF38" s="1453"/>
      <c r="DG38" s="1451"/>
      <c r="DH38" s="1452"/>
      <c r="DI38" s="1524"/>
      <c r="DJ38" s="555">
        <f t="shared" si="68"/>
        <v>0</v>
      </c>
      <c r="DK38" s="560">
        <f t="shared" si="69"/>
        <v>0</v>
      </c>
      <c r="DL38" s="560">
        <f t="shared" si="70"/>
        <v>0</v>
      </c>
      <c r="DM38" s="1451"/>
      <c r="DN38" s="1452"/>
      <c r="DO38" s="1453"/>
      <c r="DP38" s="1546"/>
      <c r="DQ38" s="1452"/>
      <c r="DR38" s="1453"/>
      <c r="DS38" s="555">
        <f t="shared" si="71"/>
        <v>600</v>
      </c>
      <c r="DT38" s="405">
        <f t="shared" si="71"/>
        <v>58478</v>
      </c>
      <c r="DU38" s="560">
        <f t="shared" si="71"/>
        <v>57243.025000000001</v>
      </c>
      <c r="DV38" s="1583">
        <f>DU38/DT38*100</f>
        <v>97.888137419200376</v>
      </c>
    </row>
    <row r="39" spans="1:126" ht="18" customHeight="1" x14ac:dyDescent="0.2">
      <c r="A39" s="1418" t="s">
        <v>852</v>
      </c>
      <c r="B39" s="1419" t="s">
        <v>875</v>
      </c>
      <c r="C39" s="1451"/>
      <c r="D39" s="1452"/>
      <c r="E39" s="1453"/>
      <c r="F39" s="1451"/>
      <c r="G39" s="1452"/>
      <c r="H39" s="1453"/>
      <c r="I39" s="1451"/>
      <c r="J39" s="1452"/>
      <c r="K39" s="1453"/>
      <c r="L39" s="1451"/>
      <c r="M39" s="1452"/>
      <c r="N39" s="1453"/>
      <c r="O39" s="1451"/>
      <c r="P39" s="1452"/>
      <c r="Q39" s="1453"/>
      <c r="R39" s="1451"/>
      <c r="S39" s="1452"/>
      <c r="T39" s="1453"/>
      <c r="U39" s="1451"/>
      <c r="V39" s="1452"/>
      <c r="W39" s="1453"/>
      <c r="X39" s="1451"/>
      <c r="Y39" s="1454"/>
      <c r="Z39" s="1453"/>
      <c r="AA39" s="1451"/>
      <c r="AB39" s="1454"/>
      <c r="AC39" s="1453"/>
      <c r="AD39" s="1451"/>
      <c r="AE39" s="1454"/>
      <c r="AF39" s="1453"/>
      <c r="AG39" s="1451"/>
      <c r="AH39" s="1454"/>
      <c r="AI39" s="1453"/>
      <c r="AJ39" s="1451"/>
      <c r="AK39" s="1454"/>
      <c r="AL39" s="1453"/>
      <c r="AM39" s="1451"/>
      <c r="AN39" s="1454"/>
      <c r="AO39" s="1453"/>
      <c r="AP39" s="1451"/>
      <c r="AQ39" s="1454"/>
      <c r="AR39" s="1453"/>
      <c r="AS39" s="1451"/>
      <c r="AT39" s="1454"/>
      <c r="AU39" s="1453"/>
      <c r="AV39" s="1451"/>
      <c r="AW39" s="1454"/>
      <c r="AX39" s="1453"/>
      <c r="AY39" s="1451"/>
      <c r="AZ39" s="1454"/>
      <c r="BA39" s="1453"/>
      <c r="BB39" s="1451"/>
      <c r="BC39" s="1454"/>
      <c r="BD39" s="1453"/>
      <c r="BE39" s="1451"/>
      <c r="BF39" s="1454"/>
      <c r="BG39" s="1453"/>
      <c r="BH39" s="1482">
        <f t="shared" si="62"/>
        <v>0</v>
      </c>
      <c r="BI39" s="1483">
        <f t="shared" si="63"/>
        <v>0</v>
      </c>
      <c r="BJ39" s="1484">
        <f t="shared" si="64"/>
        <v>0</v>
      </c>
      <c r="BK39" s="1451"/>
      <c r="BL39" s="1454"/>
      <c r="BM39" s="1453"/>
      <c r="BN39" s="1451"/>
      <c r="BO39" s="1454"/>
      <c r="BP39" s="1453"/>
      <c r="BQ39" s="1451"/>
      <c r="BR39" s="1454"/>
      <c r="BS39" s="1453"/>
      <c r="BT39" s="1451"/>
      <c r="BU39" s="1454"/>
      <c r="BV39" s="1453"/>
      <c r="BW39" s="1451"/>
      <c r="BX39" s="1454"/>
      <c r="BY39" s="1453"/>
      <c r="BZ39" s="1451"/>
      <c r="CA39" s="1454"/>
      <c r="CB39" s="1453"/>
      <c r="CC39" s="1451"/>
      <c r="CD39" s="1454"/>
      <c r="CE39" s="1453"/>
      <c r="CF39" s="1451"/>
      <c r="CG39" s="1454"/>
      <c r="CH39" s="1453"/>
      <c r="CI39" s="1451"/>
      <c r="CJ39" s="1454"/>
      <c r="CK39" s="1524"/>
      <c r="CL39" s="1451"/>
      <c r="CM39" s="1454"/>
      <c r="CN39" s="1453"/>
      <c r="CO39" s="1451"/>
      <c r="CP39" s="1454"/>
      <c r="CQ39" s="1453"/>
      <c r="CR39" s="1451"/>
      <c r="CS39" s="1452"/>
      <c r="CT39" s="1453"/>
      <c r="CU39" s="1451">
        <f t="shared" si="65"/>
        <v>0</v>
      </c>
      <c r="CV39" s="1452">
        <f t="shared" si="66"/>
        <v>0</v>
      </c>
      <c r="CW39" s="1453">
        <f t="shared" si="67"/>
        <v>0</v>
      </c>
      <c r="CX39" s="1186">
        <f t="shared" si="28"/>
        <v>0</v>
      </c>
      <c r="CY39" s="1441">
        <f t="shared" si="29"/>
        <v>0</v>
      </c>
      <c r="CZ39" s="1442">
        <f t="shared" si="30"/>
        <v>0</v>
      </c>
      <c r="DA39" s="1451"/>
      <c r="DB39" s="1454"/>
      <c r="DC39" s="1453"/>
      <c r="DD39" s="1451"/>
      <c r="DE39" s="1454"/>
      <c r="DF39" s="1453"/>
      <c r="DG39" s="1451"/>
      <c r="DH39" s="1454"/>
      <c r="DI39" s="1524"/>
      <c r="DJ39" s="555">
        <f t="shared" si="68"/>
        <v>0</v>
      </c>
      <c r="DK39" s="560">
        <f t="shared" si="69"/>
        <v>0</v>
      </c>
      <c r="DL39" s="560">
        <f t="shared" si="70"/>
        <v>0</v>
      </c>
      <c r="DM39" s="1451"/>
      <c r="DN39" s="1454"/>
      <c r="DO39" s="1453"/>
      <c r="DP39" s="1546"/>
      <c r="DQ39" s="1454"/>
      <c r="DR39" s="1453"/>
      <c r="DS39" s="555">
        <f t="shared" si="71"/>
        <v>0</v>
      </c>
      <c r="DT39" s="405">
        <f t="shared" si="71"/>
        <v>0</v>
      </c>
      <c r="DU39" s="560">
        <f t="shared" si="71"/>
        <v>0</v>
      </c>
      <c r="DV39" s="1583">
        <v>0</v>
      </c>
    </row>
    <row r="40" spans="1:126" ht="18" customHeight="1" x14ac:dyDescent="0.2">
      <c r="A40" s="1418" t="s">
        <v>853</v>
      </c>
      <c r="B40" s="1419" t="s">
        <v>874</v>
      </c>
      <c r="C40" s="1451"/>
      <c r="D40" s="1452"/>
      <c r="E40" s="1453"/>
      <c r="F40" s="1482"/>
      <c r="G40" s="1483"/>
      <c r="H40" s="1484"/>
      <c r="I40" s="1482"/>
      <c r="J40" s="1483"/>
      <c r="K40" s="1484"/>
      <c r="L40" s="1482"/>
      <c r="M40" s="1483"/>
      <c r="N40" s="1484"/>
      <c r="O40" s="1482"/>
      <c r="P40" s="1483"/>
      <c r="Q40" s="1484"/>
      <c r="R40" s="1482"/>
      <c r="S40" s="1483"/>
      <c r="T40" s="1484"/>
      <c r="U40" s="1482"/>
      <c r="V40" s="1485"/>
      <c r="W40" s="1453"/>
      <c r="X40" s="1451"/>
      <c r="Y40" s="1454"/>
      <c r="Z40" s="1453"/>
      <c r="AA40" s="1451"/>
      <c r="AB40" s="1454"/>
      <c r="AC40" s="1453"/>
      <c r="AD40" s="1451"/>
      <c r="AE40" s="1454"/>
      <c r="AF40" s="1453"/>
      <c r="AG40" s="1451"/>
      <c r="AH40" s="1454"/>
      <c r="AI40" s="1453"/>
      <c r="AJ40" s="1451"/>
      <c r="AK40" s="1454"/>
      <c r="AL40" s="1453"/>
      <c r="AM40" s="1451"/>
      <c r="AN40" s="1454"/>
      <c r="AO40" s="1453"/>
      <c r="AP40" s="1451"/>
      <c r="AQ40" s="1454"/>
      <c r="AR40" s="1453"/>
      <c r="AS40" s="1451"/>
      <c r="AT40" s="1454"/>
      <c r="AU40" s="1453"/>
      <c r="AV40" s="1451"/>
      <c r="AW40" s="1454"/>
      <c r="AX40" s="1453"/>
      <c r="AY40" s="1451"/>
      <c r="AZ40" s="1454"/>
      <c r="BA40" s="1453"/>
      <c r="BB40" s="1451"/>
      <c r="BC40" s="1454"/>
      <c r="BD40" s="1453"/>
      <c r="BE40" s="1451"/>
      <c r="BF40" s="1454"/>
      <c r="BG40" s="1453"/>
      <c r="BH40" s="1482">
        <f t="shared" si="62"/>
        <v>0</v>
      </c>
      <c r="BI40" s="1483">
        <f t="shared" si="63"/>
        <v>0</v>
      </c>
      <c r="BJ40" s="1484">
        <f t="shared" si="64"/>
        <v>0</v>
      </c>
      <c r="BK40" s="1451"/>
      <c r="BL40" s="1454"/>
      <c r="BM40" s="1453"/>
      <c r="BN40" s="1451"/>
      <c r="BO40" s="1454"/>
      <c r="BP40" s="1453"/>
      <c r="BQ40" s="1451"/>
      <c r="BR40" s="1454"/>
      <c r="BS40" s="1453"/>
      <c r="BT40" s="1451"/>
      <c r="BU40" s="1454"/>
      <c r="BV40" s="1453"/>
      <c r="BW40" s="1451"/>
      <c r="BX40" s="1454"/>
      <c r="BY40" s="1453"/>
      <c r="BZ40" s="1451"/>
      <c r="CA40" s="1454"/>
      <c r="CB40" s="1453"/>
      <c r="CC40" s="1451"/>
      <c r="CD40" s="1454"/>
      <c r="CE40" s="1453"/>
      <c r="CF40" s="1451"/>
      <c r="CG40" s="1454"/>
      <c r="CH40" s="1453"/>
      <c r="CI40" s="1451">
        <v>10000</v>
      </c>
      <c r="CJ40" s="1454">
        <v>10000</v>
      </c>
      <c r="CK40" s="1524">
        <v>3000</v>
      </c>
      <c r="CL40" s="1451"/>
      <c r="CM40" s="1454"/>
      <c r="CN40" s="1453"/>
      <c r="CO40" s="1451"/>
      <c r="CP40" s="1454"/>
      <c r="CQ40" s="1453"/>
      <c r="CR40" s="1482"/>
      <c r="CS40" s="1483"/>
      <c r="CT40" s="1484"/>
      <c r="CU40" s="1185">
        <f t="shared" si="65"/>
        <v>10000</v>
      </c>
      <c r="CV40" s="1455">
        <f t="shared" si="66"/>
        <v>10000</v>
      </c>
      <c r="CW40" s="1184">
        <f t="shared" si="67"/>
        <v>3000</v>
      </c>
      <c r="CX40" s="1186">
        <f t="shared" si="28"/>
        <v>10000</v>
      </c>
      <c r="CY40" s="1441">
        <f t="shared" si="29"/>
        <v>10000</v>
      </c>
      <c r="CZ40" s="1442">
        <f t="shared" si="30"/>
        <v>3000</v>
      </c>
      <c r="DA40" s="1451"/>
      <c r="DB40" s="1454"/>
      <c r="DC40" s="1453"/>
      <c r="DD40" s="1451"/>
      <c r="DE40" s="1454"/>
      <c r="DF40" s="1453"/>
      <c r="DG40" s="1451">
        <v>5000</v>
      </c>
      <c r="DH40" s="1454">
        <v>5000</v>
      </c>
      <c r="DI40" s="1524">
        <v>1053.596</v>
      </c>
      <c r="DJ40" s="555">
        <f t="shared" si="68"/>
        <v>5000</v>
      </c>
      <c r="DK40" s="560">
        <f t="shared" si="69"/>
        <v>5000</v>
      </c>
      <c r="DL40" s="560">
        <f t="shared" si="70"/>
        <v>1053.596</v>
      </c>
      <c r="DM40" s="1451"/>
      <c r="DN40" s="1454"/>
      <c r="DO40" s="1453"/>
      <c r="DP40" s="1546"/>
      <c r="DQ40" s="1454"/>
      <c r="DR40" s="1453"/>
      <c r="DS40" s="555">
        <f t="shared" si="71"/>
        <v>15000</v>
      </c>
      <c r="DT40" s="405">
        <f t="shared" si="71"/>
        <v>15000</v>
      </c>
      <c r="DU40" s="560">
        <f t="shared" si="71"/>
        <v>4053.596</v>
      </c>
      <c r="DV40" s="1583">
        <f>DU40/DT40*100</f>
        <v>27.023973333333334</v>
      </c>
    </row>
    <row r="41" spans="1:126" ht="18" customHeight="1" x14ac:dyDescent="0.2">
      <c r="A41" s="1418" t="s">
        <v>854</v>
      </c>
      <c r="B41" s="1476" t="s">
        <v>894</v>
      </c>
      <c r="C41" s="1482"/>
      <c r="D41" s="1483"/>
      <c r="E41" s="1484"/>
      <c r="F41" s="1482"/>
      <c r="G41" s="1483"/>
      <c r="H41" s="1484"/>
      <c r="I41" s="1482"/>
      <c r="J41" s="1483"/>
      <c r="K41" s="1484"/>
      <c r="L41" s="1482"/>
      <c r="M41" s="1483"/>
      <c r="N41" s="1484"/>
      <c r="O41" s="1482"/>
      <c r="P41" s="1483"/>
      <c r="Q41" s="1484"/>
      <c r="R41" s="1482"/>
      <c r="S41" s="1483"/>
      <c r="T41" s="1484"/>
      <c r="U41" s="1482"/>
      <c r="V41" s="1485"/>
      <c r="W41" s="1453"/>
      <c r="X41" s="1451"/>
      <c r="Y41" s="1454"/>
      <c r="Z41" s="1453"/>
      <c r="AA41" s="1451"/>
      <c r="AB41" s="1454"/>
      <c r="AC41" s="1453"/>
      <c r="AD41" s="1451"/>
      <c r="AE41" s="1454"/>
      <c r="AF41" s="1453"/>
      <c r="AG41" s="1451"/>
      <c r="AH41" s="1454"/>
      <c r="AI41" s="1453"/>
      <c r="AJ41" s="1451"/>
      <c r="AK41" s="1454"/>
      <c r="AL41" s="1453"/>
      <c r="AM41" s="1451"/>
      <c r="AN41" s="1454"/>
      <c r="AO41" s="1453"/>
      <c r="AP41" s="1451"/>
      <c r="AQ41" s="1454"/>
      <c r="AR41" s="1453"/>
      <c r="AS41" s="1451"/>
      <c r="AT41" s="1454"/>
      <c r="AU41" s="1453"/>
      <c r="AV41" s="1451"/>
      <c r="AW41" s="1454"/>
      <c r="AX41" s="1453"/>
      <c r="AY41" s="1451"/>
      <c r="AZ41" s="1454"/>
      <c r="BA41" s="1453"/>
      <c r="BB41" s="1451"/>
      <c r="BC41" s="1454"/>
      <c r="BD41" s="1453"/>
      <c r="BE41" s="1451"/>
      <c r="BF41" s="1454"/>
      <c r="BG41" s="1453"/>
      <c r="BH41" s="1482">
        <f t="shared" si="62"/>
        <v>0</v>
      </c>
      <c r="BI41" s="1483">
        <f t="shared" si="63"/>
        <v>0</v>
      </c>
      <c r="BJ41" s="1484">
        <f t="shared" si="64"/>
        <v>0</v>
      </c>
      <c r="BK41" s="1451"/>
      <c r="BL41" s="1454"/>
      <c r="BM41" s="1453"/>
      <c r="BN41" s="1451"/>
      <c r="BO41" s="1454"/>
      <c r="BP41" s="1453"/>
      <c r="BQ41" s="1451"/>
      <c r="BR41" s="1454"/>
      <c r="BS41" s="1453"/>
      <c r="BT41" s="1451"/>
      <c r="BU41" s="1454"/>
      <c r="BV41" s="1453"/>
      <c r="BW41" s="1451"/>
      <c r="BX41" s="1454"/>
      <c r="BY41" s="1453"/>
      <c r="BZ41" s="1451"/>
      <c r="CA41" s="1454"/>
      <c r="CB41" s="1453"/>
      <c r="CC41" s="1451"/>
      <c r="CD41" s="1454"/>
      <c r="CE41" s="1453"/>
      <c r="CF41" s="1451"/>
      <c r="CG41" s="1454"/>
      <c r="CH41" s="1453"/>
      <c r="CI41" s="1451"/>
      <c r="CJ41" s="1454"/>
      <c r="CK41" s="1524"/>
      <c r="CL41" s="1451"/>
      <c r="CM41" s="1454"/>
      <c r="CN41" s="1453"/>
      <c r="CO41" s="1451"/>
      <c r="CP41" s="1454"/>
      <c r="CQ41" s="1453"/>
      <c r="CR41" s="1482"/>
      <c r="CS41" s="1483"/>
      <c r="CT41" s="1484"/>
      <c r="CU41" s="1185">
        <f t="shared" si="65"/>
        <v>0</v>
      </c>
      <c r="CV41" s="1455">
        <f t="shared" si="66"/>
        <v>0</v>
      </c>
      <c r="CW41" s="1184">
        <f t="shared" si="67"/>
        <v>0</v>
      </c>
      <c r="CX41" s="1186">
        <f t="shared" si="28"/>
        <v>0</v>
      </c>
      <c r="CY41" s="1441">
        <f t="shared" si="29"/>
        <v>0</v>
      </c>
      <c r="CZ41" s="1442">
        <f t="shared" si="30"/>
        <v>0</v>
      </c>
      <c r="DA41" s="1451"/>
      <c r="DB41" s="1454"/>
      <c r="DC41" s="1453"/>
      <c r="DD41" s="1451"/>
      <c r="DE41" s="1454"/>
      <c r="DF41" s="1453"/>
      <c r="DG41" s="1451"/>
      <c r="DH41" s="1454"/>
      <c r="DI41" s="1524"/>
      <c r="DJ41" s="555">
        <f t="shared" si="68"/>
        <v>0</v>
      </c>
      <c r="DK41" s="560">
        <f t="shared" si="69"/>
        <v>0</v>
      </c>
      <c r="DL41" s="560">
        <f t="shared" si="70"/>
        <v>0</v>
      </c>
      <c r="DM41" s="1451"/>
      <c r="DN41" s="1454"/>
      <c r="DO41" s="1453"/>
      <c r="DP41" s="1546"/>
      <c r="DQ41" s="1454"/>
      <c r="DR41" s="1453"/>
      <c r="DS41" s="555">
        <f t="shared" si="71"/>
        <v>0</v>
      </c>
      <c r="DT41" s="405">
        <f t="shared" si="71"/>
        <v>0</v>
      </c>
      <c r="DU41" s="560">
        <f t="shared" si="71"/>
        <v>0</v>
      </c>
      <c r="DV41" s="1583">
        <v>0</v>
      </c>
    </row>
    <row r="42" spans="1:126" ht="18" customHeight="1" x14ac:dyDescent="0.2">
      <c r="A42" s="1418" t="s">
        <v>855</v>
      </c>
      <c r="B42" s="1420" t="s">
        <v>873</v>
      </c>
      <c r="C42" s="1482"/>
      <c r="D42" s="1483"/>
      <c r="E42" s="1484"/>
      <c r="F42" s="1482"/>
      <c r="G42" s="1483"/>
      <c r="H42" s="1484"/>
      <c r="I42" s="1482"/>
      <c r="J42" s="1483"/>
      <c r="K42" s="1484"/>
      <c r="L42" s="1482"/>
      <c r="M42" s="1483"/>
      <c r="N42" s="1484"/>
      <c r="O42" s="1482"/>
      <c r="P42" s="1483"/>
      <c r="Q42" s="1484"/>
      <c r="R42" s="1482"/>
      <c r="S42" s="1483">
        <v>80000</v>
      </c>
      <c r="T42" s="1484">
        <v>80000</v>
      </c>
      <c r="U42" s="1482"/>
      <c r="V42" s="1485"/>
      <c r="W42" s="1453"/>
      <c r="X42" s="1451"/>
      <c r="Y42" s="1454"/>
      <c r="Z42" s="1453"/>
      <c r="AA42" s="1451"/>
      <c r="AB42" s="1454"/>
      <c r="AC42" s="1453"/>
      <c r="AD42" s="1451"/>
      <c r="AE42" s="1454"/>
      <c r="AF42" s="1453"/>
      <c r="AG42" s="1451"/>
      <c r="AH42" s="1454">
        <v>38975</v>
      </c>
      <c r="AI42" s="1453">
        <v>28265</v>
      </c>
      <c r="AJ42" s="1451"/>
      <c r="AK42" s="1454"/>
      <c r="AL42" s="1453"/>
      <c r="AM42" s="1451">
        <v>396628</v>
      </c>
      <c r="AN42" s="1454">
        <v>396628</v>
      </c>
      <c r="AO42" s="1453"/>
      <c r="AP42" s="1451"/>
      <c r="AQ42" s="1454"/>
      <c r="AR42" s="1453"/>
      <c r="AS42" s="1451"/>
      <c r="AT42" s="1454"/>
      <c r="AU42" s="1453"/>
      <c r="AV42" s="1451"/>
      <c r="AW42" s="1454"/>
      <c r="AX42" s="1453"/>
      <c r="AY42" s="1451"/>
      <c r="AZ42" s="1454"/>
      <c r="BA42" s="1453"/>
      <c r="BB42" s="1451"/>
      <c r="BC42" s="1454"/>
      <c r="BD42" s="1453"/>
      <c r="BE42" s="1451"/>
      <c r="BF42" s="1454"/>
      <c r="BG42" s="1453"/>
      <c r="BH42" s="1501">
        <f t="shared" si="62"/>
        <v>396628</v>
      </c>
      <c r="BI42" s="1502">
        <f t="shared" si="63"/>
        <v>515603</v>
      </c>
      <c r="BJ42" s="1503">
        <f t="shared" si="64"/>
        <v>108265</v>
      </c>
      <c r="BK42" s="1486"/>
      <c r="BL42" s="1489"/>
      <c r="BM42" s="1488"/>
      <c r="BN42" s="1486"/>
      <c r="BO42" s="1489"/>
      <c r="BP42" s="1488"/>
      <c r="BQ42" s="1486"/>
      <c r="BR42" s="1489"/>
      <c r="BS42" s="1488"/>
      <c r="BT42" s="1486"/>
      <c r="BU42" s="1489"/>
      <c r="BV42" s="1488"/>
      <c r="BW42" s="1486"/>
      <c r="BX42" s="1489"/>
      <c r="BY42" s="1488"/>
      <c r="BZ42" s="1486"/>
      <c r="CA42" s="1489"/>
      <c r="CB42" s="1488"/>
      <c r="CC42" s="1486"/>
      <c r="CD42" s="1489"/>
      <c r="CE42" s="1488"/>
      <c r="CF42" s="1486"/>
      <c r="CG42" s="1489"/>
      <c r="CH42" s="1488"/>
      <c r="CI42" s="1486">
        <v>44000</v>
      </c>
      <c r="CJ42" s="1489">
        <v>182776</v>
      </c>
      <c r="CK42" s="1525">
        <v>79201.781000000003</v>
      </c>
      <c r="CL42" s="1486"/>
      <c r="CM42" s="1489"/>
      <c r="CN42" s="1488"/>
      <c r="CO42" s="1486"/>
      <c r="CP42" s="1489"/>
      <c r="CQ42" s="1488"/>
      <c r="CR42" s="1482"/>
      <c r="CS42" s="1483"/>
      <c r="CT42" s="1484"/>
      <c r="CU42" s="1529">
        <f t="shared" si="65"/>
        <v>44000</v>
      </c>
      <c r="CV42" s="1530">
        <f t="shared" si="66"/>
        <v>182776</v>
      </c>
      <c r="CW42" s="1531">
        <f t="shared" si="67"/>
        <v>79201.781000000003</v>
      </c>
      <c r="CX42" s="1433">
        <f t="shared" si="28"/>
        <v>440628</v>
      </c>
      <c r="CY42" s="1434">
        <f t="shared" si="29"/>
        <v>698379</v>
      </c>
      <c r="CZ42" s="1435">
        <f t="shared" si="30"/>
        <v>187466.78100000002</v>
      </c>
      <c r="DA42" s="1486"/>
      <c r="DB42" s="1489"/>
      <c r="DC42" s="1488"/>
      <c r="DD42" s="1486"/>
      <c r="DE42" s="1489"/>
      <c r="DF42" s="1488"/>
      <c r="DG42" s="1486"/>
      <c r="DH42" s="1489"/>
      <c r="DI42" s="1525"/>
      <c r="DJ42" s="1486">
        <f t="shared" si="68"/>
        <v>0</v>
      </c>
      <c r="DK42" s="1543">
        <f t="shared" si="69"/>
        <v>0</v>
      </c>
      <c r="DL42" s="1525">
        <f t="shared" si="70"/>
        <v>0</v>
      </c>
      <c r="DM42" s="1486"/>
      <c r="DN42" s="1489"/>
      <c r="DO42" s="1488"/>
      <c r="DP42" s="1543"/>
      <c r="DQ42" s="1489"/>
      <c r="DR42" s="1488"/>
      <c r="DS42" s="555">
        <f t="shared" si="71"/>
        <v>440628</v>
      </c>
      <c r="DT42" s="405">
        <f t="shared" si="71"/>
        <v>698379</v>
      </c>
      <c r="DU42" s="560">
        <f t="shared" si="71"/>
        <v>187466.78100000002</v>
      </c>
      <c r="DV42" s="1586">
        <f>DU42/DT42*100</f>
        <v>26.84312973328236</v>
      </c>
    </row>
    <row r="43" spans="1:126" s="121" customFormat="1" ht="30" customHeight="1" x14ac:dyDescent="0.2">
      <c r="A43" s="1414"/>
      <c r="B43" s="1415" t="s">
        <v>856</v>
      </c>
      <c r="C43" s="553">
        <f t="shared" ref="C43:AH43" si="72">C14+C31</f>
        <v>1923217</v>
      </c>
      <c r="D43" s="360">
        <f t="shared" si="72"/>
        <v>2791564</v>
      </c>
      <c r="E43" s="552">
        <f t="shared" si="72"/>
        <v>1917413.8649999998</v>
      </c>
      <c r="F43" s="553">
        <f t="shared" si="72"/>
        <v>348312</v>
      </c>
      <c r="G43" s="360">
        <f t="shared" si="72"/>
        <v>339538</v>
      </c>
      <c r="H43" s="552">
        <f t="shared" si="72"/>
        <v>246255.69399999999</v>
      </c>
      <c r="I43" s="553">
        <f t="shared" si="72"/>
        <v>94040</v>
      </c>
      <c r="J43" s="360">
        <f t="shared" si="72"/>
        <v>36121</v>
      </c>
      <c r="K43" s="552">
        <f t="shared" si="72"/>
        <v>31520.280999999999</v>
      </c>
      <c r="L43" s="553">
        <f t="shared" si="72"/>
        <v>43026</v>
      </c>
      <c r="M43" s="360">
        <f t="shared" si="72"/>
        <v>112582</v>
      </c>
      <c r="N43" s="552">
        <f t="shared" si="72"/>
        <v>44197.936999999998</v>
      </c>
      <c r="O43" s="553">
        <f t="shared" si="72"/>
        <v>0</v>
      </c>
      <c r="P43" s="360">
        <f t="shared" si="72"/>
        <v>0</v>
      </c>
      <c r="Q43" s="552">
        <f t="shared" si="72"/>
        <v>0</v>
      </c>
      <c r="R43" s="553">
        <f t="shared" si="72"/>
        <v>300711</v>
      </c>
      <c r="S43" s="360">
        <f t="shared" si="72"/>
        <v>298075.67800000001</v>
      </c>
      <c r="T43" s="552">
        <f t="shared" si="72"/>
        <v>183005.24900000001</v>
      </c>
      <c r="U43" s="553">
        <f t="shared" si="72"/>
        <v>602223</v>
      </c>
      <c r="V43" s="360">
        <f t="shared" si="72"/>
        <v>698010.978</v>
      </c>
      <c r="W43" s="552">
        <f t="shared" si="72"/>
        <v>627240.17299999995</v>
      </c>
      <c r="X43" s="553">
        <f t="shared" si="72"/>
        <v>139621</v>
      </c>
      <c r="Y43" s="563">
        <f t="shared" si="72"/>
        <v>155762.78</v>
      </c>
      <c r="Z43" s="552">
        <f t="shared" si="72"/>
        <v>117990.29000000001</v>
      </c>
      <c r="AA43" s="553">
        <f t="shared" si="72"/>
        <v>4146</v>
      </c>
      <c r="AB43" s="563">
        <f t="shared" si="72"/>
        <v>4146</v>
      </c>
      <c r="AC43" s="552">
        <f t="shared" si="72"/>
        <v>4146</v>
      </c>
      <c r="AD43" s="553">
        <f t="shared" si="72"/>
        <v>358350</v>
      </c>
      <c r="AE43" s="563">
        <f t="shared" si="72"/>
        <v>363350</v>
      </c>
      <c r="AF43" s="552">
        <f t="shared" si="72"/>
        <v>365410</v>
      </c>
      <c r="AG43" s="553">
        <f t="shared" si="72"/>
        <v>642514</v>
      </c>
      <c r="AH43" s="563">
        <f t="shared" si="72"/>
        <v>676306</v>
      </c>
      <c r="AI43" s="552">
        <f t="shared" ref="AI43:BN43" si="73">AI14+AI31</f>
        <v>579088.49300000002</v>
      </c>
      <c r="AJ43" s="553">
        <f t="shared" si="73"/>
        <v>0</v>
      </c>
      <c r="AK43" s="563">
        <f t="shared" si="73"/>
        <v>7121</v>
      </c>
      <c r="AL43" s="552">
        <f t="shared" si="73"/>
        <v>7120.835</v>
      </c>
      <c r="AM43" s="553">
        <f t="shared" si="73"/>
        <v>2081718</v>
      </c>
      <c r="AN43" s="563">
        <f>AN14+AN31</f>
        <v>1109517</v>
      </c>
      <c r="AO43" s="552">
        <f t="shared" si="73"/>
        <v>260989.49100000001</v>
      </c>
      <c r="AP43" s="553">
        <f t="shared" si="73"/>
        <v>35012</v>
      </c>
      <c r="AQ43" s="563">
        <f t="shared" si="73"/>
        <v>35012</v>
      </c>
      <c r="AR43" s="552">
        <f t="shared" si="73"/>
        <v>31440</v>
      </c>
      <c r="AS43" s="553">
        <f t="shared" si="73"/>
        <v>13500</v>
      </c>
      <c r="AT43" s="563">
        <f t="shared" si="73"/>
        <v>14500</v>
      </c>
      <c r="AU43" s="552">
        <f t="shared" si="73"/>
        <v>14500</v>
      </c>
      <c r="AV43" s="553">
        <f t="shared" si="73"/>
        <v>857256</v>
      </c>
      <c r="AW43" s="563">
        <f t="shared" si="73"/>
        <v>864121.826</v>
      </c>
      <c r="AX43" s="552">
        <f t="shared" si="73"/>
        <v>684497.25299999991</v>
      </c>
      <c r="AY43" s="553">
        <f t="shared" si="73"/>
        <v>40000</v>
      </c>
      <c r="AZ43" s="563">
        <f t="shared" si="73"/>
        <v>40000</v>
      </c>
      <c r="BA43" s="552">
        <f t="shared" si="73"/>
        <v>32525.952000000001</v>
      </c>
      <c r="BB43" s="553">
        <f t="shared" si="73"/>
        <v>1228380</v>
      </c>
      <c r="BC43" s="563">
        <f t="shared" si="73"/>
        <v>1358656.716</v>
      </c>
      <c r="BD43" s="552">
        <f t="shared" si="73"/>
        <v>498910.495</v>
      </c>
      <c r="BE43" s="553">
        <f t="shared" si="73"/>
        <v>229076</v>
      </c>
      <c r="BF43" s="563">
        <f t="shared" si="73"/>
        <v>1622449</v>
      </c>
      <c r="BG43" s="552">
        <f t="shared" si="73"/>
        <v>1554951.67</v>
      </c>
      <c r="BH43" s="553">
        <f t="shared" si="73"/>
        <v>8941102</v>
      </c>
      <c r="BI43" s="563">
        <f t="shared" si="73"/>
        <v>10526833.978</v>
      </c>
      <c r="BJ43" s="552">
        <f t="shared" si="73"/>
        <v>7201203.6779999994</v>
      </c>
      <c r="BK43" s="553">
        <f t="shared" si="73"/>
        <v>635</v>
      </c>
      <c r="BL43" s="563">
        <f t="shared" si="73"/>
        <v>635</v>
      </c>
      <c r="BM43" s="552">
        <f t="shared" si="73"/>
        <v>477.33100000000002</v>
      </c>
      <c r="BN43" s="553">
        <f t="shared" si="73"/>
        <v>150058</v>
      </c>
      <c r="BO43" s="563">
        <f t="shared" ref="BO43:CZ43" si="74">BO14+BO31</f>
        <v>163229</v>
      </c>
      <c r="BP43" s="552">
        <f t="shared" si="74"/>
        <v>87413.338000000003</v>
      </c>
      <c r="BQ43" s="553">
        <f t="shared" si="74"/>
        <v>78996</v>
      </c>
      <c r="BR43" s="563">
        <f t="shared" si="74"/>
        <v>78996</v>
      </c>
      <c r="BS43" s="552">
        <f t="shared" si="74"/>
        <v>78996</v>
      </c>
      <c r="BT43" s="553">
        <f t="shared" si="74"/>
        <v>41428</v>
      </c>
      <c r="BU43" s="563">
        <f t="shared" si="74"/>
        <v>78141</v>
      </c>
      <c r="BV43" s="552">
        <f t="shared" si="74"/>
        <v>39259.304000000004</v>
      </c>
      <c r="BW43" s="553">
        <f t="shared" si="74"/>
        <v>25400</v>
      </c>
      <c r="BX43" s="563">
        <f t="shared" si="74"/>
        <v>57615</v>
      </c>
      <c r="BY43" s="552">
        <f t="shared" si="74"/>
        <v>27173.876</v>
      </c>
      <c r="BZ43" s="553">
        <f t="shared" si="74"/>
        <v>91169</v>
      </c>
      <c r="CA43" s="563">
        <f t="shared" si="74"/>
        <v>304117</v>
      </c>
      <c r="CB43" s="552">
        <f t="shared" si="74"/>
        <v>155666.37100000001</v>
      </c>
      <c r="CC43" s="553">
        <f t="shared" si="74"/>
        <v>435781</v>
      </c>
      <c r="CD43" s="563">
        <f t="shared" si="74"/>
        <v>822426.48899999994</v>
      </c>
      <c r="CE43" s="2064">
        <f t="shared" si="74"/>
        <v>413900.35699999996</v>
      </c>
      <c r="CF43" s="553">
        <f t="shared" si="74"/>
        <v>250</v>
      </c>
      <c r="CG43" s="563">
        <f t="shared" si="74"/>
        <v>250</v>
      </c>
      <c r="CH43" s="552">
        <f t="shared" si="74"/>
        <v>75.195999999999998</v>
      </c>
      <c r="CI43" s="553">
        <f t="shared" si="74"/>
        <v>217198</v>
      </c>
      <c r="CJ43" s="563">
        <f t="shared" si="74"/>
        <v>340172</v>
      </c>
      <c r="CK43" s="559">
        <f t="shared" si="74"/>
        <v>146775.761</v>
      </c>
      <c r="CL43" s="553">
        <f t="shared" ref="CL43:CN43" si="75">CL14+CL31</f>
        <v>38544</v>
      </c>
      <c r="CM43" s="563">
        <f t="shared" si="75"/>
        <v>15879</v>
      </c>
      <c r="CN43" s="552">
        <f t="shared" si="75"/>
        <v>15880.795999999998</v>
      </c>
      <c r="CO43" s="553">
        <f t="shared" ref="CO43:CT43" si="76">CO14+CO31</f>
        <v>246181</v>
      </c>
      <c r="CP43" s="563">
        <f t="shared" si="76"/>
        <v>237093.12400000001</v>
      </c>
      <c r="CQ43" s="552">
        <f t="shared" si="76"/>
        <v>175529.31899999999</v>
      </c>
      <c r="CR43" s="553">
        <f t="shared" si="76"/>
        <v>0</v>
      </c>
      <c r="CS43" s="360">
        <f t="shared" si="76"/>
        <v>38100</v>
      </c>
      <c r="CT43" s="552">
        <f t="shared" si="76"/>
        <v>0</v>
      </c>
      <c r="CU43" s="553">
        <f>CU14+CU31</f>
        <v>1325640</v>
      </c>
      <c r="CV43" s="360">
        <f t="shared" si="74"/>
        <v>2136653.6129999999</v>
      </c>
      <c r="CW43" s="552">
        <f t="shared" si="74"/>
        <v>1141147.649</v>
      </c>
      <c r="CX43" s="553">
        <f>CX14+CX31</f>
        <v>10266742</v>
      </c>
      <c r="CY43" s="360">
        <f t="shared" si="74"/>
        <v>12663487.591</v>
      </c>
      <c r="CZ43" s="552">
        <f t="shared" si="74"/>
        <v>8342351.3269999996</v>
      </c>
      <c r="DA43" s="553">
        <f t="shared" ref="DA43:DO43" si="77">DA14+DA31</f>
        <v>38538</v>
      </c>
      <c r="DB43" s="563">
        <f t="shared" si="77"/>
        <v>45201.286</v>
      </c>
      <c r="DC43" s="552">
        <f t="shared" si="77"/>
        <v>34636.548000000003</v>
      </c>
      <c r="DD43" s="553">
        <f t="shared" si="77"/>
        <v>83188</v>
      </c>
      <c r="DE43" s="563">
        <f t="shared" si="77"/>
        <v>87070</v>
      </c>
      <c r="DF43" s="552">
        <f t="shared" si="77"/>
        <v>69678.135999999999</v>
      </c>
      <c r="DG43" s="553">
        <f t="shared" si="77"/>
        <v>2617315</v>
      </c>
      <c r="DH43" s="563">
        <f t="shared" si="77"/>
        <v>2945521.6710000001</v>
      </c>
      <c r="DI43" s="552">
        <f t="shared" si="77"/>
        <v>2291797.6199999996</v>
      </c>
      <c r="DJ43" s="553">
        <f>DJ14+DJ31</f>
        <v>2739041</v>
      </c>
      <c r="DK43" s="563">
        <f t="shared" si="77"/>
        <v>3077792.9569999999</v>
      </c>
      <c r="DL43" s="559">
        <f t="shared" si="77"/>
        <v>2396112.304</v>
      </c>
      <c r="DM43" s="553">
        <f t="shared" si="77"/>
        <v>3431621</v>
      </c>
      <c r="DN43" s="563">
        <f t="shared" si="77"/>
        <v>3857533.5460000001</v>
      </c>
      <c r="DO43" s="552">
        <f t="shared" si="77"/>
        <v>3722469.8819999998</v>
      </c>
      <c r="DP43" s="561">
        <f t="shared" ref="DP43:DU43" si="78">DP14+DP31</f>
        <v>1788608.34</v>
      </c>
      <c r="DQ43" s="563">
        <f t="shared" si="78"/>
        <v>1943724.2919999999</v>
      </c>
      <c r="DR43" s="552">
        <f t="shared" si="78"/>
        <v>1855670.7660000001</v>
      </c>
      <c r="DS43" s="553">
        <f t="shared" si="78"/>
        <v>18226012.34</v>
      </c>
      <c r="DT43" s="563">
        <f t="shared" si="78"/>
        <v>21542538.386</v>
      </c>
      <c r="DU43" s="552">
        <f t="shared" si="78"/>
        <v>16316604.278999999</v>
      </c>
      <c r="DV43" s="1582">
        <f>DU43/DT43*100</f>
        <v>75.741326238526213</v>
      </c>
    </row>
    <row r="44" spans="1:126" s="121" customFormat="1" ht="20.100000000000001" customHeight="1" x14ac:dyDescent="0.2">
      <c r="A44" s="1414" t="s">
        <v>117</v>
      </c>
      <c r="B44" s="1415" t="s">
        <v>68</v>
      </c>
      <c r="C44" s="553">
        <f>C45+C53+C54</f>
        <v>0</v>
      </c>
      <c r="D44" s="360">
        <f t="shared" ref="D44:BO44" si="79">D45+D53+D54</f>
        <v>0</v>
      </c>
      <c r="E44" s="552">
        <f t="shared" si="79"/>
        <v>0</v>
      </c>
      <c r="F44" s="553">
        <f t="shared" si="79"/>
        <v>0</v>
      </c>
      <c r="G44" s="360">
        <f t="shared" si="79"/>
        <v>0</v>
      </c>
      <c r="H44" s="552">
        <f t="shared" si="79"/>
        <v>0</v>
      </c>
      <c r="I44" s="553">
        <f t="shared" si="79"/>
        <v>0</v>
      </c>
      <c r="J44" s="360">
        <f t="shared" si="79"/>
        <v>0</v>
      </c>
      <c r="K44" s="552">
        <f t="shared" si="79"/>
        <v>0</v>
      </c>
      <c r="L44" s="553">
        <f t="shared" si="79"/>
        <v>0</v>
      </c>
      <c r="M44" s="360">
        <f t="shared" si="79"/>
        <v>0</v>
      </c>
      <c r="N44" s="552">
        <f t="shared" si="79"/>
        <v>0</v>
      </c>
      <c r="O44" s="553">
        <f t="shared" si="79"/>
        <v>0</v>
      </c>
      <c r="P44" s="360">
        <f t="shared" si="79"/>
        <v>0</v>
      </c>
      <c r="Q44" s="552">
        <f t="shared" si="79"/>
        <v>0</v>
      </c>
      <c r="R44" s="553">
        <f t="shared" si="79"/>
        <v>0</v>
      </c>
      <c r="S44" s="360">
        <f t="shared" si="79"/>
        <v>0</v>
      </c>
      <c r="T44" s="552">
        <f t="shared" si="79"/>
        <v>0</v>
      </c>
      <c r="U44" s="553">
        <f t="shared" si="79"/>
        <v>0</v>
      </c>
      <c r="V44" s="360">
        <f t="shared" si="79"/>
        <v>0</v>
      </c>
      <c r="W44" s="552">
        <f t="shared" si="79"/>
        <v>0</v>
      </c>
      <c r="X44" s="553">
        <f t="shared" si="79"/>
        <v>0</v>
      </c>
      <c r="Y44" s="563">
        <f t="shared" si="79"/>
        <v>0</v>
      </c>
      <c r="Z44" s="552">
        <f t="shared" si="79"/>
        <v>0</v>
      </c>
      <c r="AA44" s="553">
        <f t="shared" si="79"/>
        <v>0</v>
      </c>
      <c r="AB44" s="563">
        <f t="shared" si="79"/>
        <v>0</v>
      </c>
      <c r="AC44" s="552">
        <f t="shared" si="79"/>
        <v>0</v>
      </c>
      <c r="AD44" s="553">
        <f t="shared" si="79"/>
        <v>0</v>
      </c>
      <c r="AE44" s="563">
        <f t="shared" si="79"/>
        <v>0</v>
      </c>
      <c r="AF44" s="552">
        <f t="shared" si="79"/>
        <v>0</v>
      </c>
      <c r="AG44" s="553">
        <f t="shared" si="79"/>
        <v>0</v>
      </c>
      <c r="AH44" s="563">
        <f t="shared" si="79"/>
        <v>0</v>
      </c>
      <c r="AI44" s="552">
        <f t="shared" si="79"/>
        <v>0</v>
      </c>
      <c r="AJ44" s="553">
        <f t="shared" si="79"/>
        <v>0</v>
      </c>
      <c r="AK44" s="563">
        <f t="shared" si="79"/>
        <v>0</v>
      </c>
      <c r="AL44" s="552">
        <f t="shared" si="79"/>
        <v>0</v>
      </c>
      <c r="AM44" s="553">
        <f t="shared" si="79"/>
        <v>0</v>
      </c>
      <c r="AN44" s="563">
        <f t="shared" si="79"/>
        <v>0</v>
      </c>
      <c r="AO44" s="552">
        <f t="shared" si="79"/>
        <v>0</v>
      </c>
      <c r="AP44" s="553">
        <f t="shared" si="79"/>
        <v>0</v>
      </c>
      <c r="AQ44" s="563">
        <f t="shared" si="79"/>
        <v>0</v>
      </c>
      <c r="AR44" s="552">
        <f t="shared" si="79"/>
        <v>0</v>
      </c>
      <c r="AS44" s="553">
        <f t="shared" si="79"/>
        <v>0</v>
      </c>
      <c r="AT44" s="563">
        <f t="shared" si="79"/>
        <v>0</v>
      </c>
      <c r="AU44" s="552">
        <f t="shared" si="79"/>
        <v>0</v>
      </c>
      <c r="AV44" s="553">
        <f t="shared" si="79"/>
        <v>0</v>
      </c>
      <c r="AW44" s="563">
        <f t="shared" si="79"/>
        <v>0</v>
      </c>
      <c r="AX44" s="552">
        <f t="shared" si="79"/>
        <v>0</v>
      </c>
      <c r="AY44" s="553">
        <f t="shared" si="79"/>
        <v>0</v>
      </c>
      <c r="AZ44" s="563">
        <f t="shared" si="79"/>
        <v>0</v>
      </c>
      <c r="BA44" s="552">
        <f t="shared" si="79"/>
        <v>0</v>
      </c>
      <c r="BB44" s="553">
        <f t="shared" si="79"/>
        <v>66267</v>
      </c>
      <c r="BC44" s="563">
        <f t="shared" si="79"/>
        <v>109727.535</v>
      </c>
      <c r="BD44" s="552">
        <f t="shared" si="79"/>
        <v>109727.535</v>
      </c>
      <c r="BE44" s="553">
        <f t="shared" si="79"/>
        <v>0</v>
      </c>
      <c r="BF44" s="563">
        <f t="shared" si="79"/>
        <v>7960052</v>
      </c>
      <c r="BG44" s="552">
        <f t="shared" si="79"/>
        <v>7960052</v>
      </c>
      <c r="BH44" s="553">
        <f t="shared" si="79"/>
        <v>66267</v>
      </c>
      <c r="BI44" s="563">
        <f t="shared" si="79"/>
        <v>8069779.5350000001</v>
      </c>
      <c r="BJ44" s="552">
        <f t="shared" si="79"/>
        <v>8069779.5350000001</v>
      </c>
      <c r="BK44" s="553">
        <f t="shared" si="79"/>
        <v>0</v>
      </c>
      <c r="BL44" s="563">
        <f t="shared" si="79"/>
        <v>0</v>
      </c>
      <c r="BM44" s="552">
        <f t="shared" si="79"/>
        <v>0</v>
      </c>
      <c r="BN44" s="553">
        <f t="shared" si="79"/>
        <v>0</v>
      </c>
      <c r="BO44" s="563">
        <f t="shared" si="79"/>
        <v>0</v>
      </c>
      <c r="BP44" s="552">
        <f t="shared" ref="BP44:DR44" si="80">BP45+BP53+BP54</f>
        <v>0</v>
      </c>
      <c r="BQ44" s="553">
        <f t="shared" si="80"/>
        <v>0</v>
      </c>
      <c r="BR44" s="563">
        <f t="shared" si="80"/>
        <v>0</v>
      </c>
      <c r="BS44" s="552">
        <f t="shared" si="80"/>
        <v>0</v>
      </c>
      <c r="BT44" s="553">
        <f t="shared" si="80"/>
        <v>0</v>
      </c>
      <c r="BU44" s="563">
        <f t="shared" si="80"/>
        <v>0</v>
      </c>
      <c r="BV44" s="552">
        <f t="shared" si="80"/>
        <v>0</v>
      </c>
      <c r="BW44" s="553">
        <f t="shared" si="80"/>
        <v>0</v>
      </c>
      <c r="BX44" s="563">
        <f t="shared" si="80"/>
        <v>0</v>
      </c>
      <c r="BY44" s="552">
        <f t="shared" si="80"/>
        <v>0</v>
      </c>
      <c r="BZ44" s="553">
        <f t="shared" si="80"/>
        <v>0</v>
      </c>
      <c r="CA44" s="563">
        <f t="shared" si="80"/>
        <v>0</v>
      </c>
      <c r="CB44" s="552">
        <f t="shared" si="80"/>
        <v>0</v>
      </c>
      <c r="CC44" s="553">
        <f t="shared" si="80"/>
        <v>0</v>
      </c>
      <c r="CD44" s="563">
        <f t="shared" si="80"/>
        <v>0</v>
      </c>
      <c r="CE44" s="552">
        <f t="shared" si="80"/>
        <v>0</v>
      </c>
      <c r="CF44" s="553">
        <f t="shared" si="80"/>
        <v>0</v>
      </c>
      <c r="CG44" s="563">
        <f t="shared" si="80"/>
        <v>0</v>
      </c>
      <c r="CH44" s="552">
        <f t="shared" si="80"/>
        <v>0</v>
      </c>
      <c r="CI44" s="553">
        <f t="shared" si="80"/>
        <v>0</v>
      </c>
      <c r="CJ44" s="563">
        <f t="shared" si="80"/>
        <v>0</v>
      </c>
      <c r="CK44" s="559">
        <f t="shared" si="80"/>
        <v>0</v>
      </c>
      <c r="CL44" s="553">
        <f t="shared" ref="CL44:CN44" si="81">CL45+CL53+CL54</f>
        <v>0</v>
      </c>
      <c r="CM44" s="563">
        <f t="shared" si="81"/>
        <v>0</v>
      </c>
      <c r="CN44" s="552">
        <f t="shared" si="81"/>
        <v>0</v>
      </c>
      <c r="CO44" s="553">
        <f t="shared" ref="CO44:CT44" si="82">CO45+CO53+CO54</f>
        <v>0</v>
      </c>
      <c r="CP44" s="563">
        <f t="shared" si="82"/>
        <v>0</v>
      </c>
      <c r="CQ44" s="552">
        <f t="shared" si="82"/>
        <v>0</v>
      </c>
      <c r="CR44" s="553">
        <f t="shared" si="82"/>
        <v>0</v>
      </c>
      <c r="CS44" s="360">
        <f t="shared" si="82"/>
        <v>0</v>
      </c>
      <c r="CT44" s="552">
        <f t="shared" si="82"/>
        <v>0</v>
      </c>
      <c r="CU44" s="553">
        <f t="shared" si="80"/>
        <v>0</v>
      </c>
      <c r="CV44" s="563">
        <f t="shared" si="80"/>
        <v>0</v>
      </c>
      <c r="CW44" s="552">
        <f t="shared" si="80"/>
        <v>0</v>
      </c>
      <c r="CX44" s="553">
        <f t="shared" si="80"/>
        <v>66267</v>
      </c>
      <c r="CY44" s="563">
        <f t="shared" si="80"/>
        <v>8069779.5350000001</v>
      </c>
      <c r="CZ44" s="552">
        <f t="shared" si="80"/>
        <v>8069779.5350000001</v>
      </c>
      <c r="DA44" s="553">
        <f t="shared" si="80"/>
        <v>0</v>
      </c>
      <c r="DB44" s="563">
        <f t="shared" si="80"/>
        <v>0</v>
      </c>
      <c r="DC44" s="552">
        <f t="shared" si="80"/>
        <v>0</v>
      </c>
      <c r="DD44" s="553">
        <f t="shared" si="80"/>
        <v>0</v>
      </c>
      <c r="DE44" s="563">
        <f t="shared" si="80"/>
        <v>0</v>
      </c>
      <c r="DF44" s="552">
        <f t="shared" si="80"/>
        <v>0</v>
      </c>
      <c r="DG44" s="553">
        <f t="shared" si="80"/>
        <v>0</v>
      </c>
      <c r="DH44" s="563">
        <f t="shared" si="80"/>
        <v>0</v>
      </c>
      <c r="DI44" s="552">
        <f t="shared" si="80"/>
        <v>0</v>
      </c>
      <c r="DJ44" s="553">
        <f t="shared" si="80"/>
        <v>0</v>
      </c>
      <c r="DK44" s="563">
        <f t="shared" si="80"/>
        <v>0</v>
      </c>
      <c r="DL44" s="559">
        <f t="shared" si="80"/>
        <v>0</v>
      </c>
      <c r="DM44" s="553">
        <f t="shared" si="80"/>
        <v>0</v>
      </c>
      <c r="DN44" s="563">
        <f t="shared" si="80"/>
        <v>0</v>
      </c>
      <c r="DO44" s="552">
        <f t="shared" si="80"/>
        <v>0</v>
      </c>
      <c r="DP44" s="561">
        <f>DP45+DP53+DP54</f>
        <v>0</v>
      </c>
      <c r="DQ44" s="563">
        <f t="shared" si="80"/>
        <v>0</v>
      </c>
      <c r="DR44" s="552">
        <f t="shared" si="80"/>
        <v>0</v>
      </c>
      <c r="DS44" s="553">
        <f>DS45+DS53+DS54</f>
        <v>66267</v>
      </c>
      <c r="DT44" s="563">
        <f>DT45+DT53+DT54</f>
        <v>8069779.5350000001</v>
      </c>
      <c r="DU44" s="559">
        <f>DU45+DU53+DU54</f>
        <v>8069779.5350000001</v>
      </c>
      <c r="DV44" s="1582">
        <f>DU44/DT44*100</f>
        <v>100</v>
      </c>
    </row>
    <row r="45" spans="1:126" ht="20.100000000000001" customHeight="1" x14ac:dyDescent="0.2">
      <c r="A45" s="1425" t="s">
        <v>42</v>
      </c>
      <c r="B45" s="1465" t="s">
        <v>857</v>
      </c>
      <c r="C45" s="553">
        <f t="shared" ref="C45:AH45" si="83">C46+C50+C51+C52</f>
        <v>0</v>
      </c>
      <c r="D45" s="360">
        <f t="shared" si="83"/>
        <v>0</v>
      </c>
      <c r="E45" s="552">
        <f t="shared" si="83"/>
        <v>0</v>
      </c>
      <c r="F45" s="553">
        <f t="shared" si="83"/>
        <v>0</v>
      </c>
      <c r="G45" s="360">
        <f t="shared" si="83"/>
        <v>0</v>
      </c>
      <c r="H45" s="552">
        <f t="shared" si="83"/>
        <v>0</v>
      </c>
      <c r="I45" s="553">
        <f t="shared" si="83"/>
        <v>0</v>
      </c>
      <c r="J45" s="360">
        <f t="shared" si="83"/>
        <v>0</v>
      </c>
      <c r="K45" s="552">
        <f t="shared" si="83"/>
        <v>0</v>
      </c>
      <c r="L45" s="553">
        <f t="shared" si="83"/>
        <v>0</v>
      </c>
      <c r="M45" s="360">
        <f t="shared" si="83"/>
        <v>0</v>
      </c>
      <c r="N45" s="552">
        <f t="shared" si="83"/>
        <v>0</v>
      </c>
      <c r="O45" s="553">
        <f t="shared" si="83"/>
        <v>0</v>
      </c>
      <c r="P45" s="360">
        <f t="shared" si="83"/>
        <v>0</v>
      </c>
      <c r="Q45" s="552">
        <f t="shared" si="83"/>
        <v>0</v>
      </c>
      <c r="R45" s="553">
        <f t="shared" si="83"/>
        <v>0</v>
      </c>
      <c r="S45" s="360">
        <f t="shared" si="83"/>
        <v>0</v>
      </c>
      <c r="T45" s="552">
        <f t="shared" si="83"/>
        <v>0</v>
      </c>
      <c r="U45" s="553">
        <f t="shared" si="83"/>
        <v>0</v>
      </c>
      <c r="V45" s="360">
        <f t="shared" si="83"/>
        <v>0</v>
      </c>
      <c r="W45" s="552">
        <f t="shared" si="83"/>
        <v>0</v>
      </c>
      <c r="X45" s="553">
        <f t="shared" si="83"/>
        <v>0</v>
      </c>
      <c r="Y45" s="563">
        <f t="shared" si="83"/>
        <v>0</v>
      </c>
      <c r="Z45" s="552">
        <f t="shared" si="83"/>
        <v>0</v>
      </c>
      <c r="AA45" s="553">
        <f t="shared" si="83"/>
        <v>0</v>
      </c>
      <c r="AB45" s="563">
        <f t="shared" si="83"/>
        <v>0</v>
      </c>
      <c r="AC45" s="552">
        <f t="shared" si="83"/>
        <v>0</v>
      </c>
      <c r="AD45" s="553">
        <f t="shared" si="83"/>
        <v>0</v>
      </c>
      <c r="AE45" s="563">
        <f t="shared" si="83"/>
        <v>0</v>
      </c>
      <c r="AF45" s="552">
        <f t="shared" si="83"/>
        <v>0</v>
      </c>
      <c r="AG45" s="553">
        <f t="shared" si="83"/>
        <v>0</v>
      </c>
      <c r="AH45" s="563">
        <f t="shared" si="83"/>
        <v>0</v>
      </c>
      <c r="AI45" s="552">
        <f t="shared" ref="AI45:BN45" si="84">AI46+AI50+AI51+AI52</f>
        <v>0</v>
      </c>
      <c r="AJ45" s="553">
        <f t="shared" si="84"/>
        <v>0</v>
      </c>
      <c r="AK45" s="563">
        <f t="shared" si="84"/>
        <v>0</v>
      </c>
      <c r="AL45" s="552">
        <f t="shared" si="84"/>
        <v>0</v>
      </c>
      <c r="AM45" s="553">
        <f t="shared" si="84"/>
        <v>0</v>
      </c>
      <c r="AN45" s="563">
        <f t="shared" si="84"/>
        <v>0</v>
      </c>
      <c r="AO45" s="552">
        <f t="shared" si="84"/>
        <v>0</v>
      </c>
      <c r="AP45" s="553">
        <f t="shared" si="84"/>
        <v>0</v>
      </c>
      <c r="AQ45" s="563">
        <f t="shared" si="84"/>
        <v>0</v>
      </c>
      <c r="AR45" s="552">
        <f t="shared" si="84"/>
        <v>0</v>
      </c>
      <c r="AS45" s="553">
        <f t="shared" si="84"/>
        <v>0</v>
      </c>
      <c r="AT45" s="563">
        <f t="shared" si="84"/>
        <v>0</v>
      </c>
      <c r="AU45" s="552">
        <f t="shared" si="84"/>
        <v>0</v>
      </c>
      <c r="AV45" s="553">
        <f t="shared" si="84"/>
        <v>0</v>
      </c>
      <c r="AW45" s="563">
        <f t="shared" si="84"/>
        <v>0</v>
      </c>
      <c r="AX45" s="552">
        <f t="shared" si="84"/>
        <v>0</v>
      </c>
      <c r="AY45" s="553">
        <f t="shared" si="84"/>
        <v>0</v>
      </c>
      <c r="AZ45" s="563">
        <f t="shared" si="84"/>
        <v>0</v>
      </c>
      <c r="BA45" s="552">
        <f t="shared" si="84"/>
        <v>0</v>
      </c>
      <c r="BB45" s="553">
        <f t="shared" si="84"/>
        <v>66267</v>
      </c>
      <c r="BC45" s="563">
        <f t="shared" si="84"/>
        <v>109727.535</v>
      </c>
      <c r="BD45" s="552">
        <f t="shared" si="84"/>
        <v>109727.535</v>
      </c>
      <c r="BE45" s="553">
        <f t="shared" si="84"/>
        <v>0</v>
      </c>
      <c r="BF45" s="563">
        <f t="shared" si="84"/>
        <v>7960052</v>
      </c>
      <c r="BG45" s="552">
        <f t="shared" si="84"/>
        <v>7960052</v>
      </c>
      <c r="BH45" s="553">
        <f t="shared" si="84"/>
        <v>66267</v>
      </c>
      <c r="BI45" s="360">
        <f t="shared" si="84"/>
        <v>8069779.5350000001</v>
      </c>
      <c r="BJ45" s="552">
        <f t="shared" si="84"/>
        <v>8069779.5350000001</v>
      </c>
      <c r="BK45" s="553">
        <f t="shared" si="84"/>
        <v>0</v>
      </c>
      <c r="BL45" s="563">
        <f t="shared" si="84"/>
        <v>0</v>
      </c>
      <c r="BM45" s="552">
        <f t="shared" si="84"/>
        <v>0</v>
      </c>
      <c r="BN45" s="553">
        <f t="shared" si="84"/>
        <v>0</v>
      </c>
      <c r="BO45" s="563">
        <f t="shared" ref="BO45:CW45" si="85">BO46+BO50+BO51+BO52</f>
        <v>0</v>
      </c>
      <c r="BP45" s="552">
        <f t="shared" si="85"/>
        <v>0</v>
      </c>
      <c r="BQ45" s="553">
        <f t="shared" si="85"/>
        <v>0</v>
      </c>
      <c r="BR45" s="563">
        <f t="shared" si="85"/>
        <v>0</v>
      </c>
      <c r="BS45" s="552">
        <f t="shared" si="85"/>
        <v>0</v>
      </c>
      <c r="BT45" s="553">
        <f t="shared" si="85"/>
        <v>0</v>
      </c>
      <c r="BU45" s="563">
        <f t="shared" si="85"/>
        <v>0</v>
      </c>
      <c r="BV45" s="552">
        <f t="shared" si="85"/>
        <v>0</v>
      </c>
      <c r="BW45" s="553">
        <f t="shared" si="85"/>
        <v>0</v>
      </c>
      <c r="BX45" s="563">
        <f t="shared" si="85"/>
        <v>0</v>
      </c>
      <c r="BY45" s="552">
        <f t="shared" si="85"/>
        <v>0</v>
      </c>
      <c r="BZ45" s="553">
        <f t="shared" si="85"/>
        <v>0</v>
      </c>
      <c r="CA45" s="563">
        <f t="shared" si="85"/>
        <v>0</v>
      </c>
      <c r="CB45" s="552">
        <f t="shared" si="85"/>
        <v>0</v>
      </c>
      <c r="CC45" s="553">
        <f t="shared" si="85"/>
        <v>0</v>
      </c>
      <c r="CD45" s="563">
        <f t="shared" si="85"/>
        <v>0</v>
      </c>
      <c r="CE45" s="552">
        <f t="shared" si="85"/>
        <v>0</v>
      </c>
      <c r="CF45" s="1447">
        <f t="shared" si="85"/>
        <v>0</v>
      </c>
      <c r="CG45" s="1450">
        <f t="shared" si="85"/>
        <v>0</v>
      </c>
      <c r="CH45" s="1449">
        <f t="shared" si="85"/>
        <v>0</v>
      </c>
      <c r="CI45" s="1447">
        <f t="shared" si="85"/>
        <v>0</v>
      </c>
      <c r="CJ45" s="1450">
        <f t="shared" si="85"/>
        <v>0</v>
      </c>
      <c r="CK45" s="1545">
        <f t="shared" si="85"/>
        <v>0</v>
      </c>
      <c r="CL45" s="1447">
        <f t="shared" ref="CL45:CN45" si="86">CL46+CL50+CL51+CL52</f>
        <v>0</v>
      </c>
      <c r="CM45" s="1450">
        <f t="shared" si="86"/>
        <v>0</v>
      </c>
      <c r="CN45" s="1449">
        <f t="shared" si="86"/>
        <v>0</v>
      </c>
      <c r="CO45" s="1447">
        <f t="shared" ref="CO45:CT45" si="87">CO46+CO50+CO51+CO52</f>
        <v>0</v>
      </c>
      <c r="CP45" s="1450">
        <f t="shared" si="87"/>
        <v>0</v>
      </c>
      <c r="CQ45" s="1449">
        <f t="shared" si="87"/>
        <v>0</v>
      </c>
      <c r="CR45" s="553">
        <f t="shared" si="87"/>
        <v>0</v>
      </c>
      <c r="CS45" s="360">
        <f t="shared" si="87"/>
        <v>0</v>
      </c>
      <c r="CT45" s="552">
        <f t="shared" si="87"/>
        <v>0</v>
      </c>
      <c r="CU45" s="1447">
        <f t="shared" si="85"/>
        <v>0</v>
      </c>
      <c r="CV45" s="1450">
        <f t="shared" si="85"/>
        <v>0</v>
      </c>
      <c r="CW45" s="1449">
        <f t="shared" si="85"/>
        <v>0</v>
      </c>
      <c r="CX45" s="1069">
        <f t="shared" ref="CX45:DU45" si="88">CX46+CX50+CX51+CX52</f>
        <v>66267</v>
      </c>
      <c r="CY45" s="1520">
        <f t="shared" si="88"/>
        <v>8069779.5350000001</v>
      </c>
      <c r="CZ45" s="1519">
        <f t="shared" si="88"/>
        <v>8069779.5350000001</v>
      </c>
      <c r="DA45" s="1447">
        <f t="shared" si="88"/>
        <v>0</v>
      </c>
      <c r="DB45" s="1450">
        <f t="shared" si="88"/>
        <v>0</v>
      </c>
      <c r="DC45" s="1449">
        <f t="shared" si="88"/>
        <v>0</v>
      </c>
      <c r="DD45" s="1447">
        <f t="shared" si="88"/>
        <v>0</v>
      </c>
      <c r="DE45" s="1450">
        <f t="shared" si="88"/>
        <v>0</v>
      </c>
      <c r="DF45" s="1449">
        <f t="shared" si="88"/>
        <v>0</v>
      </c>
      <c r="DG45" s="1447">
        <f t="shared" si="88"/>
        <v>0</v>
      </c>
      <c r="DH45" s="1450">
        <f t="shared" si="88"/>
        <v>0</v>
      </c>
      <c r="DI45" s="1449">
        <f t="shared" si="88"/>
        <v>0</v>
      </c>
      <c r="DJ45" s="1447">
        <f t="shared" si="88"/>
        <v>0</v>
      </c>
      <c r="DK45" s="1448">
        <f t="shared" si="88"/>
        <v>0</v>
      </c>
      <c r="DL45" s="1545">
        <f t="shared" si="88"/>
        <v>0</v>
      </c>
      <c r="DM45" s="1447">
        <f t="shared" si="88"/>
        <v>0</v>
      </c>
      <c r="DN45" s="1450">
        <f t="shared" si="88"/>
        <v>0</v>
      </c>
      <c r="DO45" s="1449">
        <f t="shared" si="88"/>
        <v>0</v>
      </c>
      <c r="DP45" s="1548">
        <f t="shared" si="88"/>
        <v>0</v>
      </c>
      <c r="DQ45" s="1450">
        <f t="shared" si="88"/>
        <v>0</v>
      </c>
      <c r="DR45" s="1449">
        <f t="shared" si="88"/>
        <v>0</v>
      </c>
      <c r="DS45" s="1447">
        <f t="shared" si="88"/>
        <v>66267</v>
      </c>
      <c r="DT45" s="1450">
        <f t="shared" si="88"/>
        <v>8069779.5350000001</v>
      </c>
      <c r="DU45" s="1545">
        <f t="shared" si="88"/>
        <v>8069779.5350000001</v>
      </c>
      <c r="DV45" s="1582">
        <f>DU45/DT45*100</f>
        <v>100</v>
      </c>
    </row>
    <row r="46" spans="1:126" ht="18" customHeight="1" x14ac:dyDescent="0.2">
      <c r="A46" s="1418" t="s">
        <v>858</v>
      </c>
      <c r="B46" s="1466" t="s">
        <v>859</v>
      </c>
      <c r="C46" s="1463"/>
      <c r="D46" s="1468"/>
      <c r="E46" s="1469"/>
      <c r="F46" s="1463"/>
      <c r="G46" s="1468"/>
      <c r="H46" s="1469"/>
      <c r="I46" s="1463"/>
      <c r="J46" s="1468"/>
      <c r="K46" s="1469"/>
      <c r="L46" s="1463"/>
      <c r="M46" s="1468"/>
      <c r="N46" s="1469"/>
      <c r="O46" s="1463"/>
      <c r="P46" s="1468"/>
      <c r="Q46" s="1469"/>
      <c r="R46" s="1463"/>
      <c r="S46" s="1468"/>
      <c r="T46" s="1469"/>
      <c r="U46" s="1463"/>
      <c r="V46" s="1468"/>
      <c r="W46" s="1469"/>
      <c r="X46" s="1463"/>
      <c r="Y46" s="1468"/>
      <c r="Z46" s="1469"/>
      <c r="AA46" s="1463"/>
      <c r="AB46" s="1468"/>
      <c r="AC46" s="1469"/>
      <c r="AD46" s="1463"/>
      <c r="AE46" s="1468"/>
      <c r="AF46" s="1469"/>
      <c r="AG46" s="1463"/>
      <c r="AH46" s="1468"/>
      <c r="AI46" s="1469"/>
      <c r="AJ46" s="1463"/>
      <c r="AK46" s="1468"/>
      <c r="AL46" s="1469"/>
      <c r="AM46" s="1463"/>
      <c r="AN46" s="1468"/>
      <c r="AO46" s="1469"/>
      <c r="AP46" s="1463"/>
      <c r="AQ46" s="1468"/>
      <c r="AR46" s="1469"/>
      <c r="AS46" s="1463"/>
      <c r="AT46" s="1468"/>
      <c r="AU46" s="1469"/>
      <c r="AV46" s="1463"/>
      <c r="AW46" s="1468"/>
      <c r="AX46" s="1469"/>
      <c r="AY46" s="1463"/>
      <c r="AZ46" s="1468"/>
      <c r="BA46" s="1469"/>
      <c r="BB46" s="1463"/>
      <c r="BC46" s="1468"/>
      <c r="BD46" s="1469"/>
      <c r="BE46" s="1494">
        <f>SUM(BE47:BE49)</f>
        <v>0</v>
      </c>
      <c r="BF46" s="1495">
        <f>SUM(BF47:BF49)</f>
        <v>0</v>
      </c>
      <c r="BG46" s="1496">
        <f>SUM(BG47:BG49)</f>
        <v>0</v>
      </c>
      <c r="BH46" s="1497">
        <f t="shared" ref="BH46:BJ48" si="89">C46+F46+I46+L46+O46+R46+U46+X46+AA46+AD46+AG46+AJ46+AM46+AP46+AS46+AV46+AY46+BB46+BE46</f>
        <v>0</v>
      </c>
      <c r="BI46" s="1515">
        <f t="shared" si="89"/>
        <v>0</v>
      </c>
      <c r="BJ46" s="1499">
        <f t="shared" si="89"/>
        <v>0</v>
      </c>
      <c r="BK46" s="1463"/>
      <c r="BL46" s="1468"/>
      <c r="BM46" s="1469"/>
      <c r="BN46" s="1463"/>
      <c r="BO46" s="1468"/>
      <c r="BP46" s="1469"/>
      <c r="BQ46" s="1463"/>
      <c r="BR46" s="1468"/>
      <c r="BS46" s="1469"/>
      <c r="BT46" s="1463"/>
      <c r="BU46" s="1468"/>
      <c r="BV46" s="1469"/>
      <c r="BW46" s="1463"/>
      <c r="BX46" s="1468"/>
      <c r="BY46" s="1469"/>
      <c r="BZ46" s="1463"/>
      <c r="CA46" s="1468"/>
      <c r="CB46" s="1469"/>
      <c r="CC46" s="1463"/>
      <c r="CD46" s="1468"/>
      <c r="CE46" s="1537"/>
      <c r="CF46" s="1463"/>
      <c r="CG46" s="1468"/>
      <c r="CH46" s="1469"/>
      <c r="CI46" s="1463"/>
      <c r="CJ46" s="1468"/>
      <c r="CK46" s="2034"/>
      <c r="CL46" s="1463"/>
      <c r="CM46" s="1468"/>
      <c r="CN46" s="1537"/>
      <c r="CO46" s="1463"/>
      <c r="CP46" s="1468"/>
      <c r="CQ46" s="1537"/>
      <c r="CR46" s="1463"/>
      <c r="CS46" s="1468"/>
      <c r="CT46" s="1469"/>
      <c r="CU46" s="1497">
        <f t="shared" ref="CU46:CU54" si="90">BK46+BN46+BQ46+BT46+BW46+BZ46+CC46+CF46+CI46+CL46+CO46+CR46</f>
        <v>0</v>
      </c>
      <c r="CV46" s="1498">
        <f t="shared" ref="CV46:CV54" si="91">BL46+BO46+BR46+BU46+BX46+CA46+CD46+CG46+CJ46+CM46+CP46+CS46</f>
        <v>0</v>
      </c>
      <c r="CW46" s="1499">
        <f t="shared" ref="CW46:CW54" si="92">BM46+BP46+BS46+BV46+BY46+CB46+CE46+CH46+CK46+CN46+CQ46+CT46</f>
        <v>0</v>
      </c>
      <c r="CX46" s="1186">
        <f t="shared" ref="CX46:CX54" si="93">BH46+CU46</f>
        <v>0</v>
      </c>
      <c r="CY46" s="1441">
        <f t="shared" ref="CY46:CY54" si="94">BI46+CV46</f>
        <v>0</v>
      </c>
      <c r="CZ46" s="1442">
        <f t="shared" ref="CZ46:CZ54" si="95">BJ46+CW46</f>
        <v>0</v>
      </c>
      <c r="DA46" s="1463"/>
      <c r="DB46" s="1468"/>
      <c r="DC46" s="1469"/>
      <c r="DD46" s="1463"/>
      <c r="DE46" s="1468"/>
      <c r="DF46" s="1469"/>
      <c r="DG46" s="1463"/>
      <c r="DH46" s="1468"/>
      <c r="DI46" s="1469"/>
      <c r="DJ46" s="555">
        <f t="shared" ref="DJ46:DJ54" si="96">DA46+DD46+DG46</f>
        <v>0</v>
      </c>
      <c r="DK46" s="560">
        <f t="shared" ref="DK46:DK54" si="97">DB46+DE46+DH46</f>
        <v>0</v>
      </c>
      <c r="DL46" s="560">
        <f t="shared" ref="DL46:DL54" si="98">DC46+DF46+DI46</f>
        <v>0</v>
      </c>
      <c r="DM46" s="1463"/>
      <c r="DN46" s="1468"/>
      <c r="DO46" s="1537"/>
      <c r="DP46" s="2048"/>
      <c r="DQ46" s="1468"/>
      <c r="DR46" s="1469"/>
      <c r="DS46" s="555">
        <f t="shared" ref="DS46:DS54" si="99">CX46+DJ46+DM46+DP46</f>
        <v>0</v>
      </c>
      <c r="DT46" s="564">
        <f t="shared" ref="DT46:DT54" si="100">CY46+DK46+DN46+DQ46</f>
        <v>0</v>
      </c>
      <c r="DU46" s="560">
        <f t="shared" ref="DU46:DU54" si="101">CZ46+DL46+DO46+DR46</f>
        <v>0</v>
      </c>
      <c r="DV46" s="1585">
        <v>0</v>
      </c>
    </row>
    <row r="47" spans="1:126" ht="15" customHeight="1" x14ac:dyDescent="0.2">
      <c r="A47" s="1426" t="s">
        <v>860</v>
      </c>
      <c r="B47" s="1427" t="s">
        <v>889</v>
      </c>
      <c r="C47" s="1464"/>
      <c r="D47" s="1470"/>
      <c r="E47" s="1471"/>
      <c r="F47" s="1464"/>
      <c r="G47" s="1470"/>
      <c r="H47" s="1471"/>
      <c r="I47" s="1464"/>
      <c r="J47" s="1470"/>
      <c r="K47" s="1471"/>
      <c r="L47" s="1464"/>
      <c r="M47" s="1470"/>
      <c r="N47" s="1471"/>
      <c r="O47" s="1464"/>
      <c r="P47" s="1470"/>
      <c r="Q47" s="1471"/>
      <c r="R47" s="1464"/>
      <c r="S47" s="1470"/>
      <c r="T47" s="1471"/>
      <c r="U47" s="1464"/>
      <c r="V47" s="1470"/>
      <c r="W47" s="1471"/>
      <c r="X47" s="1464"/>
      <c r="Y47" s="1470"/>
      <c r="Z47" s="1471"/>
      <c r="AA47" s="1464"/>
      <c r="AB47" s="1470"/>
      <c r="AC47" s="1471"/>
      <c r="AD47" s="1464"/>
      <c r="AE47" s="1470"/>
      <c r="AF47" s="1471"/>
      <c r="AG47" s="1464"/>
      <c r="AH47" s="1470"/>
      <c r="AI47" s="1471"/>
      <c r="AJ47" s="1464"/>
      <c r="AK47" s="1470"/>
      <c r="AL47" s="1471"/>
      <c r="AM47" s="1464"/>
      <c r="AN47" s="1470"/>
      <c r="AO47" s="1471"/>
      <c r="AP47" s="1464"/>
      <c r="AQ47" s="1470"/>
      <c r="AR47" s="1471"/>
      <c r="AS47" s="1464"/>
      <c r="AT47" s="1470"/>
      <c r="AU47" s="1471"/>
      <c r="AV47" s="1464"/>
      <c r="AW47" s="1470"/>
      <c r="AX47" s="1471"/>
      <c r="AY47" s="1464"/>
      <c r="AZ47" s="1470"/>
      <c r="BA47" s="1471"/>
      <c r="BB47" s="1464"/>
      <c r="BC47" s="1470"/>
      <c r="BD47" s="1471"/>
      <c r="BE47" s="1504"/>
      <c r="BF47" s="1508"/>
      <c r="BG47" s="1509"/>
      <c r="BH47" s="1505">
        <f t="shared" si="89"/>
        <v>0</v>
      </c>
      <c r="BI47" s="1506">
        <f t="shared" si="89"/>
        <v>0</v>
      </c>
      <c r="BJ47" s="1507">
        <f t="shared" si="89"/>
        <v>0</v>
      </c>
      <c r="BK47" s="1464"/>
      <c r="BL47" s="1470"/>
      <c r="BM47" s="1471"/>
      <c r="BN47" s="1464"/>
      <c r="BO47" s="1470"/>
      <c r="BP47" s="1471"/>
      <c r="BQ47" s="1464"/>
      <c r="BR47" s="1470"/>
      <c r="BS47" s="1471"/>
      <c r="BT47" s="1464"/>
      <c r="BU47" s="1470"/>
      <c r="BV47" s="1471"/>
      <c r="BW47" s="1464"/>
      <c r="BX47" s="1470"/>
      <c r="BY47" s="1471"/>
      <c r="BZ47" s="1464"/>
      <c r="CA47" s="1470"/>
      <c r="CB47" s="1471"/>
      <c r="CC47" s="1464"/>
      <c r="CD47" s="1470"/>
      <c r="CE47" s="1538"/>
      <c r="CF47" s="1464"/>
      <c r="CG47" s="1470"/>
      <c r="CH47" s="1471"/>
      <c r="CI47" s="1464"/>
      <c r="CJ47" s="1470"/>
      <c r="CK47" s="2035"/>
      <c r="CL47" s="1464"/>
      <c r="CM47" s="1470"/>
      <c r="CN47" s="1538"/>
      <c r="CO47" s="1464"/>
      <c r="CP47" s="1470"/>
      <c r="CQ47" s="1538"/>
      <c r="CR47" s="1464"/>
      <c r="CS47" s="1470"/>
      <c r="CT47" s="1471"/>
      <c r="CU47" s="1504">
        <f t="shared" si="90"/>
        <v>0</v>
      </c>
      <c r="CV47" s="1508">
        <f t="shared" si="91"/>
        <v>0</v>
      </c>
      <c r="CW47" s="1509">
        <f t="shared" si="92"/>
        <v>0</v>
      </c>
      <c r="CX47" s="1504">
        <f t="shared" si="93"/>
        <v>0</v>
      </c>
      <c r="CY47" s="1539">
        <f t="shared" si="94"/>
        <v>0</v>
      </c>
      <c r="CZ47" s="1509">
        <f t="shared" si="95"/>
        <v>0</v>
      </c>
      <c r="DA47" s="1464"/>
      <c r="DB47" s="1470"/>
      <c r="DC47" s="1471"/>
      <c r="DD47" s="1464"/>
      <c r="DE47" s="1470"/>
      <c r="DF47" s="1471"/>
      <c r="DG47" s="1464"/>
      <c r="DH47" s="1470"/>
      <c r="DI47" s="1471"/>
      <c r="DJ47" s="555">
        <f t="shared" si="96"/>
        <v>0</v>
      </c>
      <c r="DK47" s="560">
        <f t="shared" si="97"/>
        <v>0</v>
      </c>
      <c r="DL47" s="560">
        <f t="shared" si="98"/>
        <v>0</v>
      </c>
      <c r="DM47" s="1464"/>
      <c r="DN47" s="1470"/>
      <c r="DO47" s="1538"/>
      <c r="DP47" s="2049"/>
      <c r="DQ47" s="1470"/>
      <c r="DR47" s="1471"/>
      <c r="DS47" s="1504">
        <f t="shared" si="99"/>
        <v>0</v>
      </c>
      <c r="DT47" s="1508">
        <f t="shared" si="100"/>
        <v>0</v>
      </c>
      <c r="DU47" s="1576">
        <f t="shared" si="101"/>
        <v>0</v>
      </c>
      <c r="DV47" s="1583">
        <v>0</v>
      </c>
    </row>
    <row r="48" spans="1:126" ht="15" customHeight="1" x14ac:dyDescent="0.2">
      <c r="A48" s="1426" t="s">
        <v>861</v>
      </c>
      <c r="B48" s="1427" t="s">
        <v>890</v>
      </c>
      <c r="C48" s="1464"/>
      <c r="D48" s="1470"/>
      <c r="E48" s="1471"/>
      <c r="F48" s="1464"/>
      <c r="G48" s="1470"/>
      <c r="H48" s="1471"/>
      <c r="I48" s="1464"/>
      <c r="J48" s="1470"/>
      <c r="K48" s="1471"/>
      <c r="L48" s="1464"/>
      <c r="M48" s="1470"/>
      <c r="N48" s="1471"/>
      <c r="O48" s="1464"/>
      <c r="P48" s="1470"/>
      <c r="Q48" s="1471"/>
      <c r="R48" s="1464"/>
      <c r="S48" s="1470"/>
      <c r="T48" s="1471"/>
      <c r="U48" s="1464"/>
      <c r="V48" s="1470"/>
      <c r="W48" s="1471"/>
      <c r="X48" s="1464"/>
      <c r="Y48" s="1470"/>
      <c r="Z48" s="1471"/>
      <c r="AA48" s="1464"/>
      <c r="AB48" s="1470"/>
      <c r="AC48" s="1471"/>
      <c r="AD48" s="1464"/>
      <c r="AE48" s="1470"/>
      <c r="AF48" s="1471"/>
      <c r="AG48" s="1464"/>
      <c r="AH48" s="1470"/>
      <c r="AI48" s="1471"/>
      <c r="AJ48" s="1464"/>
      <c r="AK48" s="1470"/>
      <c r="AL48" s="1471"/>
      <c r="AM48" s="1464"/>
      <c r="AN48" s="1470"/>
      <c r="AO48" s="1471"/>
      <c r="AP48" s="1464"/>
      <c r="AQ48" s="1470"/>
      <c r="AR48" s="1471"/>
      <c r="AS48" s="1464"/>
      <c r="AT48" s="1470"/>
      <c r="AU48" s="1471"/>
      <c r="AV48" s="1464"/>
      <c r="AW48" s="1470"/>
      <c r="AX48" s="1471"/>
      <c r="AY48" s="1464"/>
      <c r="AZ48" s="1470"/>
      <c r="BA48" s="1471"/>
      <c r="BB48" s="1464"/>
      <c r="BC48" s="1470"/>
      <c r="BD48" s="1471"/>
      <c r="BE48" s="1464"/>
      <c r="BF48" s="1470"/>
      <c r="BG48" s="1471"/>
      <c r="BH48" s="1482">
        <f t="shared" si="89"/>
        <v>0</v>
      </c>
      <c r="BI48" s="1483">
        <f t="shared" si="89"/>
        <v>0</v>
      </c>
      <c r="BJ48" s="1484">
        <f t="shared" si="89"/>
        <v>0</v>
      </c>
      <c r="BK48" s="1464"/>
      <c r="BL48" s="1470"/>
      <c r="BM48" s="1471"/>
      <c r="BN48" s="1464"/>
      <c r="BO48" s="1470"/>
      <c r="BP48" s="1471"/>
      <c r="BQ48" s="1464"/>
      <c r="BR48" s="1470"/>
      <c r="BS48" s="1471"/>
      <c r="BT48" s="1464"/>
      <c r="BU48" s="1470"/>
      <c r="BV48" s="1471"/>
      <c r="BW48" s="1464"/>
      <c r="BX48" s="1470"/>
      <c r="BY48" s="1471"/>
      <c r="BZ48" s="1464"/>
      <c r="CA48" s="1470"/>
      <c r="CB48" s="1471"/>
      <c r="CC48" s="1464"/>
      <c r="CD48" s="1470"/>
      <c r="CE48" s="1538"/>
      <c r="CF48" s="1464"/>
      <c r="CG48" s="1470"/>
      <c r="CH48" s="1471"/>
      <c r="CI48" s="1464"/>
      <c r="CJ48" s="1470"/>
      <c r="CK48" s="2035"/>
      <c r="CL48" s="1464"/>
      <c r="CM48" s="1470"/>
      <c r="CN48" s="1538"/>
      <c r="CO48" s="1464"/>
      <c r="CP48" s="1470"/>
      <c r="CQ48" s="1538"/>
      <c r="CR48" s="1464"/>
      <c r="CS48" s="1470"/>
      <c r="CT48" s="1471"/>
      <c r="CU48" s="1504">
        <f t="shared" si="90"/>
        <v>0</v>
      </c>
      <c r="CV48" s="1508">
        <f t="shared" si="91"/>
        <v>0</v>
      </c>
      <c r="CW48" s="1509">
        <f t="shared" si="92"/>
        <v>0</v>
      </c>
      <c r="CX48" s="1504">
        <f t="shared" si="93"/>
        <v>0</v>
      </c>
      <c r="CY48" s="1539">
        <f t="shared" si="94"/>
        <v>0</v>
      </c>
      <c r="CZ48" s="1509">
        <f t="shared" si="95"/>
        <v>0</v>
      </c>
      <c r="DA48" s="1464"/>
      <c r="DB48" s="1470"/>
      <c r="DC48" s="1471"/>
      <c r="DD48" s="1464"/>
      <c r="DE48" s="1470"/>
      <c r="DF48" s="1471"/>
      <c r="DG48" s="1464"/>
      <c r="DH48" s="1470"/>
      <c r="DI48" s="1471"/>
      <c r="DJ48" s="555">
        <f t="shared" si="96"/>
        <v>0</v>
      </c>
      <c r="DK48" s="560">
        <f t="shared" si="97"/>
        <v>0</v>
      </c>
      <c r="DL48" s="560">
        <f t="shared" si="98"/>
        <v>0</v>
      </c>
      <c r="DM48" s="1464"/>
      <c r="DN48" s="1470"/>
      <c r="DO48" s="1538"/>
      <c r="DP48" s="2049"/>
      <c r="DQ48" s="1470"/>
      <c r="DR48" s="1471"/>
      <c r="DS48" s="555">
        <f t="shared" si="99"/>
        <v>0</v>
      </c>
      <c r="DT48" s="564">
        <f t="shared" si="100"/>
        <v>0</v>
      </c>
      <c r="DU48" s="560">
        <f t="shared" si="101"/>
        <v>0</v>
      </c>
      <c r="DV48" s="1583">
        <v>0</v>
      </c>
    </row>
    <row r="49" spans="1:126" ht="15" customHeight="1" x14ac:dyDescent="0.2">
      <c r="A49" s="1426" t="s">
        <v>862</v>
      </c>
      <c r="B49" s="1427" t="s">
        <v>863</v>
      </c>
      <c r="C49" s="1464"/>
      <c r="D49" s="1470"/>
      <c r="E49" s="1471"/>
      <c r="F49" s="1464"/>
      <c r="G49" s="1470"/>
      <c r="H49" s="1471"/>
      <c r="I49" s="1464"/>
      <c r="J49" s="1470"/>
      <c r="K49" s="1471"/>
      <c r="L49" s="1464"/>
      <c r="M49" s="1470"/>
      <c r="N49" s="1471"/>
      <c r="O49" s="1464"/>
      <c r="P49" s="1470"/>
      <c r="Q49" s="1471"/>
      <c r="R49" s="1464"/>
      <c r="S49" s="1470"/>
      <c r="T49" s="1471"/>
      <c r="U49" s="1464"/>
      <c r="V49" s="1470"/>
      <c r="W49" s="1471"/>
      <c r="X49" s="1464"/>
      <c r="Y49" s="1470"/>
      <c r="Z49" s="1471"/>
      <c r="AA49" s="1464"/>
      <c r="AB49" s="1470"/>
      <c r="AC49" s="1471"/>
      <c r="AD49" s="1464"/>
      <c r="AE49" s="1470"/>
      <c r="AF49" s="1471"/>
      <c r="AG49" s="1464"/>
      <c r="AH49" s="1470"/>
      <c r="AI49" s="1471"/>
      <c r="AJ49" s="1464"/>
      <c r="AK49" s="1470"/>
      <c r="AL49" s="1471"/>
      <c r="AM49" s="1464"/>
      <c r="AN49" s="1470"/>
      <c r="AO49" s="1471"/>
      <c r="AP49" s="1464"/>
      <c r="AQ49" s="1470"/>
      <c r="AR49" s="1471"/>
      <c r="AS49" s="1464"/>
      <c r="AT49" s="1470"/>
      <c r="AU49" s="1471"/>
      <c r="AV49" s="1464"/>
      <c r="AW49" s="1470"/>
      <c r="AX49" s="1471"/>
      <c r="AY49" s="1464"/>
      <c r="AZ49" s="1470"/>
      <c r="BA49" s="1471"/>
      <c r="BB49" s="1464"/>
      <c r="BC49" s="1470"/>
      <c r="BD49" s="1471"/>
      <c r="BE49" s="1464"/>
      <c r="BF49" s="1470"/>
      <c r="BG49" s="1471"/>
      <c r="BH49" s="1482">
        <f t="shared" ref="BH49:BH54" si="102">C49+F49+I49+L49+O49+R49+U49+X49+AA49+AD49+AG49+AJ49+AM49+AP49+AS49+AV49+AY49+BB49+BE49</f>
        <v>0</v>
      </c>
      <c r="BI49" s="1483">
        <f t="shared" ref="BI49:BI54" si="103">D49+G49+J49+M49+P49+S49+V49+Y49+AB49+AE49+AH49+AK49+AN49+AQ49+AT49+AW49+AZ49+BC49+BF49</f>
        <v>0</v>
      </c>
      <c r="BJ49" s="1484">
        <f t="shared" ref="BJ49:BJ54" si="104">E49+H49+K49+N49+Q49+T49+W49+Z49+AC49+AF49+AI49+AL49+AO49+AR49+AU49+AX49+BA49+BD49+BG49</f>
        <v>0</v>
      </c>
      <c r="BK49" s="1464"/>
      <c r="BL49" s="1470"/>
      <c r="BM49" s="1471"/>
      <c r="BN49" s="1464"/>
      <c r="BO49" s="1470"/>
      <c r="BP49" s="1471"/>
      <c r="BQ49" s="1464"/>
      <c r="BR49" s="1470"/>
      <c r="BS49" s="1471"/>
      <c r="BT49" s="1464"/>
      <c r="BU49" s="1470"/>
      <c r="BV49" s="1471"/>
      <c r="BW49" s="1464"/>
      <c r="BX49" s="1470"/>
      <c r="BY49" s="1471"/>
      <c r="BZ49" s="1464"/>
      <c r="CA49" s="1470"/>
      <c r="CB49" s="1471"/>
      <c r="CC49" s="1464"/>
      <c r="CD49" s="1470"/>
      <c r="CE49" s="1471"/>
      <c r="CF49" s="1464"/>
      <c r="CG49" s="1470"/>
      <c r="CH49" s="1471"/>
      <c r="CI49" s="1464"/>
      <c r="CJ49" s="1470"/>
      <c r="CK49" s="2035"/>
      <c r="CL49" s="1464"/>
      <c r="CM49" s="1470"/>
      <c r="CN49" s="1538"/>
      <c r="CO49" s="1464"/>
      <c r="CP49" s="1470"/>
      <c r="CQ49" s="1538"/>
      <c r="CR49" s="1464"/>
      <c r="CS49" s="1470"/>
      <c r="CT49" s="1471"/>
      <c r="CU49" s="1451">
        <f t="shared" si="90"/>
        <v>0</v>
      </c>
      <c r="CV49" s="1454">
        <f t="shared" si="91"/>
        <v>0</v>
      </c>
      <c r="CW49" s="1453">
        <f t="shared" si="92"/>
        <v>0</v>
      </c>
      <c r="CX49" s="1504">
        <f t="shared" si="93"/>
        <v>0</v>
      </c>
      <c r="CY49" s="1539">
        <f t="shared" si="94"/>
        <v>0</v>
      </c>
      <c r="CZ49" s="1509">
        <f t="shared" si="95"/>
        <v>0</v>
      </c>
      <c r="DA49" s="1464"/>
      <c r="DB49" s="1470"/>
      <c r="DC49" s="1471"/>
      <c r="DD49" s="1464"/>
      <c r="DE49" s="1470"/>
      <c r="DF49" s="1471"/>
      <c r="DG49" s="1464"/>
      <c r="DH49" s="1470"/>
      <c r="DI49" s="1471"/>
      <c r="DJ49" s="555">
        <f t="shared" si="96"/>
        <v>0</v>
      </c>
      <c r="DK49" s="560">
        <f t="shared" si="97"/>
        <v>0</v>
      </c>
      <c r="DL49" s="560">
        <f t="shared" si="98"/>
        <v>0</v>
      </c>
      <c r="DM49" s="1464"/>
      <c r="DN49" s="1470"/>
      <c r="DO49" s="1538"/>
      <c r="DP49" s="2049"/>
      <c r="DQ49" s="1470"/>
      <c r="DR49" s="1471"/>
      <c r="DS49" s="555">
        <f t="shared" si="99"/>
        <v>0</v>
      </c>
      <c r="DT49" s="564">
        <f t="shared" si="100"/>
        <v>0</v>
      </c>
      <c r="DU49" s="560">
        <f t="shared" si="101"/>
        <v>0</v>
      </c>
      <c r="DV49" s="1583">
        <v>0</v>
      </c>
    </row>
    <row r="50" spans="1:126" ht="18" customHeight="1" x14ac:dyDescent="0.2">
      <c r="A50" s="1418" t="s">
        <v>864</v>
      </c>
      <c r="B50" s="1419" t="s">
        <v>891</v>
      </c>
      <c r="C50" s="1464"/>
      <c r="D50" s="1470"/>
      <c r="E50" s="1471"/>
      <c r="F50" s="1464"/>
      <c r="G50" s="1470"/>
      <c r="H50" s="1471"/>
      <c r="I50" s="1464"/>
      <c r="J50" s="1470"/>
      <c r="K50" s="1471"/>
      <c r="L50" s="1464"/>
      <c r="M50" s="1470"/>
      <c r="N50" s="1471"/>
      <c r="O50" s="1464"/>
      <c r="P50" s="1470"/>
      <c r="Q50" s="1471"/>
      <c r="R50" s="1464"/>
      <c r="S50" s="1470"/>
      <c r="T50" s="1471"/>
      <c r="U50" s="1464"/>
      <c r="V50" s="1470"/>
      <c r="W50" s="1471"/>
      <c r="X50" s="1464"/>
      <c r="Y50" s="1470"/>
      <c r="Z50" s="1471"/>
      <c r="AA50" s="1464"/>
      <c r="AB50" s="1470"/>
      <c r="AC50" s="1471"/>
      <c r="AD50" s="1464"/>
      <c r="AE50" s="1470"/>
      <c r="AF50" s="1471"/>
      <c r="AG50" s="1464"/>
      <c r="AH50" s="1470"/>
      <c r="AI50" s="1471"/>
      <c r="AJ50" s="1464"/>
      <c r="AK50" s="1470"/>
      <c r="AL50" s="1471"/>
      <c r="AM50" s="1464"/>
      <c r="AN50" s="1470"/>
      <c r="AO50" s="1471"/>
      <c r="AP50" s="1464"/>
      <c r="AQ50" s="1470"/>
      <c r="AR50" s="1471"/>
      <c r="AS50" s="1464"/>
      <c r="AT50" s="1470"/>
      <c r="AU50" s="1471"/>
      <c r="AV50" s="1464"/>
      <c r="AW50" s="1470"/>
      <c r="AX50" s="1471"/>
      <c r="AY50" s="1464"/>
      <c r="AZ50" s="1470"/>
      <c r="BA50" s="1471"/>
      <c r="BB50" s="1464"/>
      <c r="BC50" s="1470"/>
      <c r="BD50" s="1471"/>
      <c r="BE50" s="555"/>
      <c r="BF50" s="564">
        <v>7960052</v>
      </c>
      <c r="BG50" s="554">
        <v>7960052</v>
      </c>
      <c r="BH50" s="1482">
        <f t="shared" si="102"/>
        <v>0</v>
      </c>
      <c r="BI50" s="1483">
        <f t="shared" si="103"/>
        <v>7960052</v>
      </c>
      <c r="BJ50" s="1484">
        <f t="shared" si="104"/>
        <v>7960052</v>
      </c>
      <c r="BK50" s="1464"/>
      <c r="BL50" s="1470"/>
      <c r="BM50" s="1471"/>
      <c r="BN50" s="1464"/>
      <c r="BO50" s="1470"/>
      <c r="BP50" s="1471"/>
      <c r="BQ50" s="1464"/>
      <c r="BR50" s="1470"/>
      <c r="BS50" s="1471"/>
      <c r="BT50" s="1464"/>
      <c r="BU50" s="1470"/>
      <c r="BV50" s="1471"/>
      <c r="BW50" s="1464"/>
      <c r="BX50" s="1470"/>
      <c r="BY50" s="1471"/>
      <c r="BZ50" s="1464"/>
      <c r="CA50" s="1470"/>
      <c r="CB50" s="1471"/>
      <c r="CC50" s="1464"/>
      <c r="CD50" s="1470"/>
      <c r="CE50" s="1471"/>
      <c r="CF50" s="1464"/>
      <c r="CG50" s="1470"/>
      <c r="CH50" s="1471"/>
      <c r="CI50" s="1464"/>
      <c r="CJ50" s="1470"/>
      <c r="CK50" s="2035"/>
      <c r="CL50" s="1464"/>
      <c r="CM50" s="1470"/>
      <c r="CN50" s="1538"/>
      <c r="CO50" s="1464"/>
      <c r="CP50" s="1470"/>
      <c r="CQ50" s="1538"/>
      <c r="CR50" s="1464"/>
      <c r="CS50" s="1470"/>
      <c r="CT50" s="1471"/>
      <c r="CU50" s="1451">
        <f t="shared" si="90"/>
        <v>0</v>
      </c>
      <c r="CV50" s="1454">
        <f t="shared" si="91"/>
        <v>0</v>
      </c>
      <c r="CW50" s="1453">
        <f t="shared" si="92"/>
        <v>0</v>
      </c>
      <c r="CX50" s="1186">
        <f t="shared" si="93"/>
        <v>0</v>
      </c>
      <c r="CY50" s="1441">
        <f t="shared" si="94"/>
        <v>7960052</v>
      </c>
      <c r="CZ50" s="1442">
        <f t="shared" si="95"/>
        <v>7960052</v>
      </c>
      <c r="DA50" s="1464"/>
      <c r="DB50" s="1470"/>
      <c r="DC50" s="1471"/>
      <c r="DD50" s="1464"/>
      <c r="DE50" s="1470"/>
      <c r="DF50" s="1471"/>
      <c r="DG50" s="1464"/>
      <c r="DH50" s="1470"/>
      <c r="DI50" s="1471"/>
      <c r="DJ50" s="555">
        <f t="shared" si="96"/>
        <v>0</v>
      </c>
      <c r="DK50" s="560">
        <f t="shared" si="97"/>
        <v>0</v>
      </c>
      <c r="DL50" s="560">
        <f t="shared" si="98"/>
        <v>0</v>
      </c>
      <c r="DM50" s="1464"/>
      <c r="DN50" s="1470"/>
      <c r="DO50" s="1538"/>
      <c r="DP50" s="2049"/>
      <c r="DQ50" s="1470"/>
      <c r="DR50" s="1471"/>
      <c r="DS50" s="555">
        <f t="shared" si="99"/>
        <v>0</v>
      </c>
      <c r="DT50" s="564">
        <f t="shared" si="100"/>
        <v>7960052</v>
      </c>
      <c r="DU50" s="560">
        <f t="shared" si="101"/>
        <v>7960052</v>
      </c>
      <c r="DV50" s="1583">
        <f>DU50/DT50*100</f>
        <v>100</v>
      </c>
    </row>
    <row r="51" spans="1:126" ht="18" customHeight="1" x14ac:dyDescent="0.2">
      <c r="A51" s="1418" t="s">
        <v>865</v>
      </c>
      <c r="B51" s="1419" t="s">
        <v>1180</v>
      </c>
      <c r="C51" s="1464"/>
      <c r="D51" s="1470"/>
      <c r="E51" s="1471"/>
      <c r="F51" s="1464"/>
      <c r="G51" s="1470"/>
      <c r="H51" s="1471"/>
      <c r="I51" s="1464"/>
      <c r="J51" s="1470"/>
      <c r="K51" s="1471"/>
      <c r="L51" s="1464"/>
      <c r="M51" s="1470"/>
      <c r="N51" s="1471"/>
      <c r="O51" s="1464"/>
      <c r="P51" s="1470"/>
      <c r="Q51" s="1471"/>
      <c r="R51" s="1464"/>
      <c r="S51" s="1470"/>
      <c r="T51" s="1471"/>
      <c r="U51" s="1464"/>
      <c r="V51" s="1470"/>
      <c r="W51" s="1471"/>
      <c r="X51" s="1464"/>
      <c r="Y51" s="1470"/>
      <c r="Z51" s="1471"/>
      <c r="AA51" s="1464"/>
      <c r="AB51" s="1470"/>
      <c r="AC51" s="1471"/>
      <c r="AD51" s="1464"/>
      <c r="AE51" s="1470"/>
      <c r="AF51" s="1471"/>
      <c r="AG51" s="1464"/>
      <c r="AH51" s="1470"/>
      <c r="AI51" s="1471"/>
      <c r="AJ51" s="1464"/>
      <c r="AK51" s="1470"/>
      <c r="AL51" s="1471"/>
      <c r="AM51" s="1464"/>
      <c r="AN51" s="1470"/>
      <c r="AO51" s="1471"/>
      <c r="AP51" s="1464"/>
      <c r="AQ51" s="1470"/>
      <c r="AR51" s="1471"/>
      <c r="AS51" s="1464"/>
      <c r="AT51" s="1470"/>
      <c r="AU51" s="1471"/>
      <c r="AV51" s="1464"/>
      <c r="AW51" s="1470"/>
      <c r="AX51" s="1471"/>
      <c r="AY51" s="1464"/>
      <c r="AZ51" s="1470"/>
      <c r="BA51" s="1471"/>
      <c r="BB51" s="555">
        <v>66267</v>
      </c>
      <c r="BC51" s="564">
        <v>109727.535</v>
      </c>
      <c r="BD51" s="554">
        <v>109727.535</v>
      </c>
      <c r="BE51" s="1464"/>
      <c r="BF51" s="564"/>
      <c r="BG51" s="1471"/>
      <c r="BH51" s="1482">
        <f t="shared" si="102"/>
        <v>66267</v>
      </c>
      <c r="BI51" s="1483">
        <f t="shared" si="103"/>
        <v>109727.535</v>
      </c>
      <c r="BJ51" s="1484">
        <f t="shared" si="104"/>
        <v>109727.535</v>
      </c>
      <c r="BK51" s="1464"/>
      <c r="BL51" s="1470"/>
      <c r="BM51" s="1471"/>
      <c r="BN51" s="1464"/>
      <c r="BO51" s="1470"/>
      <c r="BP51" s="1471"/>
      <c r="BQ51" s="1464"/>
      <c r="BR51" s="1470"/>
      <c r="BS51" s="1471"/>
      <c r="BT51" s="1464"/>
      <c r="BU51" s="1470"/>
      <c r="BV51" s="1471"/>
      <c r="BW51" s="1464"/>
      <c r="BX51" s="1470"/>
      <c r="BY51" s="1471"/>
      <c r="BZ51" s="1464"/>
      <c r="CA51" s="1470"/>
      <c r="CB51" s="1471"/>
      <c r="CC51" s="1464"/>
      <c r="CD51" s="1470"/>
      <c r="CE51" s="1471"/>
      <c r="CF51" s="1464"/>
      <c r="CG51" s="1470"/>
      <c r="CH51" s="1471"/>
      <c r="CI51" s="1464"/>
      <c r="CJ51" s="1470"/>
      <c r="CK51" s="2035"/>
      <c r="CL51" s="1464"/>
      <c r="CM51" s="1470"/>
      <c r="CN51" s="1538"/>
      <c r="CO51" s="1464"/>
      <c r="CP51" s="1470"/>
      <c r="CQ51" s="1538"/>
      <c r="CR51" s="1464"/>
      <c r="CS51" s="1470"/>
      <c r="CT51" s="1471"/>
      <c r="CU51" s="1451">
        <f t="shared" si="90"/>
        <v>0</v>
      </c>
      <c r="CV51" s="1454">
        <f t="shared" si="91"/>
        <v>0</v>
      </c>
      <c r="CW51" s="1453">
        <f t="shared" si="92"/>
        <v>0</v>
      </c>
      <c r="CX51" s="1186">
        <f t="shared" si="93"/>
        <v>66267</v>
      </c>
      <c r="CY51" s="1441">
        <f t="shared" si="94"/>
        <v>109727.535</v>
      </c>
      <c r="CZ51" s="1442">
        <f t="shared" si="95"/>
        <v>109727.535</v>
      </c>
      <c r="DA51" s="1464"/>
      <c r="DB51" s="1470"/>
      <c r="DC51" s="1471"/>
      <c r="DD51" s="1464"/>
      <c r="DE51" s="1470"/>
      <c r="DF51" s="1471"/>
      <c r="DG51" s="1464"/>
      <c r="DH51" s="1470"/>
      <c r="DI51" s="1471"/>
      <c r="DJ51" s="555">
        <f t="shared" si="96"/>
        <v>0</v>
      </c>
      <c r="DK51" s="560">
        <f t="shared" si="97"/>
        <v>0</v>
      </c>
      <c r="DL51" s="560">
        <f t="shared" si="98"/>
        <v>0</v>
      </c>
      <c r="DM51" s="1464"/>
      <c r="DN51" s="1470"/>
      <c r="DO51" s="1538"/>
      <c r="DP51" s="2049"/>
      <c r="DQ51" s="1470"/>
      <c r="DR51" s="1471"/>
      <c r="DS51" s="555">
        <f t="shared" si="99"/>
        <v>66267</v>
      </c>
      <c r="DT51" s="564">
        <f t="shared" si="100"/>
        <v>109727.535</v>
      </c>
      <c r="DU51" s="560">
        <f t="shared" si="101"/>
        <v>109727.535</v>
      </c>
      <c r="DV51" s="1583">
        <f>DU51/DT51*100</f>
        <v>100</v>
      </c>
    </row>
    <row r="52" spans="1:126" ht="18" customHeight="1" x14ac:dyDescent="0.2">
      <c r="A52" s="1418" t="s">
        <v>866</v>
      </c>
      <c r="B52" s="1419" t="s">
        <v>892</v>
      </c>
      <c r="C52" s="1464"/>
      <c r="D52" s="1470"/>
      <c r="E52" s="1471"/>
      <c r="F52" s="1464"/>
      <c r="G52" s="1470"/>
      <c r="H52" s="1471"/>
      <c r="I52" s="1464"/>
      <c r="J52" s="1470"/>
      <c r="K52" s="1471"/>
      <c r="L52" s="1464"/>
      <c r="M52" s="1470"/>
      <c r="N52" s="1471"/>
      <c r="O52" s="1464"/>
      <c r="P52" s="1470"/>
      <c r="Q52" s="1471"/>
      <c r="R52" s="1464"/>
      <c r="S52" s="1470"/>
      <c r="T52" s="1471"/>
      <c r="U52" s="1464"/>
      <c r="V52" s="1470"/>
      <c r="W52" s="1471"/>
      <c r="X52" s="1464"/>
      <c r="Y52" s="1470"/>
      <c r="Z52" s="1471"/>
      <c r="AA52" s="1464"/>
      <c r="AB52" s="1470"/>
      <c r="AC52" s="1471"/>
      <c r="AD52" s="1464"/>
      <c r="AE52" s="1470"/>
      <c r="AF52" s="1471"/>
      <c r="AG52" s="1464"/>
      <c r="AH52" s="1470"/>
      <c r="AI52" s="1471"/>
      <c r="AJ52" s="1464"/>
      <c r="AK52" s="1470"/>
      <c r="AL52" s="1471"/>
      <c r="AM52" s="1464"/>
      <c r="AN52" s="1470"/>
      <c r="AO52" s="1471"/>
      <c r="AP52" s="1464"/>
      <c r="AQ52" s="1470"/>
      <c r="AR52" s="1471"/>
      <c r="AS52" s="1464"/>
      <c r="AT52" s="1470"/>
      <c r="AU52" s="1471"/>
      <c r="AV52" s="1464"/>
      <c r="AW52" s="1470"/>
      <c r="AX52" s="1471"/>
      <c r="AY52" s="1464"/>
      <c r="AZ52" s="1470"/>
      <c r="BA52" s="1471"/>
      <c r="BB52" s="1464"/>
      <c r="BC52" s="1470"/>
      <c r="BD52" s="1471"/>
      <c r="BE52" s="1464"/>
      <c r="BF52" s="1470"/>
      <c r="BG52" s="1471"/>
      <c r="BH52" s="1501">
        <f t="shared" si="102"/>
        <v>0</v>
      </c>
      <c r="BI52" s="1502">
        <f t="shared" si="103"/>
        <v>0</v>
      </c>
      <c r="BJ52" s="1503">
        <f t="shared" si="104"/>
        <v>0</v>
      </c>
      <c r="BK52" s="1464"/>
      <c r="BL52" s="1470"/>
      <c r="BM52" s="1471"/>
      <c r="BN52" s="1464"/>
      <c r="BO52" s="1470"/>
      <c r="BP52" s="1471"/>
      <c r="BQ52" s="1464"/>
      <c r="BR52" s="1470"/>
      <c r="BS52" s="1471"/>
      <c r="BT52" s="1464"/>
      <c r="BU52" s="1470"/>
      <c r="BV52" s="1471"/>
      <c r="BW52" s="1464"/>
      <c r="BX52" s="1470"/>
      <c r="BY52" s="1471"/>
      <c r="BZ52" s="1464"/>
      <c r="CA52" s="1470"/>
      <c r="CB52" s="1471"/>
      <c r="CC52" s="1464"/>
      <c r="CD52" s="1470"/>
      <c r="CE52" s="1471"/>
      <c r="CF52" s="1464"/>
      <c r="CG52" s="1470"/>
      <c r="CH52" s="1471"/>
      <c r="CI52" s="1464"/>
      <c r="CJ52" s="1470"/>
      <c r="CK52" s="2035"/>
      <c r="CL52" s="1464"/>
      <c r="CM52" s="1470"/>
      <c r="CN52" s="1538"/>
      <c r="CO52" s="1464"/>
      <c r="CP52" s="1470"/>
      <c r="CQ52" s="1538"/>
      <c r="CR52" s="1464"/>
      <c r="CS52" s="1470"/>
      <c r="CT52" s="1471"/>
      <c r="CU52" s="1486">
        <f t="shared" si="90"/>
        <v>0</v>
      </c>
      <c r="CV52" s="1489">
        <f t="shared" si="91"/>
        <v>0</v>
      </c>
      <c r="CW52" s="1488">
        <f t="shared" si="92"/>
        <v>0</v>
      </c>
      <c r="CX52" s="1433">
        <f t="shared" si="93"/>
        <v>0</v>
      </c>
      <c r="CY52" s="1434">
        <f t="shared" si="94"/>
        <v>0</v>
      </c>
      <c r="CZ52" s="1435">
        <f t="shared" si="95"/>
        <v>0</v>
      </c>
      <c r="DA52" s="1464"/>
      <c r="DB52" s="1470"/>
      <c r="DC52" s="1471"/>
      <c r="DD52" s="1464"/>
      <c r="DE52" s="1470"/>
      <c r="DF52" s="1471"/>
      <c r="DG52" s="1464"/>
      <c r="DH52" s="1470"/>
      <c r="DI52" s="1471"/>
      <c r="DJ52" s="1486">
        <f t="shared" si="96"/>
        <v>0</v>
      </c>
      <c r="DK52" s="1543">
        <f t="shared" si="97"/>
        <v>0</v>
      </c>
      <c r="DL52" s="1525">
        <f t="shared" si="98"/>
        <v>0</v>
      </c>
      <c r="DM52" s="1464"/>
      <c r="DN52" s="1470"/>
      <c r="DO52" s="1538"/>
      <c r="DP52" s="2049"/>
      <c r="DQ52" s="1470"/>
      <c r="DR52" s="1471"/>
      <c r="DS52" s="1562">
        <f t="shared" si="99"/>
        <v>0</v>
      </c>
      <c r="DT52" s="1565">
        <f t="shared" si="100"/>
        <v>0</v>
      </c>
      <c r="DU52" s="1577">
        <f t="shared" si="101"/>
        <v>0</v>
      </c>
      <c r="DV52" s="1568">
        <v>0</v>
      </c>
    </row>
    <row r="53" spans="1:126" ht="20.100000000000001" customHeight="1" x14ac:dyDescent="0.2">
      <c r="A53" s="1428" t="s">
        <v>652</v>
      </c>
      <c r="B53" s="1467" t="s">
        <v>867</v>
      </c>
      <c r="C53" s="1472"/>
      <c r="D53" s="1460"/>
      <c r="E53" s="1461"/>
      <c r="F53" s="1472"/>
      <c r="G53" s="1460"/>
      <c r="H53" s="1461"/>
      <c r="I53" s="1472"/>
      <c r="J53" s="1460"/>
      <c r="K53" s="1461"/>
      <c r="L53" s="1472"/>
      <c r="M53" s="1460"/>
      <c r="N53" s="1461"/>
      <c r="O53" s="1472"/>
      <c r="P53" s="1460"/>
      <c r="Q53" s="1461"/>
      <c r="R53" s="1472"/>
      <c r="S53" s="1460"/>
      <c r="T53" s="1461"/>
      <c r="U53" s="1472"/>
      <c r="V53" s="1460"/>
      <c r="W53" s="1461"/>
      <c r="X53" s="1472"/>
      <c r="Y53" s="1460"/>
      <c r="Z53" s="1461"/>
      <c r="AA53" s="1472"/>
      <c r="AB53" s="1460"/>
      <c r="AC53" s="1461"/>
      <c r="AD53" s="1472"/>
      <c r="AE53" s="1460"/>
      <c r="AF53" s="1461"/>
      <c r="AG53" s="1472"/>
      <c r="AH53" s="1460"/>
      <c r="AI53" s="1461"/>
      <c r="AJ53" s="1472"/>
      <c r="AK53" s="1460"/>
      <c r="AL53" s="1461"/>
      <c r="AM53" s="1472"/>
      <c r="AN53" s="1460"/>
      <c r="AO53" s="1461"/>
      <c r="AP53" s="1472"/>
      <c r="AQ53" s="1460"/>
      <c r="AR53" s="1461"/>
      <c r="AS53" s="1472"/>
      <c r="AT53" s="1460"/>
      <c r="AU53" s="1461"/>
      <c r="AV53" s="1472"/>
      <c r="AW53" s="1460"/>
      <c r="AX53" s="1461"/>
      <c r="AY53" s="1472"/>
      <c r="AZ53" s="1460"/>
      <c r="BA53" s="1461"/>
      <c r="BB53" s="1472"/>
      <c r="BC53" s="1460"/>
      <c r="BD53" s="1461"/>
      <c r="BE53" s="1472"/>
      <c r="BF53" s="1460"/>
      <c r="BG53" s="1461"/>
      <c r="BH53" s="1447">
        <f t="shared" si="102"/>
        <v>0</v>
      </c>
      <c r="BI53" s="563">
        <f t="shared" si="103"/>
        <v>0</v>
      </c>
      <c r="BJ53" s="552">
        <f t="shared" si="104"/>
        <v>0</v>
      </c>
      <c r="BK53" s="1472"/>
      <c r="BL53" s="1460"/>
      <c r="BM53" s="1461"/>
      <c r="BN53" s="1472"/>
      <c r="BO53" s="1460"/>
      <c r="BP53" s="1461"/>
      <c r="BQ53" s="1472"/>
      <c r="BR53" s="1460"/>
      <c r="BS53" s="1461"/>
      <c r="BT53" s="1472"/>
      <c r="BU53" s="1460"/>
      <c r="BV53" s="1461"/>
      <c r="BW53" s="1472"/>
      <c r="BX53" s="1460"/>
      <c r="BY53" s="1461"/>
      <c r="BZ53" s="1472"/>
      <c r="CA53" s="1460"/>
      <c r="CB53" s="1461"/>
      <c r="CC53" s="1472"/>
      <c r="CD53" s="1460"/>
      <c r="CE53" s="1461"/>
      <c r="CF53" s="1472"/>
      <c r="CG53" s="1460"/>
      <c r="CH53" s="1461"/>
      <c r="CI53" s="1472"/>
      <c r="CJ53" s="1460"/>
      <c r="CK53" s="2036"/>
      <c r="CL53" s="1472"/>
      <c r="CM53" s="1460"/>
      <c r="CN53" s="2039"/>
      <c r="CO53" s="1472"/>
      <c r="CP53" s="1460"/>
      <c r="CQ53" s="2039"/>
      <c r="CR53" s="1472"/>
      <c r="CS53" s="1460"/>
      <c r="CT53" s="1461"/>
      <c r="CU53" s="1447">
        <f t="shared" si="90"/>
        <v>0</v>
      </c>
      <c r="CV53" s="1450">
        <f t="shared" si="91"/>
        <v>0</v>
      </c>
      <c r="CW53" s="1449">
        <f t="shared" si="92"/>
        <v>0</v>
      </c>
      <c r="CX53" s="553">
        <f t="shared" si="93"/>
        <v>0</v>
      </c>
      <c r="CY53" s="563">
        <f t="shared" si="94"/>
        <v>0</v>
      </c>
      <c r="CZ53" s="552">
        <f t="shared" si="95"/>
        <v>0</v>
      </c>
      <c r="DA53" s="1472"/>
      <c r="DB53" s="1460"/>
      <c r="DC53" s="1461"/>
      <c r="DD53" s="1472"/>
      <c r="DE53" s="1460"/>
      <c r="DF53" s="1461"/>
      <c r="DG53" s="1472"/>
      <c r="DH53" s="1460"/>
      <c r="DI53" s="1461"/>
      <c r="DJ53" s="1552">
        <f t="shared" si="96"/>
        <v>0</v>
      </c>
      <c r="DK53" s="1553">
        <f t="shared" si="97"/>
        <v>0</v>
      </c>
      <c r="DL53" s="2043">
        <f t="shared" si="98"/>
        <v>0</v>
      </c>
      <c r="DM53" s="1472"/>
      <c r="DN53" s="1460"/>
      <c r="DO53" s="2039"/>
      <c r="DP53" s="2050"/>
      <c r="DQ53" s="1460"/>
      <c r="DR53" s="1461"/>
      <c r="DS53" s="1563">
        <f t="shared" si="99"/>
        <v>0</v>
      </c>
      <c r="DT53" s="1566">
        <f t="shared" si="100"/>
        <v>0</v>
      </c>
      <c r="DU53" s="1578">
        <f t="shared" si="101"/>
        <v>0</v>
      </c>
      <c r="DV53" s="1569">
        <v>0</v>
      </c>
    </row>
    <row r="54" spans="1:126" ht="20.100000000000001" customHeight="1" thickBot="1" x14ac:dyDescent="0.25">
      <c r="A54" s="1429" t="s">
        <v>868</v>
      </c>
      <c r="B54" s="1430" t="s">
        <v>869</v>
      </c>
      <c r="C54" s="1473"/>
      <c r="D54" s="1474"/>
      <c r="E54" s="1475"/>
      <c r="F54" s="1473"/>
      <c r="G54" s="1474"/>
      <c r="H54" s="1475"/>
      <c r="I54" s="1473"/>
      <c r="J54" s="1474"/>
      <c r="K54" s="1475"/>
      <c r="L54" s="1473"/>
      <c r="M54" s="1474"/>
      <c r="N54" s="1475"/>
      <c r="O54" s="1473"/>
      <c r="P54" s="1474"/>
      <c r="Q54" s="1475"/>
      <c r="R54" s="1473"/>
      <c r="S54" s="1474"/>
      <c r="T54" s="1475"/>
      <c r="U54" s="1473"/>
      <c r="V54" s="1474"/>
      <c r="W54" s="1475"/>
      <c r="X54" s="1473"/>
      <c r="Y54" s="1474"/>
      <c r="Z54" s="1475"/>
      <c r="AA54" s="1473"/>
      <c r="AB54" s="1474"/>
      <c r="AC54" s="1475"/>
      <c r="AD54" s="1473"/>
      <c r="AE54" s="1474"/>
      <c r="AF54" s="1475"/>
      <c r="AG54" s="1473"/>
      <c r="AH54" s="1474"/>
      <c r="AI54" s="1475"/>
      <c r="AJ54" s="1473"/>
      <c r="AK54" s="1474"/>
      <c r="AL54" s="1475"/>
      <c r="AM54" s="1473"/>
      <c r="AN54" s="1474"/>
      <c r="AO54" s="1475"/>
      <c r="AP54" s="1473"/>
      <c r="AQ54" s="1474"/>
      <c r="AR54" s="1475"/>
      <c r="AS54" s="1473"/>
      <c r="AT54" s="1474"/>
      <c r="AU54" s="1475"/>
      <c r="AV54" s="1473"/>
      <c r="AW54" s="1474"/>
      <c r="AX54" s="1475"/>
      <c r="AY54" s="1473"/>
      <c r="AZ54" s="1474"/>
      <c r="BA54" s="1475"/>
      <c r="BB54" s="1473"/>
      <c r="BC54" s="1474"/>
      <c r="BD54" s="1475"/>
      <c r="BE54" s="1473"/>
      <c r="BF54" s="1474"/>
      <c r="BG54" s="1510"/>
      <c r="BH54" s="1511">
        <f t="shared" si="102"/>
        <v>0</v>
      </c>
      <c r="BI54" s="1512">
        <f t="shared" si="103"/>
        <v>0</v>
      </c>
      <c r="BJ54" s="1513">
        <f t="shared" si="104"/>
        <v>0</v>
      </c>
      <c r="BK54" s="1473"/>
      <c r="BL54" s="1474"/>
      <c r="BM54" s="1475"/>
      <c r="BN54" s="1473"/>
      <c r="BO54" s="1474"/>
      <c r="BP54" s="1475"/>
      <c r="BQ54" s="1473"/>
      <c r="BR54" s="1474"/>
      <c r="BS54" s="1475"/>
      <c r="BT54" s="1473"/>
      <c r="BU54" s="1474"/>
      <c r="BV54" s="1475"/>
      <c r="BW54" s="1473"/>
      <c r="BX54" s="1474"/>
      <c r="BY54" s="1475"/>
      <c r="BZ54" s="1473"/>
      <c r="CA54" s="1474"/>
      <c r="CB54" s="1475"/>
      <c r="CC54" s="1473"/>
      <c r="CD54" s="1474"/>
      <c r="CE54" s="1475"/>
      <c r="CF54" s="1473"/>
      <c r="CG54" s="1474"/>
      <c r="CH54" s="1475"/>
      <c r="CI54" s="1473"/>
      <c r="CJ54" s="1474"/>
      <c r="CK54" s="1510"/>
      <c r="CL54" s="1473"/>
      <c r="CM54" s="1474"/>
      <c r="CN54" s="2040"/>
      <c r="CO54" s="1473"/>
      <c r="CP54" s="1474"/>
      <c r="CQ54" s="2040"/>
      <c r="CR54" s="1473"/>
      <c r="CS54" s="1474"/>
      <c r="CT54" s="1475"/>
      <c r="CU54" s="1532">
        <f t="shared" si="90"/>
        <v>0</v>
      </c>
      <c r="CV54" s="535">
        <f t="shared" si="91"/>
        <v>0</v>
      </c>
      <c r="CW54" s="1533">
        <f t="shared" si="92"/>
        <v>0</v>
      </c>
      <c r="CX54" s="1540">
        <f t="shared" si="93"/>
        <v>0</v>
      </c>
      <c r="CY54" s="1541">
        <f t="shared" si="94"/>
        <v>0</v>
      </c>
      <c r="CZ54" s="1542">
        <f t="shared" si="95"/>
        <v>0</v>
      </c>
      <c r="DA54" s="1473"/>
      <c r="DB54" s="1474"/>
      <c r="DC54" s="1475"/>
      <c r="DD54" s="1473"/>
      <c r="DE54" s="1474"/>
      <c r="DF54" s="1475"/>
      <c r="DG54" s="1473"/>
      <c r="DH54" s="1474"/>
      <c r="DI54" s="1469"/>
      <c r="DJ54" s="1554">
        <f t="shared" si="96"/>
        <v>0</v>
      </c>
      <c r="DK54" s="1555">
        <f t="shared" si="97"/>
        <v>0</v>
      </c>
      <c r="DL54" s="2044">
        <f t="shared" si="98"/>
        <v>0</v>
      </c>
      <c r="DM54" s="1463"/>
      <c r="DN54" s="1474"/>
      <c r="DO54" s="2040"/>
      <c r="DP54" s="2051"/>
      <c r="DQ54" s="1474"/>
      <c r="DR54" s="1475"/>
      <c r="DS54" s="1564">
        <f t="shared" si="99"/>
        <v>0</v>
      </c>
      <c r="DT54" s="1567">
        <f t="shared" si="100"/>
        <v>0</v>
      </c>
      <c r="DU54" s="1579">
        <f t="shared" si="101"/>
        <v>0</v>
      </c>
      <c r="DV54" s="1570">
        <v>0</v>
      </c>
    </row>
    <row r="55" spans="1:126" ht="24.95" customHeight="1" thickBot="1" x14ac:dyDescent="0.25">
      <c r="A55" s="1431"/>
      <c r="B55" s="1432" t="s">
        <v>870</v>
      </c>
      <c r="C55" s="553">
        <f t="shared" ref="C55:AH55" si="105">C14+C31+C44</f>
        <v>1923217</v>
      </c>
      <c r="D55" s="360">
        <f t="shared" si="105"/>
        <v>2791564</v>
      </c>
      <c r="E55" s="552">
        <f t="shared" si="105"/>
        <v>1917413.8649999998</v>
      </c>
      <c r="F55" s="553">
        <f t="shared" si="105"/>
        <v>348312</v>
      </c>
      <c r="G55" s="360">
        <f t="shared" si="105"/>
        <v>339538</v>
      </c>
      <c r="H55" s="552">
        <f t="shared" si="105"/>
        <v>246255.69399999999</v>
      </c>
      <c r="I55" s="553">
        <f t="shared" si="105"/>
        <v>94040</v>
      </c>
      <c r="J55" s="360">
        <f t="shared" si="105"/>
        <v>36121</v>
      </c>
      <c r="K55" s="552">
        <f t="shared" si="105"/>
        <v>31520.280999999999</v>
      </c>
      <c r="L55" s="553">
        <f t="shared" si="105"/>
        <v>43026</v>
      </c>
      <c r="M55" s="360">
        <f t="shared" si="105"/>
        <v>112582</v>
      </c>
      <c r="N55" s="552">
        <f t="shared" si="105"/>
        <v>44197.936999999998</v>
      </c>
      <c r="O55" s="553">
        <f t="shared" si="105"/>
        <v>0</v>
      </c>
      <c r="P55" s="360">
        <f t="shared" si="105"/>
        <v>0</v>
      </c>
      <c r="Q55" s="552">
        <f t="shared" si="105"/>
        <v>0</v>
      </c>
      <c r="R55" s="553">
        <f t="shared" si="105"/>
        <v>300711</v>
      </c>
      <c r="S55" s="360">
        <f t="shared" si="105"/>
        <v>298075.67800000001</v>
      </c>
      <c r="T55" s="552">
        <f t="shared" si="105"/>
        <v>183005.24900000001</v>
      </c>
      <c r="U55" s="553">
        <f t="shared" si="105"/>
        <v>602223</v>
      </c>
      <c r="V55" s="360">
        <f t="shared" si="105"/>
        <v>698010.978</v>
      </c>
      <c r="W55" s="552">
        <f t="shared" si="105"/>
        <v>627240.17299999995</v>
      </c>
      <c r="X55" s="553">
        <f t="shared" si="105"/>
        <v>139621</v>
      </c>
      <c r="Y55" s="563">
        <f t="shared" si="105"/>
        <v>155762.78</v>
      </c>
      <c r="Z55" s="552">
        <f t="shared" si="105"/>
        <v>117990.29000000001</v>
      </c>
      <c r="AA55" s="553">
        <f t="shared" si="105"/>
        <v>4146</v>
      </c>
      <c r="AB55" s="563">
        <f t="shared" si="105"/>
        <v>4146</v>
      </c>
      <c r="AC55" s="552">
        <f t="shared" si="105"/>
        <v>4146</v>
      </c>
      <c r="AD55" s="553">
        <f t="shared" si="105"/>
        <v>358350</v>
      </c>
      <c r="AE55" s="563">
        <f t="shared" si="105"/>
        <v>363350</v>
      </c>
      <c r="AF55" s="552">
        <f t="shared" si="105"/>
        <v>365410</v>
      </c>
      <c r="AG55" s="553">
        <f t="shared" si="105"/>
        <v>642514</v>
      </c>
      <c r="AH55" s="563">
        <f t="shared" si="105"/>
        <v>676306</v>
      </c>
      <c r="AI55" s="552">
        <f t="shared" ref="AI55:BN55" si="106">AI14+AI31+AI44</f>
        <v>579088.49300000002</v>
      </c>
      <c r="AJ55" s="553">
        <f t="shared" si="106"/>
        <v>0</v>
      </c>
      <c r="AK55" s="563">
        <f t="shared" si="106"/>
        <v>7121</v>
      </c>
      <c r="AL55" s="552">
        <f t="shared" si="106"/>
        <v>7120.835</v>
      </c>
      <c r="AM55" s="553">
        <f t="shared" si="106"/>
        <v>2081718</v>
      </c>
      <c r="AN55" s="563">
        <f t="shared" si="106"/>
        <v>1109517</v>
      </c>
      <c r="AO55" s="552">
        <f t="shared" si="106"/>
        <v>260989.49100000001</v>
      </c>
      <c r="AP55" s="553">
        <f t="shared" si="106"/>
        <v>35012</v>
      </c>
      <c r="AQ55" s="563">
        <f t="shared" si="106"/>
        <v>35012</v>
      </c>
      <c r="AR55" s="552">
        <f t="shared" si="106"/>
        <v>31440</v>
      </c>
      <c r="AS55" s="553">
        <f t="shared" si="106"/>
        <v>13500</v>
      </c>
      <c r="AT55" s="563">
        <f t="shared" si="106"/>
        <v>14500</v>
      </c>
      <c r="AU55" s="552">
        <f t="shared" si="106"/>
        <v>14500</v>
      </c>
      <c r="AV55" s="553">
        <f t="shared" si="106"/>
        <v>857256</v>
      </c>
      <c r="AW55" s="563">
        <f t="shared" si="106"/>
        <v>864121.826</v>
      </c>
      <c r="AX55" s="552">
        <f t="shared" si="106"/>
        <v>684497.25299999991</v>
      </c>
      <c r="AY55" s="553">
        <f t="shared" si="106"/>
        <v>40000</v>
      </c>
      <c r="AZ55" s="563">
        <f t="shared" si="106"/>
        <v>40000</v>
      </c>
      <c r="BA55" s="552">
        <f t="shared" si="106"/>
        <v>32525.952000000001</v>
      </c>
      <c r="BB55" s="553">
        <f t="shared" si="106"/>
        <v>1294647</v>
      </c>
      <c r="BC55" s="563">
        <f t="shared" si="106"/>
        <v>1468384.2509999999</v>
      </c>
      <c r="BD55" s="552">
        <f t="shared" si="106"/>
        <v>608638.03</v>
      </c>
      <c r="BE55" s="553">
        <f t="shared" si="106"/>
        <v>229076</v>
      </c>
      <c r="BF55" s="563">
        <f t="shared" si="106"/>
        <v>9582501</v>
      </c>
      <c r="BG55" s="559">
        <f t="shared" si="106"/>
        <v>9515003.6699999999</v>
      </c>
      <c r="BH55" s="553">
        <f t="shared" si="106"/>
        <v>9007369</v>
      </c>
      <c r="BI55" s="563">
        <f t="shared" si="106"/>
        <v>18596613.513</v>
      </c>
      <c r="BJ55" s="1536">
        <f t="shared" si="106"/>
        <v>15270983.213</v>
      </c>
      <c r="BK55" s="1534">
        <f t="shared" si="106"/>
        <v>635</v>
      </c>
      <c r="BL55" s="563">
        <f t="shared" si="106"/>
        <v>635</v>
      </c>
      <c r="BM55" s="559">
        <f t="shared" si="106"/>
        <v>477.33100000000002</v>
      </c>
      <c r="BN55" s="553">
        <f t="shared" si="106"/>
        <v>150058</v>
      </c>
      <c r="BO55" s="563">
        <f t="shared" ref="BO55:CY55" si="107">BO14+BO31+BO44</f>
        <v>163229</v>
      </c>
      <c r="BP55" s="559">
        <f t="shared" si="107"/>
        <v>87413.338000000003</v>
      </c>
      <c r="BQ55" s="553">
        <f t="shared" si="107"/>
        <v>78996</v>
      </c>
      <c r="BR55" s="563">
        <f t="shared" si="107"/>
        <v>78996</v>
      </c>
      <c r="BS55" s="559">
        <f t="shared" si="107"/>
        <v>78996</v>
      </c>
      <c r="BT55" s="553">
        <f t="shared" si="107"/>
        <v>41428</v>
      </c>
      <c r="BU55" s="563">
        <f t="shared" si="107"/>
        <v>78141</v>
      </c>
      <c r="BV55" s="559">
        <f t="shared" si="107"/>
        <v>39259.304000000004</v>
      </c>
      <c r="BW55" s="553">
        <f t="shared" si="107"/>
        <v>25400</v>
      </c>
      <c r="BX55" s="563">
        <f t="shared" si="107"/>
        <v>57615</v>
      </c>
      <c r="BY55" s="559">
        <f t="shared" si="107"/>
        <v>27173.876</v>
      </c>
      <c r="BZ55" s="553">
        <f t="shared" si="107"/>
        <v>91169</v>
      </c>
      <c r="CA55" s="563">
        <f t="shared" si="107"/>
        <v>304117</v>
      </c>
      <c r="CB55" s="559">
        <f t="shared" si="107"/>
        <v>155666.37100000001</v>
      </c>
      <c r="CC55" s="553">
        <f t="shared" si="107"/>
        <v>435781</v>
      </c>
      <c r="CD55" s="563">
        <f t="shared" si="107"/>
        <v>822426.48899999994</v>
      </c>
      <c r="CE55" s="1536">
        <f t="shared" si="107"/>
        <v>413900.35699999996</v>
      </c>
      <c r="CF55" s="553">
        <f t="shared" si="107"/>
        <v>250</v>
      </c>
      <c r="CG55" s="563">
        <f t="shared" si="107"/>
        <v>250</v>
      </c>
      <c r="CH55" s="559">
        <f t="shared" si="107"/>
        <v>75.195999999999998</v>
      </c>
      <c r="CI55" s="553">
        <f t="shared" si="107"/>
        <v>217198</v>
      </c>
      <c r="CJ55" s="563">
        <f t="shared" si="107"/>
        <v>340172</v>
      </c>
      <c r="CK55" s="559">
        <f t="shared" si="107"/>
        <v>146775.761</v>
      </c>
      <c r="CL55" s="553">
        <f t="shared" ref="CL55:CN55" si="108">CL14+CL31+CL44</f>
        <v>38544</v>
      </c>
      <c r="CM55" s="563">
        <f t="shared" si="108"/>
        <v>15879</v>
      </c>
      <c r="CN55" s="552">
        <f t="shared" si="108"/>
        <v>15880.795999999998</v>
      </c>
      <c r="CO55" s="553">
        <f t="shared" ref="CO55:CT55" si="109">CO14+CO31+CO44</f>
        <v>246181</v>
      </c>
      <c r="CP55" s="563">
        <f t="shared" si="109"/>
        <v>237093.12400000001</v>
      </c>
      <c r="CQ55" s="552">
        <f t="shared" si="109"/>
        <v>175529.31899999999</v>
      </c>
      <c r="CR55" s="553">
        <f t="shared" si="109"/>
        <v>0</v>
      </c>
      <c r="CS55" s="360">
        <f t="shared" si="109"/>
        <v>38100</v>
      </c>
      <c r="CT55" s="552">
        <f t="shared" si="109"/>
        <v>0</v>
      </c>
      <c r="CU55" s="1534">
        <f>CU14+CU31+CU44</f>
        <v>1325640</v>
      </c>
      <c r="CV55" s="1535">
        <f t="shared" si="107"/>
        <v>2136653.6129999999</v>
      </c>
      <c r="CW55" s="1536">
        <f>CW14+CW31+CW44</f>
        <v>1141147.649</v>
      </c>
      <c r="CX55" s="1534">
        <f t="shared" si="107"/>
        <v>10333009</v>
      </c>
      <c r="CY55" s="1535">
        <f t="shared" si="107"/>
        <v>20733267.126000002</v>
      </c>
      <c r="CZ55" s="1536">
        <f t="shared" ref="CZ55:DF55" si="110">CZ14+CZ31+CZ44</f>
        <v>16412130.862</v>
      </c>
      <c r="DA55" s="553">
        <f t="shared" si="110"/>
        <v>38538</v>
      </c>
      <c r="DB55" s="563">
        <f t="shared" si="110"/>
        <v>45201.286</v>
      </c>
      <c r="DC55" s="559">
        <f t="shared" si="110"/>
        <v>34636.548000000003</v>
      </c>
      <c r="DD55" s="553">
        <f t="shared" si="110"/>
        <v>83188</v>
      </c>
      <c r="DE55" s="563">
        <f t="shared" si="110"/>
        <v>87070</v>
      </c>
      <c r="DF55" s="559">
        <f t="shared" si="110"/>
        <v>69678.135999999999</v>
      </c>
      <c r="DG55" s="1534">
        <f t="shared" ref="DG55:DL55" si="111">DG14+DG31+DG44</f>
        <v>2617315</v>
      </c>
      <c r="DH55" s="563">
        <f t="shared" si="111"/>
        <v>2945521.6710000001</v>
      </c>
      <c r="DI55" s="1536">
        <f t="shared" si="111"/>
        <v>2291797.6199999996</v>
      </c>
      <c r="DJ55" s="1551">
        <f t="shared" si="111"/>
        <v>2739041</v>
      </c>
      <c r="DK55" s="1436">
        <f t="shared" si="111"/>
        <v>3077792.9569999999</v>
      </c>
      <c r="DL55" s="2045">
        <f t="shared" si="111"/>
        <v>2396112.304</v>
      </c>
      <c r="DM55" s="1534">
        <f>DM14+DM31+DM44</f>
        <v>3431621</v>
      </c>
      <c r="DN55" s="563">
        <f>DN14+DN31+DN44</f>
        <v>3857533.5460000001</v>
      </c>
      <c r="DO55" s="552">
        <f>DO14+DO31+DO44</f>
        <v>3722469.8819999998</v>
      </c>
      <c r="DP55" s="561">
        <f t="shared" ref="DP55:DU55" si="112">DP14+DP31+DP44</f>
        <v>1788608.34</v>
      </c>
      <c r="DQ55" s="563">
        <f t="shared" si="112"/>
        <v>1943724.2919999999</v>
      </c>
      <c r="DR55" s="559">
        <f t="shared" si="112"/>
        <v>1855670.7660000001</v>
      </c>
      <c r="DS55" s="1534">
        <f>DS14+DS31+DS44</f>
        <v>18292279.34</v>
      </c>
      <c r="DT55" s="1535">
        <f t="shared" si="112"/>
        <v>29612317.921</v>
      </c>
      <c r="DU55" s="1580">
        <f t="shared" si="112"/>
        <v>24386383.813999999</v>
      </c>
      <c r="DV55" s="1587">
        <f>DU55/DT55*100</f>
        <v>82.352161283213988</v>
      </c>
    </row>
    <row r="56" spans="1:126" ht="20.100000000000001" customHeight="1" thickBot="1" x14ac:dyDescent="0.25">
      <c r="A56" s="649"/>
      <c r="B56" s="1070" t="s">
        <v>176</v>
      </c>
      <c r="C56" s="625"/>
      <c r="D56" s="623"/>
      <c r="E56" s="624"/>
      <c r="F56" s="625"/>
      <c r="G56" s="623"/>
      <c r="H56" s="624"/>
      <c r="I56" s="625"/>
      <c r="J56" s="623"/>
      <c r="K56" s="624"/>
      <c r="L56" s="625"/>
      <c r="M56" s="623"/>
      <c r="N56" s="624"/>
      <c r="O56" s="625"/>
      <c r="P56" s="623"/>
      <c r="Q56" s="624"/>
      <c r="R56" s="625"/>
      <c r="S56" s="623"/>
      <c r="T56" s="624"/>
      <c r="U56" s="625"/>
      <c r="V56" s="626"/>
      <c r="W56" s="627"/>
      <c r="X56" s="629"/>
      <c r="Y56" s="630"/>
      <c r="Z56" s="627"/>
      <c r="AA56" s="629"/>
      <c r="AB56" s="630"/>
      <c r="AC56" s="627"/>
      <c r="AD56" s="629"/>
      <c r="AE56" s="630"/>
      <c r="AF56" s="627"/>
      <c r="AG56" s="629"/>
      <c r="AH56" s="630"/>
      <c r="AI56" s="627"/>
      <c r="AJ56" s="629"/>
      <c r="AK56" s="630"/>
      <c r="AL56" s="627"/>
      <c r="AM56" s="629"/>
      <c r="AN56" s="630"/>
      <c r="AO56" s="627"/>
      <c r="AP56" s="629"/>
      <c r="AQ56" s="630"/>
      <c r="AR56" s="627"/>
      <c r="AS56" s="629"/>
      <c r="AT56" s="630"/>
      <c r="AU56" s="627"/>
      <c r="AV56" s="629"/>
      <c r="AW56" s="630"/>
      <c r="AX56" s="627"/>
      <c r="AY56" s="629"/>
      <c r="AZ56" s="630"/>
      <c r="BA56" s="627"/>
      <c r="BB56" s="629">
        <v>2</v>
      </c>
      <c r="BC56" s="630">
        <v>2</v>
      </c>
      <c r="BD56" s="627">
        <v>2</v>
      </c>
      <c r="BE56" s="629"/>
      <c r="BF56" s="630"/>
      <c r="BG56" s="627"/>
      <c r="BH56" s="629">
        <f t="shared" ref="BH56:BJ57" si="113">C56+F56+I56+L56+O56+R56+U56+X56+AA56+AD56+AG56+AJ56+AM56+AP56+AS56+AV56+AY56+BB56+BE56</f>
        <v>2</v>
      </c>
      <c r="BI56" s="630">
        <f t="shared" si="113"/>
        <v>2</v>
      </c>
      <c r="BJ56" s="627">
        <f t="shared" si="113"/>
        <v>2</v>
      </c>
      <c r="BK56" s="629"/>
      <c r="BL56" s="630"/>
      <c r="BM56" s="627"/>
      <c r="BN56" s="629"/>
      <c r="BO56" s="630"/>
      <c r="BP56" s="627"/>
      <c r="BQ56" s="629"/>
      <c r="BR56" s="630"/>
      <c r="BS56" s="627"/>
      <c r="BT56" s="629"/>
      <c r="BU56" s="630"/>
      <c r="BV56" s="627"/>
      <c r="BW56" s="629"/>
      <c r="BX56" s="630"/>
      <c r="BY56" s="627"/>
      <c r="BZ56" s="629"/>
      <c r="CA56" s="630"/>
      <c r="CB56" s="627"/>
      <c r="CC56" s="629"/>
      <c r="CD56" s="630"/>
      <c r="CE56" s="627"/>
      <c r="CF56" s="629"/>
      <c r="CG56" s="630"/>
      <c r="CH56" s="627"/>
      <c r="CI56" s="629"/>
      <c r="CJ56" s="1401"/>
      <c r="CK56" s="2037"/>
      <c r="CL56" s="629"/>
      <c r="CM56" s="1401"/>
      <c r="CN56" s="627"/>
      <c r="CO56" s="629"/>
      <c r="CP56" s="1401"/>
      <c r="CQ56" s="627"/>
      <c r="CR56" s="625"/>
      <c r="CS56" s="623"/>
      <c r="CT56" s="624"/>
      <c r="CU56" s="1462">
        <f t="shared" ref="CU56:CU57" si="114">BK56+BN56+BQ56+BT56+BW56+BZ56+CC56+CF56+CI56+CL56+CO56+CR56</f>
        <v>0</v>
      </c>
      <c r="CV56" s="630">
        <f t="shared" ref="CV56:CV57" si="115">BL56+BO56+BR56+BU56+BX56+CA56+CD56+CG56+CJ56+CM56+CP56+CS56</f>
        <v>0</v>
      </c>
      <c r="CW56" s="627">
        <f t="shared" ref="CW56:CW57" si="116">BM56+BP56+BS56+BV56+BY56+CB56+CE56+CH56+CK56+CN56+CQ56+CT56</f>
        <v>0</v>
      </c>
      <c r="CX56" s="632">
        <f t="shared" ref="CX56:CZ57" si="117">BH56+CU56</f>
        <v>2</v>
      </c>
      <c r="CY56" s="630">
        <f t="shared" si="117"/>
        <v>2</v>
      </c>
      <c r="CZ56" s="627">
        <f t="shared" si="117"/>
        <v>2</v>
      </c>
      <c r="DA56" s="629"/>
      <c r="DB56" s="630"/>
      <c r="DC56" s="627"/>
      <c r="DD56" s="629">
        <v>10</v>
      </c>
      <c r="DE56" s="1401">
        <v>10</v>
      </c>
      <c r="DF56" s="627">
        <v>10</v>
      </c>
      <c r="DG56" s="625">
        <v>371</v>
      </c>
      <c r="DH56" s="628">
        <v>313</v>
      </c>
      <c r="DI56" s="790">
        <v>303</v>
      </c>
      <c r="DJ56" s="629">
        <f t="shared" ref="DJ56:DJ57" si="118">DA56+DD56+DG56</f>
        <v>381</v>
      </c>
      <c r="DK56" s="631">
        <f t="shared" ref="DK56:DK57" si="119">DB56+DE56+DH56</f>
        <v>323</v>
      </c>
      <c r="DL56" s="628">
        <f t="shared" ref="DL56:DL57" si="120">DC56+DF56+DI56</f>
        <v>313</v>
      </c>
      <c r="DM56" s="789">
        <v>764</v>
      </c>
      <c r="DN56" s="790">
        <v>769.5</v>
      </c>
      <c r="DO56" s="1893">
        <v>769</v>
      </c>
      <c r="DP56" s="631">
        <v>296</v>
      </c>
      <c r="DQ56" s="628">
        <v>296</v>
      </c>
      <c r="DR56" s="627">
        <v>288</v>
      </c>
      <c r="DS56" s="898">
        <f t="shared" ref="DS56:DU57" si="121">CX56+DJ56+DM56+DP56</f>
        <v>1443</v>
      </c>
      <c r="DT56" s="791">
        <f t="shared" si="121"/>
        <v>1390.5</v>
      </c>
      <c r="DU56" s="790">
        <f t="shared" si="121"/>
        <v>1372</v>
      </c>
      <c r="DV56" s="1587">
        <f>DU56/DT56*100</f>
        <v>98.669543329737508</v>
      </c>
    </row>
    <row r="57" spans="1:126" ht="20.100000000000001" customHeight="1" thickBot="1" x14ac:dyDescent="0.25">
      <c r="A57" s="649"/>
      <c r="B57" s="1070" t="s">
        <v>541</v>
      </c>
      <c r="C57" s="625"/>
      <c r="D57" s="623"/>
      <c r="E57" s="624"/>
      <c r="F57" s="625"/>
      <c r="G57" s="623"/>
      <c r="H57" s="624"/>
      <c r="I57" s="625"/>
      <c r="J57" s="623"/>
      <c r="K57" s="624"/>
      <c r="L57" s="625"/>
      <c r="M57" s="623"/>
      <c r="N57" s="624"/>
      <c r="O57" s="625"/>
      <c r="P57" s="623"/>
      <c r="Q57" s="624"/>
      <c r="R57" s="625"/>
      <c r="S57" s="623"/>
      <c r="T57" s="624"/>
      <c r="U57" s="625"/>
      <c r="V57" s="626"/>
      <c r="W57" s="627"/>
      <c r="X57" s="629"/>
      <c r="Y57" s="630"/>
      <c r="Z57" s="627"/>
      <c r="AA57" s="629"/>
      <c r="AB57" s="630"/>
      <c r="AC57" s="627"/>
      <c r="AD57" s="629"/>
      <c r="AE57" s="630"/>
      <c r="AF57" s="627"/>
      <c r="AG57" s="629"/>
      <c r="AH57" s="630"/>
      <c r="AI57" s="627"/>
      <c r="AJ57" s="629"/>
      <c r="AK57" s="630"/>
      <c r="AL57" s="627"/>
      <c r="AM57" s="629"/>
      <c r="AN57" s="630"/>
      <c r="AO57" s="627"/>
      <c r="AP57" s="629"/>
      <c r="AQ57" s="630"/>
      <c r="AR57" s="627"/>
      <c r="AS57" s="629"/>
      <c r="AT57" s="630"/>
      <c r="AU57" s="627"/>
      <c r="AV57" s="629"/>
      <c r="AW57" s="630"/>
      <c r="AX57" s="627"/>
      <c r="AY57" s="629"/>
      <c r="AZ57" s="630"/>
      <c r="BA57" s="627"/>
      <c r="BB57" s="629"/>
      <c r="BC57" s="630"/>
      <c r="BD57" s="627"/>
      <c r="BE57" s="629"/>
      <c r="BF57" s="630"/>
      <c r="BG57" s="627"/>
      <c r="BH57" s="629">
        <f t="shared" si="113"/>
        <v>0</v>
      </c>
      <c r="BI57" s="630">
        <f t="shared" si="113"/>
        <v>0</v>
      </c>
      <c r="BJ57" s="627">
        <f t="shared" si="113"/>
        <v>0</v>
      </c>
      <c r="BK57" s="629"/>
      <c r="BL57" s="630"/>
      <c r="BM57" s="627"/>
      <c r="BN57" s="629"/>
      <c r="BO57" s="630"/>
      <c r="BP57" s="627"/>
      <c r="BQ57" s="629"/>
      <c r="BR57" s="630"/>
      <c r="BS57" s="627"/>
      <c r="BT57" s="629"/>
      <c r="BU57" s="630"/>
      <c r="BV57" s="627"/>
      <c r="BW57" s="629"/>
      <c r="BX57" s="630"/>
      <c r="BY57" s="627"/>
      <c r="BZ57" s="629"/>
      <c r="CA57" s="630"/>
      <c r="CB57" s="627"/>
      <c r="CC57" s="629"/>
      <c r="CD57" s="630"/>
      <c r="CE57" s="627"/>
      <c r="CF57" s="629"/>
      <c r="CG57" s="630"/>
      <c r="CH57" s="627"/>
      <c r="CI57" s="629"/>
      <c r="CJ57" s="1401"/>
      <c r="CK57" s="2037"/>
      <c r="CL57" s="629"/>
      <c r="CM57" s="1401"/>
      <c r="CN57" s="627"/>
      <c r="CO57" s="629"/>
      <c r="CP57" s="1401"/>
      <c r="CQ57" s="627"/>
      <c r="CR57" s="625"/>
      <c r="CS57" s="623"/>
      <c r="CT57" s="624"/>
      <c r="CU57" s="1462">
        <f t="shared" si="114"/>
        <v>0</v>
      </c>
      <c r="CV57" s="630">
        <f t="shared" si="115"/>
        <v>0</v>
      </c>
      <c r="CW57" s="627">
        <f t="shared" si="116"/>
        <v>0</v>
      </c>
      <c r="CX57" s="632">
        <f t="shared" si="117"/>
        <v>0</v>
      </c>
      <c r="CY57" s="630">
        <f t="shared" si="117"/>
        <v>0</v>
      </c>
      <c r="CZ57" s="627">
        <f t="shared" si="117"/>
        <v>0</v>
      </c>
      <c r="DA57" s="629"/>
      <c r="DB57" s="630"/>
      <c r="DC57" s="627"/>
      <c r="DD57" s="629"/>
      <c r="DE57" s="1401"/>
      <c r="DF57" s="627"/>
      <c r="DG57" s="625">
        <v>13</v>
      </c>
      <c r="DH57" s="628">
        <v>10</v>
      </c>
      <c r="DI57" s="627">
        <v>11</v>
      </c>
      <c r="DJ57" s="629">
        <f t="shared" si="118"/>
        <v>13</v>
      </c>
      <c r="DK57" s="631">
        <f t="shared" si="119"/>
        <v>10</v>
      </c>
      <c r="DL57" s="628">
        <f t="shared" si="120"/>
        <v>11</v>
      </c>
      <c r="DM57" s="2054">
        <v>1</v>
      </c>
      <c r="DN57" s="2055">
        <v>2</v>
      </c>
      <c r="DO57" s="2056">
        <v>6</v>
      </c>
      <c r="DP57" s="631"/>
      <c r="DQ57" s="628"/>
      <c r="DR57" s="627"/>
      <c r="DS57" s="898">
        <f t="shared" si="121"/>
        <v>14</v>
      </c>
      <c r="DT57" s="791">
        <f t="shared" si="121"/>
        <v>12</v>
      </c>
      <c r="DU57" s="790">
        <f t="shared" si="121"/>
        <v>17</v>
      </c>
      <c r="DV57" s="1587">
        <f>DU57/DT57*100</f>
        <v>141.66666666666669</v>
      </c>
    </row>
    <row r="64" spans="1:126" x14ac:dyDescent="0.2">
      <c r="DL64" s="2057"/>
    </row>
    <row r="65" spans="116:117" x14ac:dyDescent="0.2">
      <c r="DL65" s="2057"/>
      <c r="DM65" s="2057"/>
    </row>
    <row r="66" spans="116:117" x14ac:dyDescent="0.2">
      <c r="DL66" s="2057"/>
    </row>
    <row r="68" spans="116:117" x14ac:dyDescent="0.2">
      <c r="DL68" s="2057"/>
    </row>
  </sheetData>
  <mergeCells count="116">
    <mergeCell ref="F11:G11"/>
    <mergeCell ref="X11:Y11"/>
    <mergeCell ref="C11:D11"/>
    <mergeCell ref="U11:V11"/>
    <mergeCell ref="R11:S11"/>
    <mergeCell ref="O11:P11"/>
    <mergeCell ref="L11:M11"/>
    <mergeCell ref="I11:J11"/>
    <mergeCell ref="BK9:BM9"/>
    <mergeCell ref="BH9:BJ9"/>
    <mergeCell ref="AP11:AQ11"/>
    <mergeCell ref="BH11:BI11"/>
    <mergeCell ref="AV11:AW11"/>
    <mergeCell ref="AS11:AT11"/>
    <mergeCell ref="BB9:BD9"/>
    <mergeCell ref="AV9:AX9"/>
    <mergeCell ref="AD11:AE11"/>
    <mergeCell ref="BE11:BF11"/>
    <mergeCell ref="BB11:BC11"/>
    <mergeCell ref="AY11:AZ11"/>
    <mergeCell ref="AA11:AB11"/>
    <mergeCell ref="BK11:BL11"/>
    <mergeCell ref="AM11:AN11"/>
    <mergeCell ref="AJ11:AK11"/>
    <mergeCell ref="AG11:AH11"/>
    <mergeCell ref="CC11:CD11"/>
    <mergeCell ref="BZ11:CA11"/>
    <mergeCell ref="BW11:BX11"/>
    <mergeCell ref="BT11:BU11"/>
    <mergeCell ref="BQ11:BR11"/>
    <mergeCell ref="BN11:BO11"/>
    <mergeCell ref="CX11:CY11"/>
    <mergeCell ref="DD8:DF8"/>
    <mergeCell ref="DD9:DF9"/>
    <mergeCell ref="DD11:DE11"/>
    <mergeCell ref="AJ8:AL8"/>
    <mergeCell ref="AJ9:AL9"/>
    <mergeCell ref="BZ9:CB9"/>
    <mergeCell ref="BE8:BG8"/>
    <mergeCell ref="BE9:BG9"/>
    <mergeCell ref="BK8:BM8"/>
    <mergeCell ref="BN9:BP9"/>
    <mergeCell ref="BN8:BP8"/>
    <mergeCell ref="BQ9:BS9"/>
    <mergeCell ref="BT8:BV8"/>
    <mergeCell ref="BQ8:BS8"/>
    <mergeCell ref="BW8:BY8"/>
    <mergeCell ref="BH8:BJ8"/>
    <mergeCell ref="CU11:CV11"/>
    <mergeCell ref="CI11:CJ11"/>
    <mergeCell ref="AM8:AO8"/>
    <mergeCell ref="AS8:AU8"/>
    <mergeCell ref="AV8:AX8"/>
    <mergeCell ref="AP8:AR8"/>
    <mergeCell ref="AY8:BA8"/>
    <mergeCell ref="BB8:BD8"/>
    <mergeCell ref="DA11:DB11"/>
    <mergeCell ref="CO11:CP11"/>
    <mergeCell ref="CR8:CT8"/>
    <mergeCell ref="CR9:CT9"/>
    <mergeCell ref="CR11:CS11"/>
    <mergeCell ref="C5:W5"/>
    <mergeCell ref="R9:T9"/>
    <mergeCell ref="C8:E8"/>
    <mergeCell ref="C9:E9"/>
    <mergeCell ref="F8:H8"/>
    <mergeCell ref="U8:W8"/>
    <mergeCell ref="U9:W9"/>
    <mergeCell ref="L8:N8"/>
    <mergeCell ref="O9:Q9"/>
    <mergeCell ref="AA8:AC8"/>
    <mergeCell ref="AD8:AF8"/>
    <mergeCell ref="X9:Z9"/>
    <mergeCell ref="C6:W6"/>
    <mergeCell ref="CX8:CZ8"/>
    <mergeCell ref="CX9:CZ9"/>
    <mergeCell ref="CU9:CW9"/>
    <mergeCell ref="DM9:DO9"/>
    <mergeCell ref="DJ9:DL9"/>
    <mergeCell ref="O8:Q8"/>
    <mergeCell ref="R8:T8"/>
    <mergeCell ref="AA9:AC9"/>
    <mergeCell ref="AM9:AO9"/>
    <mergeCell ref="AD9:AF9"/>
    <mergeCell ref="BZ8:CB8"/>
    <mergeCell ref="L9:N9"/>
    <mergeCell ref="AG8:AI8"/>
    <mergeCell ref="X8:Z8"/>
    <mergeCell ref="CF9:CH9"/>
    <mergeCell ref="CF8:CH8"/>
    <mergeCell ref="CO8:CQ8"/>
    <mergeCell ref="CO9:CQ9"/>
    <mergeCell ref="DS8:DU8"/>
    <mergeCell ref="DS9:DU9"/>
    <mergeCell ref="DP8:DR8"/>
    <mergeCell ref="DP9:DR9"/>
    <mergeCell ref="DM8:DO8"/>
    <mergeCell ref="CI8:CK8"/>
    <mergeCell ref="CC8:CE8"/>
    <mergeCell ref="CC9:CE9"/>
    <mergeCell ref="DG11:DH11"/>
    <mergeCell ref="DS11:DT11"/>
    <mergeCell ref="DP11:DQ11"/>
    <mergeCell ref="DM11:DN11"/>
    <mergeCell ref="DJ11:DK11"/>
    <mergeCell ref="DJ8:DL8"/>
    <mergeCell ref="DA8:DC8"/>
    <mergeCell ref="CI9:CK9"/>
    <mergeCell ref="DG9:DI9"/>
    <mergeCell ref="DA9:DC9"/>
    <mergeCell ref="DG8:DI8"/>
    <mergeCell ref="CU8:CW8"/>
    <mergeCell ref="CL8:CN8"/>
    <mergeCell ref="CL9:CN9"/>
    <mergeCell ref="CL11:CM11"/>
    <mergeCell ref="CF11:CG11"/>
  </mergeCells>
  <phoneticPr fontId="0" type="noConversion"/>
  <printOptions horizontalCentered="1" verticalCentered="1"/>
  <pageMargins left="0.15748031496062992" right="0.15748031496062992" top="0.31496062992125984" bottom="0.23622047244094491" header="0.15748031496062992" footer="0.15748031496062992"/>
  <pageSetup paperSize="9" scale="54" orientation="landscape" r:id="rId1"/>
  <headerFooter alignWithMargins="0"/>
  <colBreaks count="6" manualBreakCount="6">
    <brk id="23" min="1" max="41" man="1"/>
    <brk id="44" min="1" max="41" man="1"/>
    <brk id="62" min="1" max="41" man="1"/>
    <brk id="83" min="1" max="41" man="1"/>
    <brk id="104" min="1" max="56" man="1"/>
    <brk id="116" min="1" max="5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10"/>
  <sheetViews>
    <sheetView view="pageBreakPreview" topLeftCell="A7" zoomScale="80" zoomScaleNormal="100" zoomScaleSheetLayoutView="80" workbookViewId="0">
      <pane xSplit="2" ySplit="5" topLeftCell="CC21" activePane="bottomRight" state="frozen"/>
      <selection activeCell="A7" sqref="A7"/>
      <selection pane="topRight" activeCell="D7" sqref="D7"/>
      <selection pane="bottomLeft" activeCell="A12" sqref="A12"/>
      <selection pane="bottomRight" activeCell="DQ48" sqref="DQ48:DQ58"/>
    </sheetView>
  </sheetViews>
  <sheetFormatPr defaultRowHeight="12.75" x14ac:dyDescent="0.2"/>
  <cols>
    <col min="1" max="1" width="5.7109375" style="122" customWidth="1"/>
    <col min="2" max="2" width="58.7109375" style="122" customWidth="1"/>
    <col min="3" max="3" width="9.7109375" style="122" customWidth="1"/>
    <col min="4" max="4" width="10.7109375" style="122" customWidth="1"/>
    <col min="5" max="5" width="9.7109375" style="122" customWidth="1"/>
    <col min="6" max="6" width="10.85546875" style="122" customWidth="1"/>
    <col min="7" max="8" width="10.7109375" style="122" customWidth="1"/>
    <col min="9" max="26" width="9.7109375" style="122" customWidth="1"/>
    <col min="27" max="32" width="8.7109375" style="122" customWidth="1"/>
    <col min="33" max="34" width="9.7109375" style="122" customWidth="1"/>
    <col min="35" max="35" width="10.7109375" style="122" customWidth="1"/>
    <col min="36" max="38" width="11.28515625" style="122" customWidth="1"/>
    <col min="39" max="50" width="9.7109375" style="122" customWidth="1"/>
    <col min="51" max="53" width="8.7109375" style="122" customWidth="1"/>
    <col min="54" max="62" width="10.7109375" style="122" customWidth="1"/>
    <col min="63" max="65" width="9.5703125" style="122" customWidth="1"/>
    <col min="66" max="68" width="9.7109375" style="122" customWidth="1"/>
    <col min="69" max="71" width="8.7109375" style="122" customWidth="1"/>
    <col min="72" max="74" width="9.7109375" style="122" customWidth="1"/>
    <col min="75" max="81" width="8.7109375" style="122" customWidth="1"/>
    <col min="82" max="82" width="9.7109375" style="122" customWidth="1"/>
    <col min="83" max="101" width="8.7109375" style="122" customWidth="1"/>
    <col min="102" max="104" width="12.7109375" style="122" customWidth="1"/>
    <col min="105" max="110" width="8.7109375" style="122" customWidth="1"/>
    <col min="111" max="113" width="10.7109375" style="122" customWidth="1"/>
    <col min="114" max="116" width="11.7109375" style="122" customWidth="1"/>
    <col min="117" max="119" width="12.7109375" style="122" customWidth="1"/>
    <col min="120" max="122" width="13.7109375" style="122" customWidth="1"/>
    <col min="123" max="123" width="16.7109375" style="123" customWidth="1"/>
    <col min="124" max="125" width="15.7109375" style="123" customWidth="1"/>
    <col min="126" max="126" width="11" style="122" customWidth="1"/>
    <col min="127" max="128" width="9.140625" style="122"/>
    <col min="129" max="129" width="12.140625" style="122" customWidth="1"/>
    <col min="130" max="223" width="9.140625" style="122"/>
    <col min="224" max="237" width="9.140625" style="140"/>
    <col min="238" max="16384" width="9.140625" style="122"/>
  </cols>
  <sheetData>
    <row r="1" spans="1:223" ht="17.25" customHeight="1" thickBot="1" x14ac:dyDescent="0.25"/>
    <row r="2" spans="1:223" ht="22.5" hidden="1" customHeight="1" x14ac:dyDescent="0.3">
      <c r="C2" s="930"/>
      <c r="Q2" s="530" t="s">
        <v>713</v>
      </c>
      <c r="AF2" s="530"/>
      <c r="AI2" s="530"/>
      <c r="AX2" s="530" t="s">
        <v>585</v>
      </c>
      <c r="BY2" s="530" t="s">
        <v>586</v>
      </c>
      <c r="DV2" s="530" t="s">
        <v>587</v>
      </c>
    </row>
    <row r="3" spans="1:223" ht="17.25" hidden="1" customHeight="1" x14ac:dyDescent="0.3">
      <c r="C3" s="930"/>
      <c r="Q3" s="531" t="s">
        <v>57</v>
      </c>
      <c r="AF3" s="531"/>
      <c r="AI3" s="531"/>
    </row>
    <row r="4" spans="1:223" ht="13.5" hidden="1" thickBot="1" x14ac:dyDescent="0.25">
      <c r="Q4" s="637" t="s">
        <v>666</v>
      </c>
      <c r="Z4" s="637" t="s">
        <v>168</v>
      </c>
      <c r="AF4" s="637"/>
      <c r="AI4" s="637"/>
      <c r="AK4" s="637"/>
      <c r="AL4" s="637" t="s">
        <v>169</v>
      </c>
      <c r="AU4" s="637"/>
      <c r="BA4" s="637"/>
      <c r="BJ4" s="637" t="s">
        <v>168</v>
      </c>
      <c r="BP4" s="637"/>
      <c r="BS4" s="637"/>
      <c r="BV4" s="637"/>
      <c r="CB4" s="637"/>
      <c r="CH4" s="637" t="s">
        <v>169</v>
      </c>
      <c r="CZ4" s="637" t="s">
        <v>170</v>
      </c>
      <c r="DJ4" s="637"/>
      <c r="DV4" s="637" t="s">
        <v>171</v>
      </c>
    </row>
    <row r="5" spans="1:223" ht="12.75" hidden="1" customHeight="1" x14ac:dyDescent="0.2">
      <c r="A5" s="694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AA5" s="694"/>
      <c r="AB5" s="694"/>
      <c r="AC5" s="694"/>
      <c r="AD5" s="694"/>
      <c r="AE5" s="694"/>
      <c r="AF5" s="694"/>
      <c r="AG5" s="694"/>
      <c r="AH5" s="694"/>
      <c r="AI5" s="694"/>
    </row>
    <row r="6" spans="1:223" ht="13.5" hidden="1" thickBot="1" x14ac:dyDescent="0.25"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637" t="s">
        <v>58</v>
      </c>
      <c r="R6" s="102"/>
      <c r="S6" s="102"/>
      <c r="T6" s="102"/>
      <c r="W6" s="543"/>
      <c r="Z6" s="637" t="s">
        <v>58</v>
      </c>
      <c r="AL6" s="637" t="s">
        <v>58</v>
      </c>
      <c r="AX6" s="637" t="s">
        <v>58</v>
      </c>
      <c r="BG6" s="637" t="s">
        <v>58</v>
      </c>
      <c r="BP6" s="637" t="s">
        <v>58</v>
      </c>
      <c r="BY6" s="637" t="s">
        <v>58</v>
      </c>
      <c r="CH6" s="637" t="s">
        <v>58</v>
      </c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</row>
    <row r="7" spans="1:223" ht="12.75" customHeight="1" x14ac:dyDescent="0.2">
      <c r="A7" s="124" t="s">
        <v>571</v>
      </c>
      <c r="B7" s="124" t="s">
        <v>571</v>
      </c>
      <c r="C7" s="2261" t="s">
        <v>716</v>
      </c>
      <c r="D7" s="2262"/>
      <c r="E7" s="2263"/>
      <c r="F7" s="2261" t="s">
        <v>253</v>
      </c>
      <c r="G7" s="2262"/>
      <c r="H7" s="2263"/>
      <c r="I7" s="104" t="s">
        <v>718</v>
      </c>
      <c r="J7" s="105"/>
      <c r="K7" s="1404"/>
      <c r="L7" s="2261" t="s">
        <v>719</v>
      </c>
      <c r="M7" s="2267"/>
      <c r="N7" s="2267"/>
      <c r="O7" s="2261" t="s">
        <v>721</v>
      </c>
      <c r="P7" s="2267"/>
      <c r="Q7" s="2279"/>
      <c r="R7" s="2261" t="s">
        <v>722</v>
      </c>
      <c r="S7" s="2267"/>
      <c r="T7" s="2279"/>
      <c r="U7" s="2261" t="s">
        <v>723</v>
      </c>
      <c r="V7" s="2262"/>
      <c r="W7" s="2263"/>
      <c r="X7" s="2261" t="s">
        <v>535</v>
      </c>
      <c r="Y7" s="2267"/>
      <c r="Z7" s="2267"/>
      <c r="AA7" s="2261" t="s">
        <v>724</v>
      </c>
      <c r="AB7" s="2267"/>
      <c r="AC7" s="2279"/>
      <c r="AD7" s="2261" t="s">
        <v>537</v>
      </c>
      <c r="AE7" s="2267"/>
      <c r="AF7" s="2267"/>
      <c r="AG7" s="2261" t="s">
        <v>725</v>
      </c>
      <c r="AH7" s="2267"/>
      <c r="AI7" s="2267"/>
      <c r="AJ7" s="2261" t="s">
        <v>726</v>
      </c>
      <c r="AK7" s="2262"/>
      <c r="AL7" s="2263"/>
      <c r="AM7" s="2261" t="s">
        <v>727</v>
      </c>
      <c r="AN7" s="2262"/>
      <c r="AO7" s="2263"/>
      <c r="AP7" s="2261" t="s">
        <v>728</v>
      </c>
      <c r="AQ7" s="2262"/>
      <c r="AR7" s="2263"/>
      <c r="AS7" s="2261" t="s">
        <v>729</v>
      </c>
      <c r="AT7" s="2262"/>
      <c r="AU7" s="2263"/>
      <c r="AV7" s="2294" t="s">
        <v>1176</v>
      </c>
      <c r="AW7" s="2295"/>
      <c r="AX7" s="2296"/>
      <c r="AY7" s="2261" t="s">
        <v>254</v>
      </c>
      <c r="AZ7" s="2267"/>
      <c r="BA7" s="2279"/>
      <c r="BB7" s="2261" t="s">
        <v>730</v>
      </c>
      <c r="BC7" s="2267"/>
      <c r="BD7" s="2279"/>
      <c r="BE7" s="2294" t="s">
        <v>732</v>
      </c>
      <c r="BF7" s="2295"/>
      <c r="BG7" s="2296"/>
      <c r="BH7" s="2300" t="s">
        <v>524</v>
      </c>
      <c r="BI7" s="2301"/>
      <c r="BJ7" s="2302"/>
      <c r="BK7" s="2294" t="s">
        <v>154</v>
      </c>
      <c r="BL7" s="2295"/>
      <c r="BM7" s="2296"/>
      <c r="BN7" s="2294" t="s">
        <v>525</v>
      </c>
      <c r="BO7" s="2295"/>
      <c r="BP7" s="2296"/>
      <c r="BQ7" s="2261" t="s">
        <v>527</v>
      </c>
      <c r="BR7" s="2267"/>
      <c r="BS7" s="2279"/>
      <c r="BT7" s="2268" t="s">
        <v>529</v>
      </c>
      <c r="BU7" s="2269"/>
      <c r="BV7" s="2270"/>
      <c r="BW7" s="2268" t="s">
        <v>90</v>
      </c>
      <c r="BX7" s="2269"/>
      <c r="BY7" s="2270"/>
      <c r="BZ7" s="2268" t="s">
        <v>155</v>
      </c>
      <c r="CA7" s="2269"/>
      <c r="CB7" s="2270"/>
      <c r="CC7" s="2268" t="s">
        <v>531</v>
      </c>
      <c r="CD7" s="2269"/>
      <c r="CE7" s="2270"/>
      <c r="CF7" s="2290" t="s">
        <v>52</v>
      </c>
      <c r="CG7" s="2291"/>
      <c r="CH7" s="2292"/>
      <c r="CI7" s="2261" t="s">
        <v>533</v>
      </c>
      <c r="CJ7" s="2267"/>
      <c r="CK7" s="2279"/>
      <c r="CL7" s="2261" t="s">
        <v>1136</v>
      </c>
      <c r="CM7" s="2267"/>
      <c r="CN7" s="2279"/>
      <c r="CO7" s="2261" t="s">
        <v>1179</v>
      </c>
      <c r="CP7" s="2267"/>
      <c r="CQ7" s="2279"/>
      <c r="CR7" s="2261" t="s">
        <v>52</v>
      </c>
      <c r="CS7" s="2267"/>
      <c r="CT7" s="2279"/>
      <c r="CU7" s="2256" t="s">
        <v>534</v>
      </c>
      <c r="CV7" s="2257"/>
      <c r="CW7" s="2282"/>
      <c r="CX7" s="2256" t="s">
        <v>712</v>
      </c>
      <c r="CY7" s="2257"/>
      <c r="CZ7" s="2282"/>
      <c r="DA7" s="2261" t="s">
        <v>538</v>
      </c>
      <c r="DB7" s="2267"/>
      <c r="DC7" s="2279"/>
      <c r="DD7" s="2261" t="s">
        <v>31</v>
      </c>
      <c r="DE7" s="2267"/>
      <c r="DF7" s="2279"/>
      <c r="DG7" s="2261" t="s">
        <v>540</v>
      </c>
      <c r="DH7" s="2262"/>
      <c r="DI7" s="2263"/>
      <c r="DJ7" s="2256" t="s">
        <v>366</v>
      </c>
      <c r="DK7" s="2257"/>
      <c r="DL7" s="2282"/>
      <c r="DM7" s="2261" t="s">
        <v>895</v>
      </c>
      <c r="DN7" s="2262"/>
      <c r="DO7" s="2263"/>
      <c r="DP7" s="2261" t="s">
        <v>162</v>
      </c>
      <c r="DQ7" s="2262"/>
      <c r="DR7" s="2263"/>
      <c r="DS7" s="2306" t="s">
        <v>714</v>
      </c>
      <c r="DT7" s="2307"/>
      <c r="DU7" s="2307"/>
      <c r="DV7" s="125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</row>
    <row r="8" spans="1:223" ht="14.25" customHeight="1" thickBot="1" x14ac:dyDescent="0.25">
      <c r="A8" s="126" t="s">
        <v>369</v>
      </c>
      <c r="B8" s="126"/>
      <c r="C8" s="2264" t="s">
        <v>717</v>
      </c>
      <c r="D8" s="2265"/>
      <c r="E8" s="2266"/>
      <c r="F8" s="108"/>
      <c r="G8" s="109"/>
      <c r="H8" s="109"/>
      <c r="I8" s="108"/>
      <c r="J8" s="109"/>
      <c r="K8" s="1405"/>
      <c r="L8" s="2264" t="s">
        <v>720</v>
      </c>
      <c r="M8" s="2265"/>
      <c r="N8" s="2266"/>
      <c r="O8" s="2264" t="s">
        <v>156</v>
      </c>
      <c r="P8" s="2280"/>
      <c r="Q8" s="2281"/>
      <c r="R8" s="2264"/>
      <c r="S8" s="2280"/>
      <c r="T8" s="2281"/>
      <c r="U8" s="2264"/>
      <c r="V8" s="2265"/>
      <c r="W8" s="2266"/>
      <c r="X8" s="2264" t="s">
        <v>536</v>
      </c>
      <c r="Y8" s="2280"/>
      <c r="Z8" s="2281"/>
      <c r="AA8" s="2264"/>
      <c r="AB8" s="2265"/>
      <c r="AC8" s="2266"/>
      <c r="AD8" s="2264" t="s">
        <v>157</v>
      </c>
      <c r="AE8" s="2265"/>
      <c r="AF8" s="2266"/>
      <c r="AG8" s="1066"/>
      <c r="AH8" s="1067"/>
      <c r="AI8" s="1068"/>
      <c r="AJ8" s="2264" t="s">
        <v>156</v>
      </c>
      <c r="AK8" s="2265"/>
      <c r="AL8" s="2266"/>
      <c r="AM8" s="2264"/>
      <c r="AN8" s="2265"/>
      <c r="AO8" s="2266"/>
      <c r="AP8" s="1066"/>
      <c r="AQ8" s="1067"/>
      <c r="AR8" s="1068"/>
      <c r="AS8" s="1066"/>
      <c r="AT8" s="1067"/>
      <c r="AU8" s="1068"/>
      <c r="AV8" s="2297" t="s">
        <v>1177</v>
      </c>
      <c r="AW8" s="2298"/>
      <c r="AX8" s="2299"/>
      <c r="AY8" s="110"/>
      <c r="AZ8" s="111"/>
      <c r="BA8" s="693"/>
      <c r="BB8" s="2264" t="s">
        <v>731</v>
      </c>
      <c r="BC8" s="2280"/>
      <c r="BD8" s="2281"/>
      <c r="BE8" s="2297" t="s">
        <v>733</v>
      </c>
      <c r="BF8" s="2298"/>
      <c r="BG8" s="2299"/>
      <c r="BH8" s="2258" t="s">
        <v>572</v>
      </c>
      <c r="BI8" s="2303"/>
      <c r="BJ8" s="2304"/>
      <c r="BK8" s="2297" t="s">
        <v>157</v>
      </c>
      <c r="BL8" s="2298"/>
      <c r="BM8" s="2299"/>
      <c r="BN8" s="2297" t="s">
        <v>526</v>
      </c>
      <c r="BO8" s="2298"/>
      <c r="BP8" s="2299"/>
      <c r="BQ8" s="2264" t="s">
        <v>528</v>
      </c>
      <c r="BR8" s="2280"/>
      <c r="BS8" s="2281"/>
      <c r="BT8" s="931"/>
      <c r="BU8" s="932"/>
      <c r="BV8" s="933"/>
      <c r="BW8" s="931"/>
      <c r="BX8" s="932"/>
      <c r="BY8" s="933"/>
      <c r="BZ8" s="2271" t="s">
        <v>530</v>
      </c>
      <c r="CA8" s="2272"/>
      <c r="CB8" s="2273"/>
      <c r="CC8" s="2271" t="s">
        <v>156</v>
      </c>
      <c r="CD8" s="2272"/>
      <c r="CE8" s="2273"/>
      <c r="CF8" s="2287" t="s">
        <v>532</v>
      </c>
      <c r="CG8" s="2288"/>
      <c r="CH8" s="2289"/>
      <c r="CI8" s="2264"/>
      <c r="CJ8" s="2280"/>
      <c r="CK8" s="2281"/>
      <c r="CL8" s="2264" t="s">
        <v>1137</v>
      </c>
      <c r="CM8" s="2280"/>
      <c r="CN8" s="2281"/>
      <c r="CO8" s="2264" t="s">
        <v>1178</v>
      </c>
      <c r="CP8" s="2280"/>
      <c r="CQ8" s="2281"/>
      <c r="CR8" s="2264" t="s">
        <v>1190</v>
      </c>
      <c r="CS8" s="2280"/>
      <c r="CT8" s="2281"/>
      <c r="CU8" s="2284" t="s">
        <v>572</v>
      </c>
      <c r="CV8" s="2285"/>
      <c r="CW8" s="2286"/>
      <c r="CX8" s="2258"/>
      <c r="CY8" s="2259"/>
      <c r="CZ8" s="2260"/>
      <c r="DA8" s="2264" t="s">
        <v>539</v>
      </c>
      <c r="DB8" s="2280"/>
      <c r="DC8" s="2281"/>
      <c r="DD8" s="2264"/>
      <c r="DE8" s="2280"/>
      <c r="DF8" s="2281"/>
      <c r="DG8" s="2264"/>
      <c r="DH8" s="2265"/>
      <c r="DI8" s="2266"/>
      <c r="DJ8" s="2259" t="s">
        <v>572</v>
      </c>
      <c r="DK8" s="2259"/>
      <c r="DL8" s="2260"/>
      <c r="DM8" s="2264" t="s">
        <v>896</v>
      </c>
      <c r="DN8" s="2265"/>
      <c r="DO8" s="2266"/>
      <c r="DP8" s="2264"/>
      <c r="DQ8" s="2265"/>
      <c r="DR8" s="2266"/>
      <c r="DS8" s="2305"/>
      <c r="DT8" s="2305"/>
      <c r="DU8" s="2305"/>
      <c r="DV8" s="712" t="s">
        <v>199</v>
      </c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</row>
    <row r="9" spans="1:223" x14ac:dyDescent="0.2">
      <c r="A9" s="126"/>
      <c r="B9" s="126" t="s">
        <v>671</v>
      </c>
      <c r="C9" s="127" t="s">
        <v>158</v>
      </c>
      <c r="D9" s="124" t="s">
        <v>159</v>
      </c>
      <c r="E9" s="124" t="s">
        <v>196</v>
      </c>
      <c r="F9" s="127" t="s">
        <v>158</v>
      </c>
      <c r="G9" s="124" t="s">
        <v>159</v>
      </c>
      <c r="H9" s="124" t="s">
        <v>196</v>
      </c>
      <c r="I9" s="127" t="s">
        <v>158</v>
      </c>
      <c r="J9" s="124" t="s">
        <v>159</v>
      </c>
      <c r="K9" s="124" t="s">
        <v>196</v>
      </c>
      <c r="L9" s="127" t="s">
        <v>158</v>
      </c>
      <c r="M9" s="124" t="s">
        <v>159</v>
      </c>
      <c r="N9" s="124" t="s">
        <v>196</v>
      </c>
      <c r="O9" s="127" t="s">
        <v>158</v>
      </c>
      <c r="P9" s="124" t="s">
        <v>159</v>
      </c>
      <c r="Q9" s="124" t="s">
        <v>196</v>
      </c>
      <c r="R9" s="706" t="s">
        <v>158</v>
      </c>
      <c r="S9" s="124" t="s">
        <v>159</v>
      </c>
      <c r="T9" s="124" t="s">
        <v>196</v>
      </c>
      <c r="U9" s="127" t="s">
        <v>158</v>
      </c>
      <c r="V9" s="124" t="s">
        <v>159</v>
      </c>
      <c r="W9" s="127" t="s">
        <v>196</v>
      </c>
      <c r="X9" s="127" t="s">
        <v>158</v>
      </c>
      <c r="Y9" s="124" t="s">
        <v>159</v>
      </c>
      <c r="Z9" s="707" t="s">
        <v>196</v>
      </c>
      <c r="AA9" s="706" t="s">
        <v>158</v>
      </c>
      <c r="AB9" s="124" t="s">
        <v>159</v>
      </c>
      <c r="AC9" s="124" t="s">
        <v>196</v>
      </c>
      <c r="AD9" s="127" t="s">
        <v>158</v>
      </c>
      <c r="AE9" s="124" t="s">
        <v>159</v>
      </c>
      <c r="AF9" s="124" t="s">
        <v>196</v>
      </c>
      <c r="AG9" s="127" t="s">
        <v>158</v>
      </c>
      <c r="AH9" s="124" t="s">
        <v>159</v>
      </c>
      <c r="AI9" s="124" t="s">
        <v>196</v>
      </c>
      <c r="AJ9" s="127" t="s">
        <v>158</v>
      </c>
      <c r="AK9" s="124" t="s">
        <v>159</v>
      </c>
      <c r="AL9" s="124" t="s">
        <v>196</v>
      </c>
      <c r="AM9" s="706" t="s">
        <v>158</v>
      </c>
      <c r="AN9" s="124" t="s">
        <v>159</v>
      </c>
      <c r="AO9" s="124" t="s">
        <v>196</v>
      </c>
      <c r="AP9" s="127" t="s">
        <v>158</v>
      </c>
      <c r="AQ9" s="124" t="s">
        <v>159</v>
      </c>
      <c r="AR9" s="124" t="s">
        <v>196</v>
      </c>
      <c r="AS9" s="127" t="s">
        <v>158</v>
      </c>
      <c r="AT9" s="124" t="s">
        <v>159</v>
      </c>
      <c r="AU9" s="124" t="s">
        <v>196</v>
      </c>
      <c r="AV9" s="127" t="s">
        <v>158</v>
      </c>
      <c r="AW9" s="124" t="s">
        <v>159</v>
      </c>
      <c r="AX9" s="124" t="s">
        <v>196</v>
      </c>
      <c r="AY9" s="706" t="s">
        <v>158</v>
      </c>
      <c r="AZ9" s="124" t="s">
        <v>159</v>
      </c>
      <c r="BA9" s="124" t="s">
        <v>196</v>
      </c>
      <c r="BB9" s="127" t="s">
        <v>158</v>
      </c>
      <c r="BC9" s="124" t="s">
        <v>159</v>
      </c>
      <c r="BD9" s="124" t="s">
        <v>196</v>
      </c>
      <c r="BE9" s="127" t="s">
        <v>158</v>
      </c>
      <c r="BF9" s="124" t="s">
        <v>159</v>
      </c>
      <c r="BG9" s="124" t="s">
        <v>196</v>
      </c>
      <c r="BH9" s="706" t="s">
        <v>158</v>
      </c>
      <c r="BI9" s="124" t="s">
        <v>159</v>
      </c>
      <c r="BJ9" s="124" t="s">
        <v>196</v>
      </c>
      <c r="BK9" s="127" t="s">
        <v>158</v>
      </c>
      <c r="BL9" s="124" t="s">
        <v>159</v>
      </c>
      <c r="BM9" s="124" t="s">
        <v>196</v>
      </c>
      <c r="BN9" s="127" t="s">
        <v>158</v>
      </c>
      <c r="BO9" s="124" t="s">
        <v>159</v>
      </c>
      <c r="BP9" s="124" t="s">
        <v>196</v>
      </c>
      <c r="BQ9" s="124" t="s">
        <v>158</v>
      </c>
      <c r="BR9" s="124" t="s">
        <v>159</v>
      </c>
      <c r="BS9" s="127" t="s">
        <v>196</v>
      </c>
      <c r="BT9" s="957" t="s">
        <v>158</v>
      </c>
      <c r="BU9" s="709" t="s">
        <v>159</v>
      </c>
      <c r="BV9" s="710" t="s">
        <v>196</v>
      </c>
      <c r="BW9" s="112" t="s">
        <v>158</v>
      </c>
      <c r="BX9" s="113" t="s">
        <v>159</v>
      </c>
      <c r="BY9" s="113" t="s">
        <v>196</v>
      </c>
      <c r="BZ9" s="406" t="s">
        <v>158</v>
      </c>
      <c r="CA9" s="113" t="s">
        <v>159</v>
      </c>
      <c r="CB9" s="113" t="s">
        <v>196</v>
      </c>
      <c r="CC9" s="112" t="s">
        <v>158</v>
      </c>
      <c r="CD9" s="113" t="s">
        <v>159</v>
      </c>
      <c r="CE9" s="113" t="s">
        <v>196</v>
      </c>
      <c r="CF9" s="112" t="s">
        <v>158</v>
      </c>
      <c r="CG9" s="113" t="s">
        <v>159</v>
      </c>
      <c r="CH9" s="113" t="s">
        <v>196</v>
      </c>
      <c r="CI9" s="406" t="s">
        <v>158</v>
      </c>
      <c r="CJ9" s="113" t="s">
        <v>159</v>
      </c>
      <c r="CK9" s="124" t="s">
        <v>196</v>
      </c>
      <c r="CL9" s="112" t="s">
        <v>158</v>
      </c>
      <c r="CM9" s="113" t="s">
        <v>159</v>
      </c>
      <c r="CN9" s="113" t="s">
        <v>196</v>
      </c>
      <c r="CO9" s="112" t="s">
        <v>158</v>
      </c>
      <c r="CP9" s="113" t="s">
        <v>159</v>
      </c>
      <c r="CQ9" s="113" t="s">
        <v>196</v>
      </c>
      <c r="CR9" s="112" t="s">
        <v>158</v>
      </c>
      <c r="CS9" s="113" t="s">
        <v>159</v>
      </c>
      <c r="CT9" s="113" t="s">
        <v>196</v>
      </c>
      <c r="CU9" s="112" t="s">
        <v>158</v>
      </c>
      <c r="CV9" s="113" t="s">
        <v>159</v>
      </c>
      <c r="CW9" s="124" t="s">
        <v>196</v>
      </c>
      <c r="CX9" s="128" t="s">
        <v>158</v>
      </c>
      <c r="CY9" s="128" t="s">
        <v>159</v>
      </c>
      <c r="CZ9" s="128" t="s">
        <v>196</v>
      </c>
      <c r="DA9" s="406" t="s">
        <v>158</v>
      </c>
      <c r="DB9" s="113" t="s">
        <v>159</v>
      </c>
      <c r="DC9" s="124" t="s">
        <v>196</v>
      </c>
      <c r="DD9" s="406" t="s">
        <v>158</v>
      </c>
      <c r="DE9" s="113" t="s">
        <v>159</v>
      </c>
      <c r="DF9" s="124" t="s">
        <v>196</v>
      </c>
      <c r="DG9" s="112" t="s">
        <v>158</v>
      </c>
      <c r="DH9" s="113" t="s">
        <v>159</v>
      </c>
      <c r="DI9" s="124" t="s">
        <v>196</v>
      </c>
      <c r="DJ9" s="112" t="s">
        <v>158</v>
      </c>
      <c r="DK9" s="113" t="s">
        <v>159</v>
      </c>
      <c r="DL9" s="124" t="s">
        <v>196</v>
      </c>
      <c r="DM9" s="406" t="s">
        <v>158</v>
      </c>
      <c r="DN9" s="113" t="s">
        <v>159</v>
      </c>
      <c r="DO9" s="124" t="s">
        <v>196</v>
      </c>
      <c r="DP9" s="112" t="s">
        <v>158</v>
      </c>
      <c r="DQ9" s="113" t="s">
        <v>159</v>
      </c>
      <c r="DR9" s="124" t="s">
        <v>196</v>
      </c>
      <c r="DS9" s="128" t="s">
        <v>158</v>
      </c>
      <c r="DT9" s="128" t="s">
        <v>159</v>
      </c>
      <c r="DU9" s="128" t="s">
        <v>196</v>
      </c>
      <c r="DV9" s="712" t="s">
        <v>197</v>
      </c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</row>
    <row r="10" spans="1:223" ht="13.5" thickBot="1" x14ac:dyDescent="0.25">
      <c r="A10" s="650"/>
      <c r="B10" s="651" t="s">
        <v>571</v>
      </c>
      <c r="C10" s="2308" t="s">
        <v>8</v>
      </c>
      <c r="D10" s="2309"/>
      <c r="E10" s="129"/>
      <c r="F10" s="2308" t="s">
        <v>8</v>
      </c>
      <c r="G10" s="2309"/>
      <c r="H10" s="129"/>
      <c r="I10" s="2308" t="s">
        <v>8</v>
      </c>
      <c r="J10" s="2309"/>
      <c r="K10" s="129"/>
      <c r="L10" s="2308" t="s">
        <v>8</v>
      </c>
      <c r="M10" s="2309"/>
      <c r="N10" s="129"/>
      <c r="O10" s="2308" t="s">
        <v>8</v>
      </c>
      <c r="P10" s="2309"/>
      <c r="Q10" s="129"/>
      <c r="R10" s="2310" t="s">
        <v>8</v>
      </c>
      <c r="S10" s="2309"/>
      <c r="T10" s="129"/>
      <c r="U10" s="2308" t="s">
        <v>8</v>
      </c>
      <c r="V10" s="2309"/>
      <c r="W10" s="130"/>
      <c r="X10" s="2308" t="s">
        <v>8</v>
      </c>
      <c r="Y10" s="2309"/>
      <c r="Z10" s="708"/>
      <c r="AA10" s="2310" t="s">
        <v>8</v>
      </c>
      <c r="AB10" s="2309"/>
      <c r="AC10" s="129"/>
      <c r="AD10" s="2308" t="s">
        <v>8</v>
      </c>
      <c r="AE10" s="2309"/>
      <c r="AF10" s="129"/>
      <c r="AG10" s="2308" t="s">
        <v>8</v>
      </c>
      <c r="AH10" s="2309"/>
      <c r="AI10" s="129"/>
      <c r="AJ10" s="2308" t="s">
        <v>8</v>
      </c>
      <c r="AK10" s="2309"/>
      <c r="AL10" s="129"/>
      <c r="AM10" s="2310" t="s">
        <v>8</v>
      </c>
      <c r="AN10" s="2309"/>
      <c r="AO10" s="129"/>
      <c r="AP10" s="2308" t="s">
        <v>8</v>
      </c>
      <c r="AQ10" s="2309"/>
      <c r="AR10" s="129"/>
      <c r="AS10" s="2308" t="s">
        <v>8</v>
      </c>
      <c r="AT10" s="2309"/>
      <c r="AU10" s="129"/>
      <c r="AV10" s="2308" t="s">
        <v>8</v>
      </c>
      <c r="AW10" s="2309"/>
      <c r="AX10" s="129"/>
      <c r="AY10" s="2310" t="s">
        <v>8</v>
      </c>
      <c r="AZ10" s="2309"/>
      <c r="BA10" s="129"/>
      <c r="BB10" s="2308" t="s">
        <v>8</v>
      </c>
      <c r="BC10" s="2309"/>
      <c r="BD10" s="129"/>
      <c r="BE10" s="130" t="s">
        <v>8</v>
      </c>
      <c r="BF10" s="129"/>
      <c r="BG10" s="129"/>
      <c r="BH10" s="2310" t="s">
        <v>8</v>
      </c>
      <c r="BI10" s="2309"/>
      <c r="BJ10" s="129"/>
      <c r="BK10" s="2308" t="s">
        <v>8</v>
      </c>
      <c r="BL10" s="2309"/>
      <c r="BM10" s="129"/>
      <c r="BN10" s="2308" t="s">
        <v>8</v>
      </c>
      <c r="BO10" s="2309"/>
      <c r="BP10" s="129"/>
      <c r="BQ10" s="129" t="s">
        <v>8</v>
      </c>
      <c r="BR10" s="129"/>
      <c r="BS10" s="130"/>
      <c r="BT10" s="2311" t="s">
        <v>8</v>
      </c>
      <c r="BU10" s="2312"/>
      <c r="BV10" s="711"/>
      <c r="BW10" s="2274" t="s">
        <v>8</v>
      </c>
      <c r="BX10" s="2275"/>
      <c r="BY10" s="116"/>
      <c r="BZ10" s="2278" t="s">
        <v>8</v>
      </c>
      <c r="CA10" s="2275"/>
      <c r="CB10" s="116"/>
      <c r="CC10" s="2274" t="s">
        <v>8</v>
      </c>
      <c r="CD10" s="2275"/>
      <c r="CE10" s="116"/>
      <c r="CF10" s="2274" t="s">
        <v>8</v>
      </c>
      <c r="CG10" s="2275"/>
      <c r="CH10" s="116"/>
      <c r="CI10" s="2278" t="s">
        <v>8</v>
      </c>
      <c r="CJ10" s="2275"/>
      <c r="CK10" s="129"/>
      <c r="CL10" s="2274" t="s">
        <v>8</v>
      </c>
      <c r="CM10" s="2275"/>
      <c r="CN10" s="116"/>
      <c r="CO10" s="2274" t="s">
        <v>8</v>
      </c>
      <c r="CP10" s="2275"/>
      <c r="CQ10" s="116"/>
      <c r="CR10" s="2274" t="s">
        <v>8</v>
      </c>
      <c r="CS10" s="2275"/>
      <c r="CT10" s="116"/>
      <c r="CU10" s="2274" t="s">
        <v>8</v>
      </c>
      <c r="CV10" s="2275"/>
      <c r="CW10" s="129"/>
      <c r="CX10" s="2313" t="s">
        <v>8</v>
      </c>
      <c r="CY10" s="2313"/>
      <c r="CZ10" s="131"/>
      <c r="DA10" s="2278" t="s">
        <v>8</v>
      </c>
      <c r="DB10" s="2275"/>
      <c r="DC10" s="129"/>
      <c r="DD10" s="2278" t="s">
        <v>8</v>
      </c>
      <c r="DE10" s="2275"/>
      <c r="DF10" s="129"/>
      <c r="DG10" s="2274" t="s">
        <v>8</v>
      </c>
      <c r="DH10" s="2275"/>
      <c r="DI10" s="129"/>
      <c r="DJ10" s="2274" t="s">
        <v>8</v>
      </c>
      <c r="DK10" s="2275"/>
      <c r="DL10" s="129"/>
      <c r="DM10" s="2278" t="s">
        <v>8</v>
      </c>
      <c r="DN10" s="2275"/>
      <c r="DO10" s="129"/>
      <c r="DP10" s="2274" t="s">
        <v>8</v>
      </c>
      <c r="DQ10" s="2275"/>
      <c r="DR10" s="129"/>
      <c r="DS10" s="2313" t="s">
        <v>8</v>
      </c>
      <c r="DT10" s="2313"/>
      <c r="DU10" s="131"/>
      <c r="DV10" s="713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</row>
    <row r="11" spans="1:223" x14ac:dyDescent="0.2">
      <c r="A11" s="652">
        <v>1</v>
      </c>
      <c r="B11" s="653">
        <v>2</v>
      </c>
      <c r="C11" s="2226">
        <v>3</v>
      </c>
      <c r="D11" s="1963">
        <v>4</v>
      </c>
      <c r="E11" s="147">
        <v>5</v>
      </c>
      <c r="F11" s="2226">
        <v>6</v>
      </c>
      <c r="G11" s="1963">
        <v>7</v>
      </c>
      <c r="H11" s="147">
        <v>8</v>
      </c>
      <c r="I11" s="2226">
        <v>9</v>
      </c>
      <c r="J11" s="1963">
        <v>10</v>
      </c>
      <c r="K11" s="147">
        <v>11</v>
      </c>
      <c r="L11" s="2226">
        <v>3</v>
      </c>
      <c r="M11" s="1963">
        <v>4</v>
      </c>
      <c r="N11" s="147">
        <v>5</v>
      </c>
      <c r="O11" s="2226">
        <v>6</v>
      </c>
      <c r="P11" s="1963">
        <v>7</v>
      </c>
      <c r="Q11" s="147">
        <v>8</v>
      </c>
      <c r="R11" s="2226">
        <v>9</v>
      </c>
      <c r="S11" s="1963">
        <v>10</v>
      </c>
      <c r="T11" s="147">
        <v>11</v>
      </c>
      <c r="U11" s="2226">
        <v>3</v>
      </c>
      <c r="V11" s="1963">
        <v>4</v>
      </c>
      <c r="W11" s="147">
        <v>5</v>
      </c>
      <c r="X11" s="2226">
        <v>6</v>
      </c>
      <c r="Y11" s="1963">
        <v>7</v>
      </c>
      <c r="Z11" s="147">
        <v>8</v>
      </c>
      <c r="AA11" s="2226">
        <v>9</v>
      </c>
      <c r="AB11" s="1963">
        <v>10</v>
      </c>
      <c r="AC11" s="147">
        <v>11</v>
      </c>
      <c r="AD11" s="2226">
        <v>3</v>
      </c>
      <c r="AE11" s="1963">
        <v>4</v>
      </c>
      <c r="AF11" s="147">
        <v>5</v>
      </c>
      <c r="AG11" s="2226">
        <v>6</v>
      </c>
      <c r="AH11" s="1963">
        <v>7</v>
      </c>
      <c r="AI11" s="147">
        <v>8</v>
      </c>
      <c r="AJ11" s="2226">
        <v>9</v>
      </c>
      <c r="AK11" s="1963">
        <v>10</v>
      </c>
      <c r="AL11" s="147">
        <v>11</v>
      </c>
      <c r="AM11" s="2226">
        <v>3</v>
      </c>
      <c r="AN11" s="1963">
        <v>4</v>
      </c>
      <c r="AO11" s="147">
        <v>5</v>
      </c>
      <c r="AP11" s="2226">
        <v>6</v>
      </c>
      <c r="AQ11" s="1963">
        <v>7</v>
      </c>
      <c r="AR11" s="147">
        <v>8</v>
      </c>
      <c r="AS11" s="2226">
        <v>9</v>
      </c>
      <c r="AT11" s="1963">
        <v>10</v>
      </c>
      <c r="AU11" s="147">
        <v>11</v>
      </c>
      <c r="AV11" s="2226">
        <v>3</v>
      </c>
      <c r="AW11" s="1963">
        <v>4</v>
      </c>
      <c r="AX11" s="147">
        <v>5</v>
      </c>
      <c r="AY11" s="2226">
        <v>6</v>
      </c>
      <c r="AZ11" s="1963">
        <v>7</v>
      </c>
      <c r="BA11" s="147">
        <v>8</v>
      </c>
      <c r="BB11" s="2226">
        <v>9</v>
      </c>
      <c r="BC11" s="1963">
        <v>10</v>
      </c>
      <c r="BD11" s="147">
        <v>11</v>
      </c>
      <c r="BE11" s="2226">
        <v>3</v>
      </c>
      <c r="BF11" s="1963">
        <v>4</v>
      </c>
      <c r="BG11" s="147">
        <v>5</v>
      </c>
      <c r="BH11" s="2226">
        <v>6</v>
      </c>
      <c r="BI11" s="1963">
        <v>7</v>
      </c>
      <c r="BJ11" s="147">
        <v>8</v>
      </c>
      <c r="BK11" s="2226">
        <v>9</v>
      </c>
      <c r="BL11" s="1963">
        <v>10</v>
      </c>
      <c r="BM11" s="147">
        <v>11</v>
      </c>
      <c r="BN11" s="2226">
        <v>3</v>
      </c>
      <c r="BO11" s="1963">
        <v>4</v>
      </c>
      <c r="BP11" s="147">
        <v>5</v>
      </c>
      <c r="BQ11" s="2226">
        <v>6</v>
      </c>
      <c r="BR11" s="1963">
        <v>7</v>
      </c>
      <c r="BS11" s="147">
        <v>8</v>
      </c>
      <c r="BT11" s="2226">
        <v>9</v>
      </c>
      <c r="BU11" s="1963">
        <v>10</v>
      </c>
      <c r="BV11" s="147">
        <v>11</v>
      </c>
      <c r="BW11" s="2226">
        <v>3</v>
      </c>
      <c r="BX11" s="1963">
        <v>4</v>
      </c>
      <c r="BY11" s="147">
        <v>5</v>
      </c>
      <c r="BZ11" s="2226">
        <v>6</v>
      </c>
      <c r="CA11" s="1963">
        <v>7</v>
      </c>
      <c r="CB11" s="147">
        <v>8</v>
      </c>
      <c r="CC11" s="2226">
        <v>9</v>
      </c>
      <c r="CD11" s="1963">
        <v>10</v>
      </c>
      <c r="CE11" s="147">
        <v>11</v>
      </c>
      <c r="CF11" s="2226">
        <v>3</v>
      </c>
      <c r="CG11" s="1963">
        <v>4</v>
      </c>
      <c r="CH11" s="147">
        <v>5</v>
      </c>
      <c r="CI11" s="2226">
        <v>6</v>
      </c>
      <c r="CJ11" s="1963">
        <v>7</v>
      </c>
      <c r="CK11" s="2227">
        <v>8</v>
      </c>
      <c r="CL11" s="2226">
        <v>6</v>
      </c>
      <c r="CM11" s="1963">
        <v>7</v>
      </c>
      <c r="CN11" s="147">
        <v>8</v>
      </c>
      <c r="CO11" s="2226">
        <v>6</v>
      </c>
      <c r="CP11" s="1963">
        <v>7</v>
      </c>
      <c r="CQ11" s="147">
        <v>8</v>
      </c>
      <c r="CR11" s="2226">
        <v>3</v>
      </c>
      <c r="CS11" s="1963">
        <v>4</v>
      </c>
      <c r="CT11" s="147">
        <v>5</v>
      </c>
      <c r="CU11" s="2226">
        <v>9</v>
      </c>
      <c r="CV11" s="1963">
        <v>10</v>
      </c>
      <c r="CW11" s="147">
        <v>11</v>
      </c>
      <c r="CX11" s="2226">
        <v>3</v>
      </c>
      <c r="CY11" s="1963">
        <v>4</v>
      </c>
      <c r="CZ11" s="147">
        <v>5</v>
      </c>
      <c r="DA11" s="2226">
        <v>6</v>
      </c>
      <c r="DB11" s="1963">
        <v>7</v>
      </c>
      <c r="DC11" s="147">
        <v>8</v>
      </c>
      <c r="DD11" s="2226">
        <v>9</v>
      </c>
      <c r="DE11" s="1963">
        <v>10</v>
      </c>
      <c r="DF11" s="147">
        <v>11</v>
      </c>
      <c r="DG11" s="2226">
        <v>6</v>
      </c>
      <c r="DH11" s="1963">
        <v>7</v>
      </c>
      <c r="DI11" s="147">
        <v>8</v>
      </c>
      <c r="DJ11" s="2226">
        <v>9</v>
      </c>
      <c r="DK11" s="1963">
        <v>10</v>
      </c>
      <c r="DL11" s="147">
        <v>11</v>
      </c>
      <c r="DM11" s="2226">
        <v>3</v>
      </c>
      <c r="DN11" s="1963">
        <v>4</v>
      </c>
      <c r="DO11" s="147">
        <v>5</v>
      </c>
      <c r="DP11" s="2226">
        <v>6</v>
      </c>
      <c r="DQ11" s="1963">
        <v>7</v>
      </c>
      <c r="DR11" s="147">
        <v>8</v>
      </c>
      <c r="DS11" s="2226">
        <v>3</v>
      </c>
      <c r="DT11" s="1963">
        <v>4</v>
      </c>
      <c r="DU11" s="147">
        <v>5</v>
      </c>
      <c r="DV11" s="714">
        <v>6</v>
      </c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</row>
    <row r="12" spans="1:223" ht="20.100000000000001" customHeight="1" x14ac:dyDescent="0.2">
      <c r="A12" s="1677" t="s">
        <v>134</v>
      </c>
      <c r="B12" s="1678" t="s">
        <v>923</v>
      </c>
      <c r="C12" s="654">
        <f t="shared" ref="C12:X12" si="0">C13+C26+C47+C59</f>
        <v>10795</v>
      </c>
      <c r="D12" s="697">
        <f t="shared" si="0"/>
        <v>10795</v>
      </c>
      <c r="E12" s="662">
        <f t="shared" si="0"/>
        <v>7909.6039999999994</v>
      </c>
      <c r="F12" s="654">
        <f t="shared" si="0"/>
        <v>1203401</v>
      </c>
      <c r="G12" s="697">
        <f t="shared" si="0"/>
        <v>1155382</v>
      </c>
      <c r="H12" s="662">
        <f t="shared" si="0"/>
        <v>1155409.1339999998</v>
      </c>
      <c r="I12" s="654">
        <f t="shared" si="0"/>
        <v>175476</v>
      </c>
      <c r="J12" s="697">
        <f t="shared" si="0"/>
        <v>132557</v>
      </c>
      <c r="K12" s="662">
        <f t="shared" si="0"/>
        <v>180020.72899999999</v>
      </c>
      <c r="L12" s="654">
        <f t="shared" si="0"/>
        <v>0</v>
      </c>
      <c r="M12" s="697">
        <f t="shared" si="0"/>
        <v>300</v>
      </c>
      <c r="N12" s="662">
        <f t="shared" si="0"/>
        <v>600</v>
      </c>
      <c r="O12" s="654">
        <f t="shared" si="0"/>
        <v>0</v>
      </c>
      <c r="P12" s="697">
        <f t="shared" si="0"/>
        <v>0</v>
      </c>
      <c r="Q12" s="662">
        <f t="shared" si="0"/>
        <v>0</v>
      </c>
      <c r="R12" s="654">
        <f t="shared" si="0"/>
        <v>57806</v>
      </c>
      <c r="S12" s="697">
        <f t="shared" si="0"/>
        <v>58612</v>
      </c>
      <c r="T12" s="662">
        <f t="shared" si="0"/>
        <v>57242.440999999999</v>
      </c>
      <c r="U12" s="654">
        <f t="shared" si="0"/>
        <v>93738</v>
      </c>
      <c r="V12" s="697">
        <f t="shared" si="0"/>
        <v>93738</v>
      </c>
      <c r="W12" s="662">
        <f t="shared" si="0"/>
        <v>103740.406</v>
      </c>
      <c r="X12" s="654">
        <f t="shared" si="0"/>
        <v>3044</v>
      </c>
      <c r="Y12" s="697">
        <f>Y13+Y26+Y47+Y59</f>
        <v>3043.08</v>
      </c>
      <c r="Z12" s="662">
        <f t="shared" ref="Z12:BE12" si="1">Z13+Z26+Z47+Z59</f>
        <v>2154.0190000000002</v>
      </c>
      <c r="AA12" s="654">
        <f t="shared" si="1"/>
        <v>0</v>
      </c>
      <c r="AB12" s="697">
        <f t="shared" si="1"/>
        <v>0</v>
      </c>
      <c r="AC12" s="662">
        <f t="shared" si="1"/>
        <v>0</v>
      </c>
      <c r="AD12" s="654">
        <f t="shared" si="1"/>
        <v>0</v>
      </c>
      <c r="AE12" s="697">
        <f t="shared" si="1"/>
        <v>0</v>
      </c>
      <c r="AF12" s="662">
        <f t="shared" si="1"/>
        <v>0</v>
      </c>
      <c r="AG12" s="654">
        <f t="shared" si="1"/>
        <v>471619</v>
      </c>
      <c r="AH12" s="697">
        <f t="shared" si="1"/>
        <v>475359</v>
      </c>
      <c r="AI12" s="662">
        <f t="shared" si="1"/>
        <v>474068.424</v>
      </c>
      <c r="AJ12" s="654">
        <f t="shared" si="1"/>
        <v>7785486</v>
      </c>
      <c r="AK12" s="697">
        <f t="shared" si="1"/>
        <v>7785486</v>
      </c>
      <c r="AL12" s="662">
        <f t="shared" si="1"/>
        <v>8139946.705000001</v>
      </c>
      <c r="AM12" s="654">
        <f t="shared" si="1"/>
        <v>0</v>
      </c>
      <c r="AN12" s="697">
        <f t="shared" si="1"/>
        <v>0</v>
      </c>
      <c r="AO12" s="662">
        <f t="shared" si="1"/>
        <v>0</v>
      </c>
      <c r="AP12" s="654">
        <f t="shared" si="1"/>
        <v>0</v>
      </c>
      <c r="AQ12" s="697">
        <f t="shared" si="1"/>
        <v>1051</v>
      </c>
      <c r="AR12" s="662">
        <f t="shared" si="1"/>
        <v>1051.105</v>
      </c>
      <c r="AS12" s="654">
        <f t="shared" si="1"/>
        <v>0</v>
      </c>
      <c r="AT12" s="697">
        <f t="shared" si="1"/>
        <v>136</v>
      </c>
      <c r="AU12" s="662">
        <f t="shared" si="1"/>
        <v>135.666</v>
      </c>
      <c r="AV12" s="654">
        <f t="shared" si="1"/>
        <v>343607</v>
      </c>
      <c r="AW12" s="697">
        <f t="shared" si="1"/>
        <v>343607</v>
      </c>
      <c r="AX12" s="662">
        <f t="shared" si="1"/>
        <v>341118.46900000004</v>
      </c>
      <c r="AY12" s="654">
        <f t="shared" si="1"/>
        <v>0</v>
      </c>
      <c r="AZ12" s="697">
        <f t="shared" si="1"/>
        <v>267</v>
      </c>
      <c r="BA12" s="662">
        <f t="shared" si="1"/>
        <v>465.24400000000003</v>
      </c>
      <c r="BB12" s="654">
        <f t="shared" si="1"/>
        <v>2501480.682</v>
      </c>
      <c r="BC12" s="697">
        <f t="shared" si="1"/>
        <v>2829077.9040000001</v>
      </c>
      <c r="BD12" s="662">
        <f t="shared" si="1"/>
        <v>2883715.9530000002</v>
      </c>
      <c r="BE12" s="654">
        <f t="shared" si="1"/>
        <v>254529</v>
      </c>
      <c r="BF12" s="697">
        <f t="shared" ref="BF12:CK12" si="2">BF13+BF26+BF47+BF59</f>
        <v>275239.63500000001</v>
      </c>
      <c r="BG12" s="662">
        <f t="shared" si="2"/>
        <v>241496.85500000001</v>
      </c>
      <c r="BH12" s="654">
        <f t="shared" si="2"/>
        <v>12900981.682</v>
      </c>
      <c r="BI12" s="697">
        <f t="shared" si="2"/>
        <v>13164650.618999999</v>
      </c>
      <c r="BJ12" s="662">
        <f t="shared" si="2"/>
        <v>13589074.754000001</v>
      </c>
      <c r="BK12" s="654">
        <f t="shared" si="2"/>
        <v>0</v>
      </c>
      <c r="BL12" s="697">
        <f t="shared" si="2"/>
        <v>0</v>
      </c>
      <c r="BM12" s="662">
        <f t="shared" si="2"/>
        <v>0</v>
      </c>
      <c r="BN12" s="654">
        <f t="shared" si="2"/>
        <v>1000</v>
      </c>
      <c r="BO12" s="697">
        <f t="shared" si="2"/>
        <v>1000</v>
      </c>
      <c r="BP12" s="662">
        <f t="shared" si="2"/>
        <v>635</v>
      </c>
      <c r="BQ12" s="654">
        <f t="shared" si="2"/>
        <v>0</v>
      </c>
      <c r="BR12" s="697">
        <f t="shared" si="2"/>
        <v>0</v>
      </c>
      <c r="BS12" s="662">
        <f t="shared" si="2"/>
        <v>0</v>
      </c>
      <c r="BT12" s="654">
        <f t="shared" si="2"/>
        <v>0</v>
      </c>
      <c r="BU12" s="697">
        <f t="shared" si="2"/>
        <v>0</v>
      </c>
      <c r="BV12" s="662">
        <f t="shared" si="2"/>
        <v>0</v>
      </c>
      <c r="BW12" s="654">
        <f t="shared" si="2"/>
        <v>0</v>
      </c>
      <c r="BX12" s="697">
        <f t="shared" si="2"/>
        <v>0</v>
      </c>
      <c r="BY12" s="662">
        <f t="shared" si="2"/>
        <v>0</v>
      </c>
      <c r="BZ12" s="654">
        <f t="shared" si="2"/>
        <v>1270</v>
      </c>
      <c r="CA12" s="697">
        <f t="shared" si="2"/>
        <v>1270</v>
      </c>
      <c r="CB12" s="662">
        <f t="shared" si="2"/>
        <v>7378.085</v>
      </c>
      <c r="CC12" s="654">
        <f t="shared" si="2"/>
        <v>400.31799999999998</v>
      </c>
      <c r="CD12" s="697">
        <f t="shared" si="2"/>
        <v>400.31799999999998</v>
      </c>
      <c r="CE12" s="662">
        <f t="shared" si="2"/>
        <v>1065.663</v>
      </c>
      <c r="CF12" s="654">
        <f t="shared" si="2"/>
        <v>0</v>
      </c>
      <c r="CG12" s="697">
        <f t="shared" si="2"/>
        <v>0</v>
      </c>
      <c r="CH12" s="662">
        <f t="shared" si="2"/>
        <v>0</v>
      </c>
      <c r="CI12" s="654">
        <f t="shared" si="2"/>
        <v>0</v>
      </c>
      <c r="CJ12" s="697">
        <f t="shared" si="2"/>
        <v>3600</v>
      </c>
      <c r="CK12" s="1969">
        <f t="shared" si="2"/>
        <v>3622.9989999999998</v>
      </c>
      <c r="CL12" s="654">
        <f t="shared" ref="CL12:CW12" si="3">CL13+CL26+CL47+CL59</f>
        <v>179217</v>
      </c>
      <c r="CM12" s="697">
        <f t="shared" si="3"/>
        <v>179217</v>
      </c>
      <c r="CN12" s="662">
        <f t="shared" si="3"/>
        <v>138937.878</v>
      </c>
      <c r="CO12" s="654">
        <f t="shared" ref="CO12" si="4">CO13+CO26+CO47+CO59</f>
        <v>150245</v>
      </c>
      <c r="CP12" s="697">
        <f t="shared" ref="CP12" si="5">CP13+CP26+CP47+CP59</f>
        <v>150245</v>
      </c>
      <c r="CQ12" s="662">
        <f t="shared" ref="CQ12:CT12" si="6">CQ13+CQ26+CQ47+CQ59</f>
        <v>75448.956000000006</v>
      </c>
      <c r="CR12" s="654">
        <f t="shared" si="6"/>
        <v>0</v>
      </c>
      <c r="CS12" s="697">
        <f t="shared" si="6"/>
        <v>0</v>
      </c>
      <c r="CT12" s="662">
        <f t="shared" si="6"/>
        <v>0</v>
      </c>
      <c r="CU12" s="654">
        <f t="shared" si="3"/>
        <v>332132.31800000003</v>
      </c>
      <c r="CV12" s="697">
        <f t="shared" si="3"/>
        <v>335732.31800000003</v>
      </c>
      <c r="CW12" s="662">
        <f t="shared" si="3"/>
        <v>227088.58099999998</v>
      </c>
      <c r="CX12" s="654">
        <f>BH12+CU12</f>
        <v>13233114</v>
      </c>
      <c r="CY12" s="697">
        <f t="shared" ref="CY12:CY46" si="7">BI12+CV12</f>
        <v>13500382.936999999</v>
      </c>
      <c r="CZ12" s="662">
        <f t="shared" ref="CZ12:CZ46" si="8">BJ12+CW12</f>
        <v>13816163.335000001</v>
      </c>
      <c r="DA12" s="654">
        <f t="shared" ref="DA12:DR12" si="9">DA13+DA26+DA47+DA59</f>
        <v>3328</v>
      </c>
      <c r="DB12" s="697">
        <f t="shared" si="9"/>
        <v>2099</v>
      </c>
      <c r="DC12" s="662">
        <f t="shared" si="9"/>
        <v>1856.5930000000001</v>
      </c>
      <c r="DD12" s="654">
        <f t="shared" si="9"/>
        <v>0</v>
      </c>
      <c r="DE12" s="697">
        <f t="shared" si="9"/>
        <v>0</v>
      </c>
      <c r="DF12" s="662">
        <f t="shared" si="9"/>
        <v>0</v>
      </c>
      <c r="DG12" s="654">
        <f t="shared" si="9"/>
        <v>11854</v>
      </c>
      <c r="DH12" s="697">
        <f t="shared" si="9"/>
        <v>22708.864999999998</v>
      </c>
      <c r="DI12" s="662">
        <f t="shared" si="9"/>
        <v>22709.013999999996</v>
      </c>
      <c r="DJ12" s="654">
        <f t="shared" si="9"/>
        <v>15182</v>
      </c>
      <c r="DK12" s="697">
        <f t="shared" si="9"/>
        <v>24807.864999999998</v>
      </c>
      <c r="DL12" s="662">
        <f t="shared" si="9"/>
        <v>24565.606999999996</v>
      </c>
      <c r="DM12" s="654">
        <f t="shared" si="9"/>
        <v>121711</v>
      </c>
      <c r="DN12" s="697">
        <f t="shared" si="9"/>
        <v>127627.56899999999</v>
      </c>
      <c r="DO12" s="662">
        <f t="shared" si="9"/>
        <v>136903.71500000003</v>
      </c>
      <c r="DP12" s="654">
        <f t="shared" si="9"/>
        <v>1431565.3399999999</v>
      </c>
      <c r="DQ12" s="697">
        <f t="shared" si="9"/>
        <v>1446668.9470000002</v>
      </c>
      <c r="DR12" s="662">
        <f t="shared" si="9"/>
        <v>1444431.55</v>
      </c>
      <c r="DS12" s="654">
        <f t="shared" ref="DS12:DS41" si="10">CX12+DJ12+DM12+DP12</f>
        <v>14801572.34</v>
      </c>
      <c r="DT12" s="697">
        <f t="shared" ref="DT12:DT41" si="11">CY12+DK12+DN12+DQ12</f>
        <v>15099487.318</v>
      </c>
      <c r="DU12" s="662">
        <f t="shared" ref="DU12:DU41" si="12">CZ12+DL12+DO12+DR12</f>
        <v>15422064.207000002</v>
      </c>
      <c r="DV12" s="715">
        <f t="shared" ref="DV12:DV28" si="13">DU12/DT12*100</f>
        <v>102.13634332217003</v>
      </c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</row>
    <row r="13" spans="1:223" ht="15" customHeight="1" x14ac:dyDescent="0.2">
      <c r="A13" s="1679" t="s">
        <v>327</v>
      </c>
      <c r="B13" s="1680" t="s">
        <v>924</v>
      </c>
      <c r="C13" s="654">
        <f t="shared" ref="C13:AH13" si="14">C14+C21+C25</f>
        <v>0</v>
      </c>
      <c r="D13" s="697">
        <f t="shared" si="14"/>
        <v>0</v>
      </c>
      <c r="E13" s="662">
        <f t="shared" si="14"/>
        <v>0</v>
      </c>
      <c r="F13" s="654">
        <f t="shared" si="14"/>
        <v>0</v>
      </c>
      <c r="G13" s="697">
        <f t="shared" si="14"/>
        <v>0</v>
      </c>
      <c r="H13" s="662">
        <f t="shared" si="14"/>
        <v>0</v>
      </c>
      <c r="I13" s="654">
        <f t="shared" si="14"/>
        <v>0</v>
      </c>
      <c r="J13" s="697">
        <f t="shared" si="14"/>
        <v>0</v>
      </c>
      <c r="K13" s="662">
        <f t="shared" si="14"/>
        <v>0</v>
      </c>
      <c r="L13" s="654">
        <f t="shared" si="14"/>
        <v>0</v>
      </c>
      <c r="M13" s="697">
        <f t="shared" si="14"/>
        <v>0</v>
      </c>
      <c r="N13" s="662">
        <f t="shared" si="14"/>
        <v>0</v>
      </c>
      <c r="O13" s="654">
        <f t="shared" si="14"/>
        <v>0</v>
      </c>
      <c r="P13" s="697">
        <f t="shared" si="14"/>
        <v>0</v>
      </c>
      <c r="Q13" s="662">
        <f t="shared" si="14"/>
        <v>0</v>
      </c>
      <c r="R13" s="654">
        <f t="shared" si="14"/>
        <v>52000</v>
      </c>
      <c r="S13" s="697">
        <f t="shared" si="14"/>
        <v>52806</v>
      </c>
      <c r="T13" s="662">
        <f t="shared" si="14"/>
        <v>52806</v>
      </c>
      <c r="U13" s="654">
        <f t="shared" si="14"/>
        <v>0</v>
      </c>
      <c r="V13" s="697">
        <f t="shared" si="14"/>
        <v>0</v>
      </c>
      <c r="W13" s="662">
        <f t="shared" si="14"/>
        <v>0</v>
      </c>
      <c r="X13" s="654">
        <f t="shared" si="14"/>
        <v>885</v>
      </c>
      <c r="Y13" s="697">
        <f t="shared" si="14"/>
        <v>389.55</v>
      </c>
      <c r="Z13" s="662">
        <f t="shared" si="14"/>
        <v>389.55</v>
      </c>
      <c r="AA13" s="654">
        <f t="shared" si="14"/>
        <v>0</v>
      </c>
      <c r="AB13" s="697">
        <f t="shared" si="14"/>
        <v>0</v>
      </c>
      <c r="AC13" s="662">
        <f t="shared" si="14"/>
        <v>0</v>
      </c>
      <c r="AD13" s="654">
        <f t="shared" si="14"/>
        <v>0</v>
      </c>
      <c r="AE13" s="697">
        <f t="shared" si="14"/>
        <v>0</v>
      </c>
      <c r="AF13" s="662">
        <f t="shared" si="14"/>
        <v>0</v>
      </c>
      <c r="AG13" s="654">
        <f t="shared" si="14"/>
        <v>0</v>
      </c>
      <c r="AH13" s="697">
        <f t="shared" si="14"/>
        <v>0</v>
      </c>
      <c r="AI13" s="662">
        <f t="shared" ref="AI13:BJ13" si="15">AI14+AI21+AI25</f>
        <v>0</v>
      </c>
      <c r="AJ13" s="654">
        <f t="shared" si="15"/>
        <v>0</v>
      </c>
      <c r="AK13" s="697">
        <f t="shared" si="15"/>
        <v>0</v>
      </c>
      <c r="AL13" s="662">
        <f t="shared" si="15"/>
        <v>0</v>
      </c>
      <c r="AM13" s="654">
        <f t="shared" si="15"/>
        <v>0</v>
      </c>
      <c r="AN13" s="697">
        <f t="shared" si="15"/>
        <v>0</v>
      </c>
      <c r="AO13" s="662">
        <f t="shared" si="15"/>
        <v>0</v>
      </c>
      <c r="AP13" s="654">
        <f t="shared" si="15"/>
        <v>0</v>
      </c>
      <c r="AQ13" s="697">
        <f t="shared" si="15"/>
        <v>1051</v>
      </c>
      <c r="AR13" s="662">
        <f t="shared" si="15"/>
        <v>1051.105</v>
      </c>
      <c r="AS13" s="654">
        <f t="shared" si="15"/>
        <v>0</v>
      </c>
      <c r="AT13" s="697">
        <f t="shared" si="15"/>
        <v>136</v>
      </c>
      <c r="AU13" s="662">
        <f t="shared" si="15"/>
        <v>135.666</v>
      </c>
      <c r="AV13" s="654">
        <f t="shared" si="15"/>
        <v>0</v>
      </c>
      <c r="AW13" s="697">
        <f t="shared" si="15"/>
        <v>0</v>
      </c>
      <c r="AX13" s="662">
        <f t="shared" si="15"/>
        <v>0</v>
      </c>
      <c r="AY13" s="654">
        <f t="shared" si="15"/>
        <v>0</v>
      </c>
      <c r="AZ13" s="697">
        <f t="shared" si="15"/>
        <v>0</v>
      </c>
      <c r="BA13" s="662">
        <f t="shared" si="15"/>
        <v>0</v>
      </c>
      <c r="BB13" s="654">
        <f t="shared" si="15"/>
        <v>2200480.682</v>
      </c>
      <c r="BC13" s="697">
        <f t="shared" si="15"/>
        <v>2528077.9040000001</v>
      </c>
      <c r="BD13" s="662">
        <f t="shared" si="15"/>
        <v>2561955.5979999998</v>
      </c>
      <c r="BE13" s="654">
        <f t="shared" si="15"/>
        <v>0</v>
      </c>
      <c r="BF13" s="697">
        <f t="shared" si="15"/>
        <v>0</v>
      </c>
      <c r="BG13" s="662">
        <f t="shared" si="15"/>
        <v>0</v>
      </c>
      <c r="BH13" s="654">
        <f>BH14+BH21+BH25</f>
        <v>2253365.682</v>
      </c>
      <c r="BI13" s="697">
        <f t="shared" si="15"/>
        <v>2582460.4539999999</v>
      </c>
      <c r="BJ13" s="662">
        <f t="shared" si="15"/>
        <v>2616337.9189999998</v>
      </c>
      <c r="BK13" s="654">
        <f t="shared" ref="BK13:CK13" si="16">BK14+BK21+BK25</f>
        <v>0</v>
      </c>
      <c r="BL13" s="697">
        <f t="shared" si="16"/>
        <v>0</v>
      </c>
      <c r="BM13" s="662">
        <f t="shared" si="16"/>
        <v>0</v>
      </c>
      <c r="BN13" s="654">
        <f t="shared" si="16"/>
        <v>0</v>
      </c>
      <c r="BO13" s="697">
        <f t="shared" si="16"/>
        <v>0</v>
      </c>
      <c r="BP13" s="662">
        <f t="shared" si="16"/>
        <v>0</v>
      </c>
      <c r="BQ13" s="654">
        <f t="shared" si="16"/>
        <v>0</v>
      </c>
      <c r="BR13" s="697">
        <f t="shared" si="16"/>
        <v>0</v>
      </c>
      <c r="BS13" s="662">
        <f t="shared" si="16"/>
        <v>0</v>
      </c>
      <c r="BT13" s="654">
        <f t="shared" si="16"/>
        <v>0</v>
      </c>
      <c r="BU13" s="697">
        <f t="shared" si="16"/>
        <v>0</v>
      </c>
      <c r="BV13" s="662">
        <f t="shared" si="16"/>
        <v>0</v>
      </c>
      <c r="BW13" s="654">
        <f t="shared" si="16"/>
        <v>0</v>
      </c>
      <c r="BX13" s="697">
        <f t="shared" si="16"/>
        <v>0</v>
      </c>
      <c r="BY13" s="662">
        <f t="shared" si="16"/>
        <v>0</v>
      </c>
      <c r="BZ13" s="654">
        <f t="shared" si="16"/>
        <v>0</v>
      </c>
      <c r="CA13" s="697">
        <f t="shared" si="16"/>
        <v>0</v>
      </c>
      <c r="CB13" s="662">
        <f t="shared" si="16"/>
        <v>0</v>
      </c>
      <c r="CC13" s="654">
        <f t="shared" si="16"/>
        <v>0</v>
      </c>
      <c r="CD13" s="697">
        <f t="shared" si="16"/>
        <v>0</v>
      </c>
      <c r="CE13" s="662">
        <f t="shared" si="16"/>
        <v>0</v>
      </c>
      <c r="CF13" s="654">
        <f t="shared" si="16"/>
        <v>0</v>
      </c>
      <c r="CG13" s="697">
        <f t="shared" si="16"/>
        <v>0</v>
      </c>
      <c r="CH13" s="662">
        <f t="shared" si="16"/>
        <v>0</v>
      </c>
      <c r="CI13" s="654">
        <f t="shared" si="16"/>
        <v>0</v>
      </c>
      <c r="CJ13" s="697">
        <f t="shared" si="16"/>
        <v>800</v>
      </c>
      <c r="CK13" s="1969">
        <f t="shared" si="16"/>
        <v>800</v>
      </c>
      <c r="CL13" s="654">
        <f t="shared" ref="CL13:CN13" si="17">CL14+CL21+CL25</f>
        <v>0</v>
      </c>
      <c r="CM13" s="697">
        <f t="shared" si="17"/>
        <v>0</v>
      </c>
      <c r="CN13" s="662">
        <f t="shared" si="17"/>
        <v>0</v>
      </c>
      <c r="CO13" s="654">
        <f t="shared" ref="CO13:CT13" si="18">CO14+CO21+CO25</f>
        <v>0</v>
      </c>
      <c r="CP13" s="697">
        <f t="shared" si="18"/>
        <v>0</v>
      </c>
      <c r="CQ13" s="662">
        <f t="shared" si="18"/>
        <v>0</v>
      </c>
      <c r="CR13" s="654">
        <f t="shared" si="18"/>
        <v>0</v>
      </c>
      <c r="CS13" s="697">
        <f t="shared" si="18"/>
        <v>0</v>
      </c>
      <c r="CT13" s="662">
        <f t="shared" si="18"/>
        <v>0</v>
      </c>
      <c r="CU13" s="654">
        <f>CU14+CU21+CU25</f>
        <v>0</v>
      </c>
      <c r="CV13" s="697">
        <f>CV14+CV21+CV25</f>
        <v>800</v>
      </c>
      <c r="CW13" s="662">
        <f>CW14+CW21+CW25</f>
        <v>800</v>
      </c>
      <c r="CX13" s="654">
        <f t="shared" ref="CX13:CX46" si="19">BH13+CU13</f>
        <v>2253365.682</v>
      </c>
      <c r="CY13" s="697">
        <f t="shared" si="7"/>
        <v>2583260.4539999999</v>
      </c>
      <c r="CZ13" s="662">
        <f t="shared" si="8"/>
        <v>2617137.9189999998</v>
      </c>
      <c r="DA13" s="654">
        <f t="shared" ref="DA13:DI13" si="20">DA14+DA21+DA25</f>
        <v>0</v>
      </c>
      <c r="DB13" s="697">
        <f t="shared" si="20"/>
        <v>0</v>
      </c>
      <c r="DC13" s="662">
        <f t="shared" si="20"/>
        <v>0</v>
      </c>
      <c r="DD13" s="654">
        <f t="shared" si="20"/>
        <v>0</v>
      </c>
      <c r="DE13" s="697">
        <f t="shared" si="20"/>
        <v>0</v>
      </c>
      <c r="DF13" s="662">
        <f t="shared" si="20"/>
        <v>0</v>
      </c>
      <c r="DG13" s="654">
        <f t="shared" si="20"/>
        <v>0</v>
      </c>
      <c r="DH13" s="697">
        <f t="shared" si="20"/>
        <v>10417.865</v>
      </c>
      <c r="DI13" s="662">
        <f t="shared" si="20"/>
        <v>10417.865</v>
      </c>
      <c r="DJ13" s="654">
        <f>DJ14+DJ21+DJ25</f>
        <v>0</v>
      </c>
      <c r="DK13" s="697">
        <f>DK14+DK21+DK25</f>
        <v>10417.865</v>
      </c>
      <c r="DL13" s="662">
        <f>DL14+DL21+DL25</f>
        <v>10417.865</v>
      </c>
      <c r="DM13" s="654">
        <f t="shared" ref="DM13:DR13" si="21">DM14+DM21+DM25</f>
        <v>0</v>
      </c>
      <c r="DN13" s="697">
        <f t="shared" si="21"/>
        <v>5306.0020000000004</v>
      </c>
      <c r="DO13" s="662">
        <f t="shared" si="21"/>
        <v>5306.0020000000004</v>
      </c>
      <c r="DP13" s="654">
        <f t="shared" si="21"/>
        <v>1335988.3999999999</v>
      </c>
      <c r="DQ13" s="697">
        <f t="shared" si="21"/>
        <v>1340116.08</v>
      </c>
      <c r="DR13" s="697">
        <f t="shared" si="21"/>
        <v>1340116.48</v>
      </c>
      <c r="DS13" s="654">
        <f t="shared" si="10"/>
        <v>3589354.0819999999</v>
      </c>
      <c r="DT13" s="697">
        <f t="shared" si="11"/>
        <v>3939100.4010000001</v>
      </c>
      <c r="DU13" s="662">
        <f t="shared" si="12"/>
        <v>3972978.2659999998</v>
      </c>
      <c r="DV13" s="716">
        <f t="shared" si="13"/>
        <v>100.86004065779586</v>
      </c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</row>
    <row r="14" spans="1:223" ht="12.75" customHeight="1" x14ac:dyDescent="0.2">
      <c r="A14" s="1681" t="s">
        <v>592</v>
      </c>
      <c r="B14" s="1682" t="s">
        <v>909</v>
      </c>
      <c r="C14" s="1705">
        <f t="shared" ref="C14:AH14" si="22">SUM(C15:C20)</f>
        <v>0</v>
      </c>
      <c r="D14" s="1706">
        <f t="shared" si="22"/>
        <v>0</v>
      </c>
      <c r="E14" s="1707">
        <f t="shared" si="22"/>
        <v>0</v>
      </c>
      <c r="F14" s="1705">
        <f t="shared" si="22"/>
        <v>0</v>
      </c>
      <c r="G14" s="1706">
        <f t="shared" si="22"/>
        <v>0</v>
      </c>
      <c r="H14" s="1707">
        <f t="shared" si="22"/>
        <v>0</v>
      </c>
      <c r="I14" s="1705">
        <f t="shared" si="22"/>
        <v>0</v>
      </c>
      <c r="J14" s="1706">
        <f t="shared" si="22"/>
        <v>0</v>
      </c>
      <c r="K14" s="1707">
        <f t="shared" si="22"/>
        <v>0</v>
      </c>
      <c r="L14" s="1705">
        <f t="shared" si="22"/>
        <v>0</v>
      </c>
      <c r="M14" s="1706">
        <f t="shared" si="22"/>
        <v>0</v>
      </c>
      <c r="N14" s="1707">
        <f t="shared" si="22"/>
        <v>0</v>
      </c>
      <c r="O14" s="1705">
        <f t="shared" si="22"/>
        <v>0</v>
      </c>
      <c r="P14" s="1706">
        <f t="shared" si="22"/>
        <v>0</v>
      </c>
      <c r="Q14" s="1707">
        <f t="shared" si="22"/>
        <v>0</v>
      </c>
      <c r="R14" s="1705">
        <f t="shared" si="22"/>
        <v>0</v>
      </c>
      <c r="S14" s="1706">
        <f t="shared" si="22"/>
        <v>0</v>
      </c>
      <c r="T14" s="1707">
        <f t="shared" si="22"/>
        <v>0</v>
      </c>
      <c r="U14" s="1705">
        <f t="shared" si="22"/>
        <v>0</v>
      </c>
      <c r="V14" s="1706">
        <f t="shared" si="22"/>
        <v>0</v>
      </c>
      <c r="W14" s="1707">
        <f t="shared" si="22"/>
        <v>0</v>
      </c>
      <c r="X14" s="1705">
        <f t="shared" si="22"/>
        <v>700</v>
      </c>
      <c r="Y14" s="1706">
        <f t="shared" si="22"/>
        <v>205.47</v>
      </c>
      <c r="Z14" s="1707">
        <f t="shared" si="22"/>
        <v>205.47</v>
      </c>
      <c r="AA14" s="1705">
        <f t="shared" si="22"/>
        <v>0</v>
      </c>
      <c r="AB14" s="1706">
        <f t="shared" si="22"/>
        <v>0</v>
      </c>
      <c r="AC14" s="1707">
        <f t="shared" si="22"/>
        <v>0</v>
      </c>
      <c r="AD14" s="1705">
        <f t="shared" si="22"/>
        <v>0</v>
      </c>
      <c r="AE14" s="1706">
        <f t="shared" si="22"/>
        <v>0</v>
      </c>
      <c r="AF14" s="1707">
        <f t="shared" si="22"/>
        <v>0</v>
      </c>
      <c r="AG14" s="1705">
        <f t="shared" si="22"/>
        <v>0</v>
      </c>
      <c r="AH14" s="1706">
        <f t="shared" si="22"/>
        <v>0</v>
      </c>
      <c r="AI14" s="1707">
        <f t="shared" ref="AI14:BJ14" si="23">SUM(AI15:AI20)</f>
        <v>0</v>
      </c>
      <c r="AJ14" s="1705">
        <f t="shared" si="23"/>
        <v>0</v>
      </c>
      <c r="AK14" s="1706">
        <f t="shared" si="23"/>
        <v>0</v>
      </c>
      <c r="AL14" s="1707">
        <f t="shared" si="23"/>
        <v>0</v>
      </c>
      <c r="AM14" s="1705">
        <f t="shared" si="23"/>
        <v>0</v>
      </c>
      <c r="AN14" s="1706">
        <f t="shared" si="23"/>
        <v>0</v>
      </c>
      <c r="AO14" s="1707">
        <f t="shared" si="23"/>
        <v>0</v>
      </c>
      <c r="AP14" s="1705">
        <f t="shared" si="23"/>
        <v>0</v>
      </c>
      <c r="AQ14" s="1706">
        <f t="shared" si="23"/>
        <v>0</v>
      </c>
      <c r="AR14" s="1707">
        <f t="shared" si="23"/>
        <v>0</v>
      </c>
      <c r="AS14" s="1705">
        <f t="shared" si="23"/>
        <v>0</v>
      </c>
      <c r="AT14" s="1706">
        <f t="shared" si="23"/>
        <v>0</v>
      </c>
      <c r="AU14" s="1707">
        <f t="shared" si="23"/>
        <v>0</v>
      </c>
      <c r="AV14" s="1705">
        <f t="shared" si="23"/>
        <v>0</v>
      </c>
      <c r="AW14" s="1706">
        <f t="shared" si="23"/>
        <v>0</v>
      </c>
      <c r="AX14" s="1707">
        <f t="shared" si="23"/>
        <v>0</v>
      </c>
      <c r="AY14" s="1705">
        <f t="shared" si="23"/>
        <v>0</v>
      </c>
      <c r="AZ14" s="1706">
        <f t="shared" si="23"/>
        <v>0</v>
      </c>
      <c r="BA14" s="1707">
        <f t="shared" si="23"/>
        <v>0</v>
      </c>
      <c r="BB14" s="1705">
        <f t="shared" si="23"/>
        <v>2200480.682</v>
      </c>
      <c r="BC14" s="1706">
        <f t="shared" si="23"/>
        <v>2438219.4820000003</v>
      </c>
      <c r="BD14" s="1707">
        <f t="shared" si="23"/>
        <v>2472097.176</v>
      </c>
      <c r="BE14" s="1705">
        <f t="shared" si="23"/>
        <v>0</v>
      </c>
      <c r="BF14" s="1706">
        <f t="shared" si="23"/>
        <v>0</v>
      </c>
      <c r="BG14" s="1707">
        <f t="shared" si="23"/>
        <v>0</v>
      </c>
      <c r="BH14" s="1705">
        <f t="shared" si="23"/>
        <v>2201180.682</v>
      </c>
      <c r="BI14" s="1706">
        <f t="shared" si="23"/>
        <v>2438424.952</v>
      </c>
      <c r="BJ14" s="1707">
        <f t="shared" si="23"/>
        <v>2472302.6460000002</v>
      </c>
      <c r="BK14" s="1705">
        <f t="shared" ref="BK14:CK14" si="24">SUM(BK15:BK20)</f>
        <v>0</v>
      </c>
      <c r="BL14" s="1706">
        <f t="shared" si="24"/>
        <v>0</v>
      </c>
      <c r="BM14" s="1707">
        <f t="shared" si="24"/>
        <v>0</v>
      </c>
      <c r="BN14" s="1705">
        <f t="shared" si="24"/>
        <v>0</v>
      </c>
      <c r="BO14" s="1706">
        <f t="shared" si="24"/>
        <v>0</v>
      </c>
      <c r="BP14" s="1707">
        <f t="shared" si="24"/>
        <v>0</v>
      </c>
      <c r="BQ14" s="1705">
        <f t="shared" si="24"/>
        <v>0</v>
      </c>
      <c r="BR14" s="1706">
        <f t="shared" si="24"/>
        <v>0</v>
      </c>
      <c r="BS14" s="1707">
        <f t="shared" si="24"/>
        <v>0</v>
      </c>
      <c r="BT14" s="1705">
        <f t="shared" si="24"/>
        <v>0</v>
      </c>
      <c r="BU14" s="1706">
        <f t="shared" si="24"/>
        <v>0</v>
      </c>
      <c r="BV14" s="1707">
        <f t="shared" si="24"/>
        <v>0</v>
      </c>
      <c r="BW14" s="1705">
        <f t="shared" si="24"/>
        <v>0</v>
      </c>
      <c r="BX14" s="1706">
        <f t="shared" si="24"/>
        <v>0</v>
      </c>
      <c r="BY14" s="1707">
        <f t="shared" si="24"/>
        <v>0</v>
      </c>
      <c r="BZ14" s="1705">
        <f t="shared" si="24"/>
        <v>0</v>
      </c>
      <c r="CA14" s="1706">
        <f t="shared" si="24"/>
        <v>0</v>
      </c>
      <c r="CB14" s="1707">
        <f t="shared" si="24"/>
        <v>0</v>
      </c>
      <c r="CC14" s="1705">
        <f t="shared" si="24"/>
        <v>0</v>
      </c>
      <c r="CD14" s="1706">
        <f t="shared" si="24"/>
        <v>0</v>
      </c>
      <c r="CE14" s="1707">
        <f t="shared" si="24"/>
        <v>0</v>
      </c>
      <c r="CF14" s="1705">
        <f t="shared" si="24"/>
        <v>0</v>
      </c>
      <c r="CG14" s="1706">
        <f t="shared" si="24"/>
        <v>0</v>
      </c>
      <c r="CH14" s="1707">
        <f t="shared" si="24"/>
        <v>0</v>
      </c>
      <c r="CI14" s="1705">
        <f t="shared" si="24"/>
        <v>0</v>
      </c>
      <c r="CJ14" s="1706">
        <f t="shared" si="24"/>
        <v>0</v>
      </c>
      <c r="CK14" s="1970">
        <f t="shared" si="24"/>
        <v>0</v>
      </c>
      <c r="CL14" s="1705">
        <f t="shared" ref="CL14:CN14" si="25">SUM(CL15:CL20)</f>
        <v>0</v>
      </c>
      <c r="CM14" s="1706">
        <f t="shared" si="25"/>
        <v>0</v>
      </c>
      <c r="CN14" s="1707">
        <f t="shared" si="25"/>
        <v>0</v>
      </c>
      <c r="CO14" s="1705">
        <f t="shared" ref="CO14:CT14" si="26">SUM(CO15:CO20)</f>
        <v>0</v>
      </c>
      <c r="CP14" s="1706">
        <f t="shared" si="26"/>
        <v>0</v>
      </c>
      <c r="CQ14" s="1707">
        <f t="shared" si="26"/>
        <v>0</v>
      </c>
      <c r="CR14" s="1705">
        <f t="shared" si="26"/>
        <v>0</v>
      </c>
      <c r="CS14" s="1706">
        <f t="shared" si="26"/>
        <v>0</v>
      </c>
      <c r="CT14" s="1707">
        <f t="shared" si="26"/>
        <v>0</v>
      </c>
      <c r="CU14" s="1705">
        <f>SUM(CU15:CU20)</f>
        <v>0</v>
      </c>
      <c r="CV14" s="1706">
        <f>SUM(CV15:CV20)</f>
        <v>0</v>
      </c>
      <c r="CW14" s="1707">
        <f>SUM(CW15:CW20)</f>
        <v>0</v>
      </c>
      <c r="CX14" s="1705">
        <f t="shared" si="19"/>
        <v>2201180.682</v>
      </c>
      <c r="CY14" s="1706">
        <f t="shared" si="7"/>
        <v>2438424.952</v>
      </c>
      <c r="CZ14" s="1707">
        <f t="shared" si="8"/>
        <v>2472302.6460000002</v>
      </c>
      <c r="DA14" s="1705">
        <f t="shared" ref="DA14:DI14" si="27">SUM(DA15:DA20)</f>
        <v>0</v>
      </c>
      <c r="DB14" s="1706">
        <f t="shared" si="27"/>
        <v>0</v>
      </c>
      <c r="DC14" s="1707">
        <f t="shared" si="27"/>
        <v>0</v>
      </c>
      <c r="DD14" s="1705">
        <f t="shared" si="27"/>
        <v>0</v>
      </c>
      <c r="DE14" s="1706">
        <f t="shared" si="27"/>
        <v>0</v>
      </c>
      <c r="DF14" s="1707">
        <f t="shared" si="27"/>
        <v>0</v>
      </c>
      <c r="DG14" s="1705">
        <f t="shared" si="27"/>
        <v>0</v>
      </c>
      <c r="DH14" s="1706">
        <f t="shared" si="27"/>
        <v>0</v>
      </c>
      <c r="DI14" s="1707">
        <f t="shared" si="27"/>
        <v>0</v>
      </c>
      <c r="DJ14" s="1705">
        <f>SUM(DJ15:DJ20)</f>
        <v>0</v>
      </c>
      <c r="DK14" s="1706">
        <f>SUM(DK15:DK20)</f>
        <v>0</v>
      </c>
      <c r="DL14" s="1707">
        <f>SUM(DL15:DL20)</f>
        <v>0</v>
      </c>
      <c r="DM14" s="1705">
        <f t="shared" ref="DM14:DR14" si="28">SUM(DM15:DM20)</f>
        <v>0</v>
      </c>
      <c r="DN14" s="1706">
        <f t="shared" si="28"/>
        <v>0</v>
      </c>
      <c r="DO14" s="1707">
        <f t="shared" si="28"/>
        <v>0</v>
      </c>
      <c r="DP14" s="1705">
        <f t="shared" si="28"/>
        <v>0</v>
      </c>
      <c r="DQ14" s="1706">
        <f t="shared" si="28"/>
        <v>0</v>
      </c>
      <c r="DR14" s="1707">
        <f t="shared" si="28"/>
        <v>0</v>
      </c>
      <c r="DS14" s="1705">
        <f t="shared" si="10"/>
        <v>2201180.682</v>
      </c>
      <c r="DT14" s="1706">
        <f t="shared" si="11"/>
        <v>2438424.952</v>
      </c>
      <c r="DU14" s="1707">
        <f t="shared" si="12"/>
        <v>2472302.6460000002</v>
      </c>
      <c r="DV14" s="1774">
        <f t="shared" si="13"/>
        <v>101.38932690842969</v>
      </c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</row>
    <row r="15" spans="1:223" ht="12.75" customHeight="1" x14ac:dyDescent="0.2">
      <c r="A15" s="1683" t="s">
        <v>925</v>
      </c>
      <c r="B15" s="1684" t="s">
        <v>926</v>
      </c>
      <c r="C15" s="655"/>
      <c r="D15" s="698"/>
      <c r="E15" s="663"/>
      <c r="F15" s="655"/>
      <c r="G15" s="698"/>
      <c r="H15" s="663"/>
      <c r="I15" s="655"/>
      <c r="J15" s="698"/>
      <c r="K15" s="663"/>
      <c r="L15" s="655"/>
      <c r="M15" s="698"/>
      <c r="N15" s="663"/>
      <c r="O15" s="655"/>
      <c r="P15" s="698"/>
      <c r="Q15" s="663"/>
      <c r="R15" s="655"/>
      <c r="S15" s="698"/>
      <c r="T15" s="663"/>
      <c r="U15" s="655"/>
      <c r="V15" s="698"/>
      <c r="W15" s="663"/>
      <c r="X15" s="655"/>
      <c r="Y15" s="698"/>
      <c r="Z15" s="663"/>
      <c r="AA15" s="655"/>
      <c r="AB15" s="698"/>
      <c r="AC15" s="663"/>
      <c r="AD15" s="655"/>
      <c r="AE15" s="698"/>
      <c r="AF15" s="663"/>
      <c r="AG15" s="655"/>
      <c r="AH15" s="698"/>
      <c r="AI15" s="663"/>
      <c r="AJ15" s="655"/>
      <c r="AK15" s="698"/>
      <c r="AL15" s="663"/>
      <c r="AM15" s="655"/>
      <c r="AN15" s="698"/>
      <c r="AO15" s="663"/>
      <c r="AP15" s="655"/>
      <c r="AQ15" s="698"/>
      <c r="AR15" s="663"/>
      <c r="AS15" s="655"/>
      <c r="AT15" s="698"/>
      <c r="AU15" s="663"/>
      <c r="AV15" s="655"/>
      <c r="AW15" s="698"/>
      <c r="AX15" s="663"/>
      <c r="AY15" s="655"/>
      <c r="AZ15" s="698"/>
      <c r="BA15" s="663"/>
      <c r="BB15" s="656">
        <v>5054.2780000000002</v>
      </c>
      <c r="BC15" s="699">
        <v>5054.2780000000002</v>
      </c>
      <c r="BD15" s="664">
        <v>5054.2780000000002</v>
      </c>
      <c r="BE15" s="655"/>
      <c r="BF15" s="698"/>
      <c r="BG15" s="663"/>
      <c r="BH15" s="656">
        <f t="shared" ref="BH15:BJ20" si="29">C15+F15+I15+L15+O15+R15+U15+X15+AA15+AD15+AG15+AJ15+AM15+AP15+AS15+AV15+AY15+BB15+BE15</f>
        <v>5054.2780000000002</v>
      </c>
      <c r="BI15" s="699">
        <f t="shared" si="29"/>
        <v>5054.2780000000002</v>
      </c>
      <c r="BJ15" s="664">
        <f t="shared" si="29"/>
        <v>5054.2780000000002</v>
      </c>
      <c r="BK15" s="655"/>
      <c r="BL15" s="698"/>
      <c r="BM15" s="663"/>
      <c r="BN15" s="655"/>
      <c r="BO15" s="698"/>
      <c r="BP15" s="663"/>
      <c r="BQ15" s="655"/>
      <c r="BR15" s="698"/>
      <c r="BS15" s="663"/>
      <c r="BT15" s="655"/>
      <c r="BU15" s="698"/>
      <c r="BV15" s="663"/>
      <c r="BW15" s="655"/>
      <c r="BX15" s="698"/>
      <c r="BY15" s="663"/>
      <c r="BZ15" s="655"/>
      <c r="CA15" s="698"/>
      <c r="CB15" s="663"/>
      <c r="CC15" s="655"/>
      <c r="CD15" s="698"/>
      <c r="CE15" s="663"/>
      <c r="CF15" s="655"/>
      <c r="CG15" s="698"/>
      <c r="CH15" s="663"/>
      <c r="CI15" s="655"/>
      <c r="CJ15" s="698"/>
      <c r="CK15" s="1971"/>
      <c r="CL15" s="655"/>
      <c r="CM15" s="698"/>
      <c r="CN15" s="663"/>
      <c r="CO15" s="655"/>
      <c r="CP15" s="698"/>
      <c r="CQ15" s="663"/>
      <c r="CR15" s="655"/>
      <c r="CS15" s="698"/>
      <c r="CT15" s="663"/>
      <c r="CU15" s="656">
        <f t="shared" ref="CU15:CU20" si="30">BK15+BN15+BQ15+BT15+BW15+BZ15+CC15+CF15+CI15+CL15+CO15</f>
        <v>0</v>
      </c>
      <c r="CV15" s="699">
        <f t="shared" ref="CV15:CV20" si="31">BL15+BO15+BR15+BU15+BX15+CA15+CD15+CG15+CJ15+CM15+CP15</f>
        <v>0</v>
      </c>
      <c r="CW15" s="664">
        <f t="shared" ref="CW15:CW20" si="32">BM15+BP15+BS15+BV15+BY15+CB15+CE15+CH15+CK15+CN15+CQ15</f>
        <v>0</v>
      </c>
      <c r="CX15" s="656">
        <f t="shared" si="19"/>
        <v>5054.2780000000002</v>
      </c>
      <c r="CY15" s="699">
        <f t="shared" si="7"/>
        <v>5054.2780000000002</v>
      </c>
      <c r="CZ15" s="664">
        <f t="shared" si="8"/>
        <v>5054.2780000000002</v>
      </c>
      <c r="DA15" s="655"/>
      <c r="DB15" s="698"/>
      <c r="DC15" s="663"/>
      <c r="DD15" s="655"/>
      <c r="DE15" s="698"/>
      <c r="DF15" s="663"/>
      <c r="DG15" s="655"/>
      <c r="DH15" s="698"/>
      <c r="DI15" s="663"/>
      <c r="DJ15" s="655">
        <f>DA15+DD15+DG15</f>
        <v>0</v>
      </c>
      <c r="DK15" s="698">
        <f t="shared" ref="DK15:DL20" si="33">DB15+DE15+DH15</f>
        <v>0</v>
      </c>
      <c r="DL15" s="663">
        <f t="shared" si="33"/>
        <v>0</v>
      </c>
      <c r="DM15" s="655"/>
      <c r="DN15" s="698"/>
      <c r="DO15" s="663"/>
      <c r="DP15" s="655"/>
      <c r="DQ15" s="698"/>
      <c r="DR15" s="663"/>
      <c r="DS15" s="656">
        <f t="shared" si="10"/>
        <v>5054.2780000000002</v>
      </c>
      <c r="DT15" s="699">
        <f t="shared" si="11"/>
        <v>5054.2780000000002</v>
      </c>
      <c r="DU15" s="664">
        <f t="shared" si="12"/>
        <v>5054.2780000000002</v>
      </c>
      <c r="DV15" s="719">
        <f t="shared" si="13"/>
        <v>100</v>
      </c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</row>
    <row r="16" spans="1:223" ht="12.75" customHeight="1" x14ac:dyDescent="0.2">
      <c r="A16" s="1683" t="s">
        <v>927</v>
      </c>
      <c r="B16" s="1685" t="s">
        <v>977</v>
      </c>
      <c r="C16" s="656"/>
      <c r="D16" s="699"/>
      <c r="E16" s="664"/>
      <c r="F16" s="656"/>
      <c r="G16" s="699"/>
      <c r="H16" s="664"/>
      <c r="I16" s="656"/>
      <c r="J16" s="699"/>
      <c r="K16" s="664"/>
      <c r="L16" s="656"/>
      <c r="M16" s="699"/>
      <c r="N16" s="664"/>
      <c r="O16" s="656"/>
      <c r="P16" s="699"/>
      <c r="Q16" s="664"/>
      <c r="R16" s="656"/>
      <c r="S16" s="699"/>
      <c r="T16" s="664"/>
      <c r="U16" s="656"/>
      <c r="V16" s="699"/>
      <c r="W16" s="664"/>
      <c r="X16" s="656"/>
      <c r="Y16" s="699"/>
      <c r="Z16" s="664"/>
      <c r="AA16" s="656"/>
      <c r="AB16" s="699"/>
      <c r="AC16" s="664"/>
      <c r="AD16" s="656"/>
      <c r="AE16" s="699"/>
      <c r="AF16" s="664"/>
      <c r="AG16" s="656"/>
      <c r="AH16" s="699"/>
      <c r="AI16" s="664"/>
      <c r="AJ16" s="656"/>
      <c r="AK16" s="699"/>
      <c r="AL16" s="664"/>
      <c r="AM16" s="656"/>
      <c r="AN16" s="699"/>
      <c r="AO16" s="664"/>
      <c r="AP16" s="656"/>
      <c r="AQ16" s="699"/>
      <c r="AR16" s="664"/>
      <c r="AS16" s="656"/>
      <c r="AT16" s="699"/>
      <c r="AU16" s="664"/>
      <c r="AV16" s="656"/>
      <c r="AW16" s="699"/>
      <c r="AX16" s="664"/>
      <c r="AY16" s="656"/>
      <c r="AZ16" s="699"/>
      <c r="BA16" s="664"/>
      <c r="BB16" s="656">
        <v>1399256.2709999999</v>
      </c>
      <c r="BC16" s="699">
        <v>1470703.696</v>
      </c>
      <c r="BD16" s="664">
        <v>1470703.696</v>
      </c>
      <c r="BE16" s="656"/>
      <c r="BF16" s="699"/>
      <c r="BG16" s="664"/>
      <c r="BH16" s="656">
        <f t="shared" si="29"/>
        <v>1399256.2709999999</v>
      </c>
      <c r="BI16" s="699">
        <f t="shared" si="29"/>
        <v>1470703.696</v>
      </c>
      <c r="BJ16" s="664">
        <f t="shared" si="29"/>
        <v>1470703.696</v>
      </c>
      <c r="BK16" s="656"/>
      <c r="BL16" s="699"/>
      <c r="BM16" s="664"/>
      <c r="BN16" s="656"/>
      <c r="BO16" s="699"/>
      <c r="BP16" s="664"/>
      <c r="BQ16" s="656"/>
      <c r="BR16" s="699"/>
      <c r="BS16" s="664"/>
      <c r="BT16" s="656"/>
      <c r="BU16" s="699"/>
      <c r="BV16" s="664"/>
      <c r="BW16" s="656"/>
      <c r="BX16" s="699"/>
      <c r="BY16" s="664"/>
      <c r="BZ16" s="656"/>
      <c r="CA16" s="699"/>
      <c r="CB16" s="664"/>
      <c r="CC16" s="656"/>
      <c r="CD16" s="699"/>
      <c r="CE16" s="664"/>
      <c r="CF16" s="656"/>
      <c r="CG16" s="699"/>
      <c r="CH16" s="664"/>
      <c r="CI16" s="656"/>
      <c r="CJ16" s="699"/>
      <c r="CK16" s="1972"/>
      <c r="CL16" s="656"/>
      <c r="CM16" s="699"/>
      <c r="CN16" s="664"/>
      <c r="CO16" s="656"/>
      <c r="CP16" s="699"/>
      <c r="CQ16" s="664"/>
      <c r="CR16" s="656"/>
      <c r="CS16" s="699"/>
      <c r="CT16" s="664"/>
      <c r="CU16" s="656">
        <f t="shared" si="30"/>
        <v>0</v>
      </c>
      <c r="CV16" s="699">
        <f t="shared" si="31"/>
        <v>0</v>
      </c>
      <c r="CW16" s="664">
        <f t="shared" si="32"/>
        <v>0</v>
      </c>
      <c r="CX16" s="656">
        <f t="shared" si="19"/>
        <v>1399256.2709999999</v>
      </c>
      <c r="CY16" s="699">
        <f t="shared" si="7"/>
        <v>1470703.696</v>
      </c>
      <c r="CZ16" s="664">
        <f t="shared" si="8"/>
        <v>1470703.696</v>
      </c>
      <c r="DA16" s="656"/>
      <c r="DB16" s="699"/>
      <c r="DC16" s="664"/>
      <c r="DD16" s="656"/>
      <c r="DE16" s="699"/>
      <c r="DF16" s="664"/>
      <c r="DG16" s="656"/>
      <c r="DH16" s="699"/>
      <c r="DI16" s="664"/>
      <c r="DJ16" s="655">
        <f t="shared" ref="DJ16:DJ80" si="34">DA16+DD16+DG16</f>
        <v>0</v>
      </c>
      <c r="DK16" s="698">
        <f t="shared" si="33"/>
        <v>0</v>
      </c>
      <c r="DL16" s="663">
        <f t="shared" si="33"/>
        <v>0</v>
      </c>
      <c r="DM16" s="656"/>
      <c r="DN16" s="699"/>
      <c r="DO16" s="664"/>
      <c r="DP16" s="656"/>
      <c r="DQ16" s="699"/>
      <c r="DR16" s="664"/>
      <c r="DS16" s="656">
        <f t="shared" si="10"/>
        <v>1399256.2709999999</v>
      </c>
      <c r="DT16" s="699">
        <f t="shared" si="11"/>
        <v>1470703.696</v>
      </c>
      <c r="DU16" s="664">
        <f t="shared" si="12"/>
        <v>1470703.696</v>
      </c>
      <c r="DV16" s="719">
        <f t="shared" si="13"/>
        <v>100</v>
      </c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</row>
    <row r="17" spans="1:237" ht="12.75" customHeight="1" x14ac:dyDescent="0.2">
      <c r="A17" s="1683" t="s">
        <v>928</v>
      </c>
      <c r="B17" s="1685" t="s">
        <v>978</v>
      </c>
      <c r="C17" s="656"/>
      <c r="D17" s="699"/>
      <c r="E17" s="664"/>
      <c r="F17" s="656"/>
      <c r="G17" s="699"/>
      <c r="H17" s="664"/>
      <c r="I17" s="656"/>
      <c r="J17" s="699"/>
      <c r="K17" s="664"/>
      <c r="L17" s="656"/>
      <c r="M17" s="699"/>
      <c r="N17" s="664"/>
      <c r="O17" s="656"/>
      <c r="P17" s="699"/>
      <c r="Q17" s="664"/>
      <c r="R17" s="656"/>
      <c r="S17" s="699"/>
      <c r="T17" s="664"/>
      <c r="U17" s="656"/>
      <c r="V17" s="699"/>
      <c r="W17" s="664"/>
      <c r="X17" s="656">
        <v>700</v>
      </c>
      <c r="Y17" s="699">
        <v>205.47</v>
      </c>
      <c r="Z17" s="664">
        <v>205.47</v>
      </c>
      <c r="AA17" s="656"/>
      <c r="AB17" s="699"/>
      <c r="AC17" s="664"/>
      <c r="AD17" s="656"/>
      <c r="AE17" s="699"/>
      <c r="AF17" s="664"/>
      <c r="AG17" s="656"/>
      <c r="AH17" s="699"/>
      <c r="AI17" s="664"/>
      <c r="AJ17" s="656"/>
      <c r="AK17" s="699"/>
      <c r="AL17" s="664"/>
      <c r="AM17" s="656"/>
      <c r="AN17" s="699"/>
      <c r="AO17" s="664"/>
      <c r="AP17" s="656"/>
      <c r="AQ17" s="699"/>
      <c r="AR17" s="664"/>
      <c r="AS17" s="656"/>
      <c r="AT17" s="699"/>
      <c r="AU17" s="664"/>
      <c r="AV17" s="656"/>
      <c r="AW17" s="699"/>
      <c r="AX17" s="664"/>
      <c r="AY17" s="656"/>
      <c r="AZ17" s="699"/>
      <c r="BA17" s="664"/>
      <c r="BB17" s="656">
        <v>760918.93299999996</v>
      </c>
      <c r="BC17" s="699">
        <f>861965.045-205.47</f>
        <v>861759.57500000007</v>
      </c>
      <c r="BD17" s="664">
        <f>895842.739-205.47</f>
        <v>895637.26899999997</v>
      </c>
      <c r="BE17" s="656"/>
      <c r="BF17" s="699"/>
      <c r="BG17" s="664"/>
      <c r="BH17" s="656">
        <f t="shared" si="29"/>
        <v>761618.93299999996</v>
      </c>
      <c r="BI17" s="699">
        <f t="shared" si="29"/>
        <v>861965.04500000004</v>
      </c>
      <c r="BJ17" s="664">
        <f t="shared" si="29"/>
        <v>895842.73899999994</v>
      </c>
      <c r="BK17" s="656"/>
      <c r="BL17" s="699"/>
      <c r="BM17" s="664"/>
      <c r="BN17" s="656"/>
      <c r="BO17" s="699"/>
      <c r="BP17" s="664"/>
      <c r="BQ17" s="656"/>
      <c r="BR17" s="699"/>
      <c r="BS17" s="664"/>
      <c r="BT17" s="656"/>
      <c r="BU17" s="699"/>
      <c r="BV17" s="664"/>
      <c r="BW17" s="656"/>
      <c r="BX17" s="699"/>
      <c r="BY17" s="664"/>
      <c r="BZ17" s="656"/>
      <c r="CA17" s="699"/>
      <c r="CB17" s="664"/>
      <c r="CC17" s="656"/>
      <c r="CD17" s="699"/>
      <c r="CE17" s="664"/>
      <c r="CF17" s="656"/>
      <c r="CG17" s="699"/>
      <c r="CH17" s="664"/>
      <c r="CI17" s="656"/>
      <c r="CJ17" s="699"/>
      <c r="CK17" s="1972"/>
      <c r="CL17" s="656"/>
      <c r="CM17" s="699"/>
      <c r="CN17" s="664"/>
      <c r="CO17" s="656"/>
      <c r="CP17" s="699"/>
      <c r="CQ17" s="664"/>
      <c r="CR17" s="656"/>
      <c r="CS17" s="699"/>
      <c r="CT17" s="664"/>
      <c r="CU17" s="656">
        <f t="shared" si="30"/>
        <v>0</v>
      </c>
      <c r="CV17" s="699">
        <f t="shared" si="31"/>
        <v>0</v>
      </c>
      <c r="CW17" s="664">
        <f t="shared" si="32"/>
        <v>0</v>
      </c>
      <c r="CX17" s="656">
        <f t="shared" si="19"/>
        <v>761618.93299999996</v>
      </c>
      <c r="CY17" s="699">
        <f t="shared" si="7"/>
        <v>861965.04500000004</v>
      </c>
      <c r="CZ17" s="664">
        <f t="shared" si="8"/>
        <v>895842.73899999994</v>
      </c>
      <c r="DA17" s="656"/>
      <c r="DB17" s="699"/>
      <c r="DC17" s="664"/>
      <c r="DD17" s="656"/>
      <c r="DE17" s="699"/>
      <c r="DF17" s="664"/>
      <c r="DG17" s="656"/>
      <c r="DH17" s="699"/>
      <c r="DI17" s="664"/>
      <c r="DJ17" s="655">
        <f t="shared" si="34"/>
        <v>0</v>
      </c>
      <c r="DK17" s="698">
        <f t="shared" si="33"/>
        <v>0</v>
      </c>
      <c r="DL17" s="663">
        <f t="shared" si="33"/>
        <v>0</v>
      </c>
      <c r="DM17" s="656"/>
      <c r="DN17" s="699"/>
      <c r="DO17" s="664"/>
      <c r="DP17" s="656"/>
      <c r="DQ17" s="699"/>
      <c r="DR17" s="664"/>
      <c r="DS17" s="656">
        <f t="shared" si="10"/>
        <v>761618.93299999996</v>
      </c>
      <c r="DT17" s="699">
        <f t="shared" si="11"/>
        <v>861965.04500000004</v>
      </c>
      <c r="DU17" s="664">
        <f t="shared" si="12"/>
        <v>895842.73899999994</v>
      </c>
      <c r="DV17" s="719">
        <f t="shared" si="13"/>
        <v>103.93028629136577</v>
      </c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</row>
    <row r="18" spans="1:237" ht="12.75" customHeight="1" x14ac:dyDescent="0.2">
      <c r="A18" s="1683" t="s">
        <v>929</v>
      </c>
      <c r="B18" s="1685" t="s">
        <v>930</v>
      </c>
      <c r="C18" s="656"/>
      <c r="D18" s="699"/>
      <c r="E18" s="664"/>
      <c r="F18" s="656"/>
      <c r="G18" s="699"/>
      <c r="H18" s="664"/>
      <c r="I18" s="656"/>
      <c r="J18" s="699"/>
      <c r="K18" s="664"/>
      <c r="L18" s="656"/>
      <c r="M18" s="699"/>
      <c r="N18" s="664"/>
      <c r="O18" s="656"/>
      <c r="P18" s="699"/>
      <c r="Q18" s="664"/>
      <c r="R18" s="656"/>
      <c r="S18" s="699"/>
      <c r="T18" s="664"/>
      <c r="U18" s="656"/>
      <c r="V18" s="699"/>
      <c r="W18" s="664"/>
      <c r="X18" s="656"/>
      <c r="Y18" s="699"/>
      <c r="Z18" s="664"/>
      <c r="AA18" s="656"/>
      <c r="AB18" s="699"/>
      <c r="AC18" s="664"/>
      <c r="AD18" s="656"/>
      <c r="AE18" s="699"/>
      <c r="AF18" s="664"/>
      <c r="AG18" s="656"/>
      <c r="AH18" s="699"/>
      <c r="AI18" s="664"/>
      <c r="AJ18" s="656"/>
      <c r="AK18" s="699"/>
      <c r="AL18" s="664"/>
      <c r="AM18" s="656"/>
      <c r="AN18" s="699"/>
      <c r="AO18" s="664"/>
      <c r="AP18" s="656"/>
      <c r="AQ18" s="699"/>
      <c r="AR18" s="664"/>
      <c r="AS18" s="656"/>
      <c r="AT18" s="699"/>
      <c r="AU18" s="664"/>
      <c r="AV18" s="656"/>
      <c r="AW18" s="699"/>
      <c r="AX18" s="664"/>
      <c r="AY18" s="656"/>
      <c r="AZ18" s="699"/>
      <c r="BA18" s="664"/>
      <c r="BB18" s="656">
        <v>35251.199999999997</v>
      </c>
      <c r="BC18" s="699">
        <v>35251.199999999997</v>
      </c>
      <c r="BD18" s="664">
        <v>35251.199999999997</v>
      </c>
      <c r="BE18" s="656"/>
      <c r="BF18" s="699"/>
      <c r="BG18" s="664"/>
      <c r="BH18" s="656">
        <f t="shared" si="29"/>
        <v>35251.199999999997</v>
      </c>
      <c r="BI18" s="699">
        <f t="shared" si="29"/>
        <v>35251.199999999997</v>
      </c>
      <c r="BJ18" s="664">
        <f t="shared" si="29"/>
        <v>35251.199999999997</v>
      </c>
      <c r="BK18" s="656"/>
      <c r="BL18" s="699"/>
      <c r="BM18" s="664"/>
      <c r="BN18" s="656"/>
      <c r="BO18" s="699"/>
      <c r="BP18" s="664"/>
      <c r="BQ18" s="656"/>
      <c r="BR18" s="699"/>
      <c r="BS18" s="664"/>
      <c r="BT18" s="656"/>
      <c r="BU18" s="699"/>
      <c r="BV18" s="664"/>
      <c r="BW18" s="656"/>
      <c r="BX18" s="699"/>
      <c r="BY18" s="664"/>
      <c r="BZ18" s="656"/>
      <c r="CA18" s="699"/>
      <c r="CB18" s="664"/>
      <c r="CC18" s="656"/>
      <c r="CD18" s="699"/>
      <c r="CE18" s="664"/>
      <c r="CF18" s="656"/>
      <c r="CG18" s="699"/>
      <c r="CH18" s="664"/>
      <c r="CI18" s="656"/>
      <c r="CJ18" s="699"/>
      <c r="CK18" s="1972"/>
      <c r="CL18" s="656"/>
      <c r="CM18" s="699"/>
      <c r="CN18" s="664"/>
      <c r="CO18" s="656"/>
      <c r="CP18" s="699"/>
      <c r="CQ18" s="664"/>
      <c r="CR18" s="656"/>
      <c r="CS18" s="699"/>
      <c r="CT18" s="664"/>
      <c r="CU18" s="656">
        <f t="shared" si="30"/>
        <v>0</v>
      </c>
      <c r="CV18" s="699">
        <f t="shared" si="31"/>
        <v>0</v>
      </c>
      <c r="CW18" s="664">
        <f t="shared" si="32"/>
        <v>0</v>
      </c>
      <c r="CX18" s="656">
        <f t="shared" si="19"/>
        <v>35251.199999999997</v>
      </c>
      <c r="CY18" s="699">
        <f t="shared" si="7"/>
        <v>35251.199999999997</v>
      </c>
      <c r="CZ18" s="664">
        <f t="shared" si="8"/>
        <v>35251.199999999997</v>
      </c>
      <c r="DA18" s="656"/>
      <c r="DB18" s="699"/>
      <c r="DC18" s="664"/>
      <c r="DD18" s="656"/>
      <c r="DE18" s="699"/>
      <c r="DF18" s="664"/>
      <c r="DG18" s="656"/>
      <c r="DH18" s="699"/>
      <c r="DI18" s="664"/>
      <c r="DJ18" s="655">
        <f t="shared" si="34"/>
        <v>0</v>
      </c>
      <c r="DK18" s="698">
        <f t="shared" si="33"/>
        <v>0</v>
      </c>
      <c r="DL18" s="663">
        <f t="shared" si="33"/>
        <v>0</v>
      </c>
      <c r="DM18" s="656"/>
      <c r="DN18" s="699"/>
      <c r="DO18" s="664"/>
      <c r="DP18" s="656"/>
      <c r="DQ18" s="699"/>
      <c r="DR18" s="664"/>
      <c r="DS18" s="656">
        <f t="shared" si="10"/>
        <v>35251.199999999997</v>
      </c>
      <c r="DT18" s="699">
        <f t="shared" si="11"/>
        <v>35251.199999999997</v>
      </c>
      <c r="DU18" s="664">
        <f t="shared" si="12"/>
        <v>35251.199999999997</v>
      </c>
      <c r="DV18" s="719">
        <f t="shared" si="13"/>
        <v>100</v>
      </c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</row>
    <row r="19" spans="1:237" ht="12.75" customHeight="1" x14ac:dyDescent="0.2">
      <c r="A19" s="1683" t="s">
        <v>931</v>
      </c>
      <c r="B19" s="1685" t="s">
        <v>1091</v>
      </c>
      <c r="C19" s="655"/>
      <c r="D19" s="698"/>
      <c r="E19" s="663"/>
      <c r="F19" s="655"/>
      <c r="G19" s="698"/>
      <c r="H19" s="663"/>
      <c r="I19" s="655"/>
      <c r="J19" s="698"/>
      <c r="K19" s="663"/>
      <c r="L19" s="655"/>
      <c r="M19" s="698"/>
      <c r="N19" s="663"/>
      <c r="O19" s="655"/>
      <c r="P19" s="698"/>
      <c r="Q19" s="663"/>
      <c r="R19" s="655"/>
      <c r="S19" s="698"/>
      <c r="T19" s="663"/>
      <c r="U19" s="655"/>
      <c r="V19" s="698"/>
      <c r="W19" s="663"/>
      <c r="X19" s="655"/>
      <c r="Y19" s="698"/>
      <c r="Z19" s="663"/>
      <c r="AA19" s="655"/>
      <c r="AB19" s="698"/>
      <c r="AC19" s="663"/>
      <c r="AD19" s="655"/>
      <c r="AE19" s="698"/>
      <c r="AF19" s="663"/>
      <c r="AG19" s="655"/>
      <c r="AH19" s="698"/>
      <c r="AI19" s="663"/>
      <c r="AJ19" s="655"/>
      <c r="AK19" s="698"/>
      <c r="AL19" s="663"/>
      <c r="AM19" s="655"/>
      <c r="AN19" s="698"/>
      <c r="AO19" s="663"/>
      <c r="AP19" s="655"/>
      <c r="AQ19" s="698"/>
      <c r="AR19" s="663"/>
      <c r="AS19" s="655"/>
      <c r="AT19" s="698"/>
      <c r="AU19" s="663"/>
      <c r="AV19" s="655"/>
      <c r="AW19" s="698"/>
      <c r="AX19" s="663"/>
      <c r="AY19" s="655"/>
      <c r="AZ19" s="698"/>
      <c r="BA19" s="663"/>
      <c r="BB19" s="656"/>
      <c r="BC19" s="699">
        <v>47856.43499999999</v>
      </c>
      <c r="BD19" s="664">
        <v>47856.434999999998</v>
      </c>
      <c r="BE19" s="655"/>
      <c r="BF19" s="698"/>
      <c r="BG19" s="663"/>
      <c r="BH19" s="656">
        <f t="shared" si="29"/>
        <v>0</v>
      </c>
      <c r="BI19" s="699">
        <f t="shared" si="29"/>
        <v>47856.43499999999</v>
      </c>
      <c r="BJ19" s="664">
        <f t="shared" si="29"/>
        <v>47856.434999999998</v>
      </c>
      <c r="BK19" s="655"/>
      <c r="BL19" s="698"/>
      <c r="BM19" s="663"/>
      <c r="BN19" s="655"/>
      <c r="BO19" s="698"/>
      <c r="BP19" s="663"/>
      <c r="BQ19" s="655"/>
      <c r="BR19" s="698"/>
      <c r="BS19" s="663"/>
      <c r="BT19" s="655"/>
      <c r="BU19" s="698"/>
      <c r="BV19" s="663"/>
      <c r="BW19" s="655"/>
      <c r="BX19" s="698"/>
      <c r="BY19" s="663"/>
      <c r="BZ19" s="655"/>
      <c r="CA19" s="698"/>
      <c r="CB19" s="663"/>
      <c r="CC19" s="655"/>
      <c r="CD19" s="698"/>
      <c r="CE19" s="663"/>
      <c r="CF19" s="655"/>
      <c r="CG19" s="698"/>
      <c r="CH19" s="663"/>
      <c r="CI19" s="655"/>
      <c r="CJ19" s="698"/>
      <c r="CK19" s="1971"/>
      <c r="CL19" s="655"/>
      <c r="CM19" s="698"/>
      <c r="CN19" s="663"/>
      <c r="CO19" s="655"/>
      <c r="CP19" s="698"/>
      <c r="CQ19" s="663"/>
      <c r="CR19" s="655"/>
      <c r="CS19" s="698"/>
      <c r="CT19" s="663"/>
      <c r="CU19" s="656">
        <f t="shared" si="30"/>
        <v>0</v>
      </c>
      <c r="CV19" s="699">
        <f t="shared" si="31"/>
        <v>0</v>
      </c>
      <c r="CW19" s="664">
        <f t="shared" si="32"/>
        <v>0</v>
      </c>
      <c r="CX19" s="656">
        <f t="shared" si="19"/>
        <v>0</v>
      </c>
      <c r="CY19" s="699">
        <f t="shared" si="7"/>
        <v>47856.43499999999</v>
      </c>
      <c r="CZ19" s="664">
        <f t="shared" si="8"/>
        <v>47856.434999999998</v>
      </c>
      <c r="DA19" s="655"/>
      <c r="DB19" s="698"/>
      <c r="DC19" s="663"/>
      <c r="DD19" s="655"/>
      <c r="DE19" s="698"/>
      <c r="DF19" s="663"/>
      <c r="DG19" s="655"/>
      <c r="DH19" s="698"/>
      <c r="DI19" s="663"/>
      <c r="DJ19" s="655">
        <f t="shared" si="34"/>
        <v>0</v>
      </c>
      <c r="DK19" s="698">
        <f t="shared" si="33"/>
        <v>0</v>
      </c>
      <c r="DL19" s="663">
        <f t="shared" si="33"/>
        <v>0</v>
      </c>
      <c r="DM19" s="655"/>
      <c r="DN19" s="698"/>
      <c r="DO19" s="663"/>
      <c r="DP19" s="655"/>
      <c r="DQ19" s="698"/>
      <c r="DR19" s="663"/>
      <c r="DS19" s="656">
        <f t="shared" si="10"/>
        <v>0</v>
      </c>
      <c r="DT19" s="699">
        <f t="shared" si="11"/>
        <v>47856.43499999999</v>
      </c>
      <c r="DU19" s="664">
        <f t="shared" si="12"/>
        <v>47856.434999999998</v>
      </c>
      <c r="DV19" s="719">
        <f t="shared" si="13"/>
        <v>100.00000000000003</v>
      </c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</row>
    <row r="20" spans="1:237" ht="12.75" customHeight="1" x14ac:dyDescent="0.2">
      <c r="A20" s="1683" t="s">
        <v>932</v>
      </c>
      <c r="B20" s="1686" t="s">
        <v>1092</v>
      </c>
      <c r="C20" s="655"/>
      <c r="D20" s="698"/>
      <c r="E20" s="663"/>
      <c r="F20" s="655"/>
      <c r="G20" s="698"/>
      <c r="H20" s="663"/>
      <c r="I20" s="655"/>
      <c r="J20" s="698"/>
      <c r="K20" s="663"/>
      <c r="L20" s="655"/>
      <c r="M20" s="698"/>
      <c r="N20" s="663"/>
      <c r="O20" s="655"/>
      <c r="P20" s="698"/>
      <c r="Q20" s="663"/>
      <c r="R20" s="655"/>
      <c r="S20" s="698"/>
      <c r="T20" s="663"/>
      <c r="U20" s="655"/>
      <c r="V20" s="698"/>
      <c r="W20" s="663"/>
      <c r="X20" s="655"/>
      <c r="Y20" s="698"/>
      <c r="Z20" s="663"/>
      <c r="AA20" s="655"/>
      <c r="AB20" s="698"/>
      <c r="AC20" s="663"/>
      <c r="AD20" s="655"/>
      <c r="AE20" s="698"/>
      <c r="AF20" s="663"/>
      <c r="AG20" s="655"/>
      <c r="AH20" s="698"/>
      <c r="AI20" s="663"/>
      <c r="AJ20" s="655"/>
      <c r="AK20" s="698"/>
      <c r="AL20" s="663"/>
      <c r="AM20" s="655"/>
      <c r="AN20" s="698"/>
      <c r="AO20" s="663"/>
      <c r="AP20" s="655"/>
      <c r="AQ20" s="698"/>
      <c r="AR20" s="663"/>
      <c r="AS20" s="655"/>
      <c r="AT20" s="698"/>
      <c r="AU20" s="663"/>
      <c r="AV20" s="655"/>
      <c r="AW20" s="698"/>
      <c r="AX20" s="663"/>
      <c r="AY20" s="655"/>
      <c r="AZ20" s="698"/>
      <c r="BA20" s="663"/>
      <c r="BB20" s="656"/>
      <c r="BC20" s="699">
        <v>17594.297999999999</v>
      </c>
      <c r="BD20" s="664">
        <v>17594.297999999999</v>
      </c>
      <c r="BE20" s="655"/>
      <c r="BF20" s="698"/>
      <c r="BG20" s="663"/>
      <c r="BH20" s="656">
        <f t="shared" si="29"/>
        <v>0</v>
      </c>
      <c r="BI20" s="699">
        <f t="shared" si="29"/>
        <v>17594.297999999999</v>
      </c>
      <c r="BJ20" s="664">
        <f t="shared" si="29"/>
        <v>17594.297999999999</v>
      </c>
      <c r="BK20" s="655"/>
      <c r="BL20" s="698"/>
      <c r="BM20" s="663"/>
      <c r="BN20" s="655"/>
      <c r="BO20" s="698"/>
      <c r="BP20" s="663"/>
      <c r="BQ20" s="655"/>
      <c r="BR20" s="698"/>
      <c r="BS20" s="663"/>
      <c r="BT20" s="655"/>
      <c r="BU20" s="698"/>
      <c r="BV20" s="663"/>
      <c r="BW20" s="655"/>
      <c r="BX20" s="698"/>
      <c r="BY20" s="663"/>
      <c r="BZ20" s="655"/>
      <c r="CA20" s="698"/>
      <c r="CB20" s="663"/>
      <c r="CC20" s="655"/>
      <c r="CD20" s="698"/>
      <c r="CE20" s="663"/>
      <c r="CF20" s="655"/>
      <c r="CG20" s="698"/>
      <c r="CH20" s="663"/>
      <c r="CI20" s="655"/>
      <c r="CJ20" s="698"/>
      <c r="CK20" s="1971"/>
      <c r="CL20" s="655"/>
      <c r="CM20" s="698"/>
      <c r="CN20" s="663"/>
      <c r="CO20" s="655"/>
      <c r="CP20" s="698"/>
      <c r="CQ20" s="663"/>
      <c r="CR20" s="655"/>
      <c r="CS20" s="698"/>
      <c r="CT20" s="663"/>
      <c r="CU20" s="656">
        <f t="shared" si="30"/>
        <v>0</v>
      </c>
      <c r="CV20" s="699">
        <f t="shared" si="31"/>
        <v>0</v>
      </c>
      <c r="CW20" s="664">
        <f t="shared" si="32"/>
        <v>0</v>
      </c>
      <c r="CX20" s="656">
        <f t="shared" si="19"/>
        <v>0</v>
      </c>
      <c r="CY20" s="699">
        <f t="shared" si="7"/>
        <v>17594.297999999999</v>
      </c>
      <c r="CZ20" s="664">
        <f t="shared" si="8"/>
        <v>17594.297999999999</v>
      </c>
      <c r="DA20" s="655"/>
      <c r="DB20" s="698"/>
      <c r="DC20" s="663"/>
      <c r="DD20" s="655"/>
      <c r="DE20" s="698"/>
      <c r="DF20" s="663"/>
      <c r="DG20" s="655"/>
      <c r="DH20" s="698"/>
      <c r="DI20" s="663"/>
      <c r="DJ20" s="655">
        <f t="shared" si="34"/>
        <v>0</v>
      </c>
      <c r="DK20" s="698">
        <f t="shared" si="33"/>
        <v>0</v>
      </c>
      <c r="DL20" s="663">
        <f t="shared" si="33"/>
        <v>0</v>
      </c>
      <c r="DM20" s="655"/>
      <c r="DN20" s="698"/>
      <c r="DO20" s="663"/>
      <c r="DP20" s="655"/>
      <c r="DQ20" s="698"/>
      <c r="DR20" s="663"/>
      <c r="DS20" s="656">
        <f t="shared" si="10"/>
        <v>0</v>
      </c>
      <c r="DT20" s="699">
        <f t="shared" si="11"/>
        <v>17594.297999999999</v>
      </c>
      <c r="DU20" s="664">
        <f t="shared" si="12"/>
        <v>17594.297999999999</v>
      </c>
      <c r="DV20" s="719">
        <f t="shared" si="13"/>
        <v>100</v>
      </c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</row>
    <row r="21" spans="1:237" s="133" customFormat="1" ht="12.75" customHeight="1" x14ac:dyDescent="0.2">
      <c r="A21" s="1681" t="s">
        <v>593</v>
      </c>
      <c r="B21" s="1682" t="s">
        <v>910</v>
      </c>
      <c r="C21" s="657"/>
      <c r="D21" s="700"/>
      <c r="E21" s="665"/>
      <c r="F21" s="657"/>
      <c r="G21" s="700"/>
      <c r="H21" s="665"/>
      <c r="I21" s="657"/>
      <c r="J21" s="700"/>
      <c r="K21" s="665"/>
      <c r="L21" s="657"/>
      <c r="M21" s="700"/>
      <c r="N21" s="665"/>
      <c r="O21" s="657"/>
      <c r="P21" s="700"/>
      <c r="Q21" s="665"/>
      <c r="R21" s="657"/>
      <c r="S21" s="700"/>
      <c r="T21" s="665"/>
      <c r="U21" s="657"/>
      <c r="V21" s="700"/>
      <c r="W21" s="665"/>
      <c r="X21" s="657"/>
      <c r="Y21" s="700"/>
      <c r="Z21" s="665"/>
      <c r="AA21" s="657"/>
      <c r="AB21" s="700"/>
      <c r="AC21" s="665"/>
      <c r="AD21" s="657"/>
      <c r="AE21" s="700"/>
      <c r="AF21" s="665"/>
      <c r="AG21" s="657"/>
      <c r="AH21" s="700"/>
      <c r="AI21" s="665"/>
      <c r="AJ21" s="657"/>
      <c r="AK21" s="700"/>
      <c r="AL21" s="665"/>
      <c r="AM21" s="657"/>
      <c r="AN21" s="700"/>
      <c r="AO21" s="665"/>
      <c r="AP21" s="657"/>
      <c r="AQ21" s="700"/>
      <c r="AR21" s="665"/>
      <c r="AS21" s="657"/>
      <c r="AT21" s="700"/>
      <c r="AU21" s="665"/>
      <c r="AV21" s="657"/>
      <c r="AW21" s="700"/>
      <c r="AX21" s="665"/>
      <c r="AY21" s="657"/>
      <c r="AZ21" s="700"/>
      <c r="BA21" s="665"/>
      <c r="BB21" s="657"/>
      <c r="BC21" s="703">
        <v>89858.422000000006</v>
      </c>
      <c r="BD21" s="668">
        <v>89858.422000000006</v>
      </c>
      <c r="BE21" s="657"/>
      <c r="BF21" s="700"/>
      <c r="BG21" s="665"/>
      <c r="BH21" s="660">
        <f t="shared" ref="BH21:BJ25" si="35">C21+F21+I21+L21+O21+R21+U21+X21+AA21+AD21+AG21+AJ21+AM21+AP21+AS21+AV21+AY21+BB21+BE21</f>
        <v>0</v>
      </c>
      <c r="BI21" s="703">
        <f t="shared" si="35"/>
        <v>89858.422000000006</v>
      </c>
      <c r="BJ21" s="668">
        <f t="shared" si="35"/>
        <v>89858.422000000006</v>
      </c>
      <c r="BK21" s="657"/>
      <c r="BL21" s="700"/>
      <c r="BM21" s="665"/>
      <c r="BN21" s="657"/>
      <c r="BO21" s="700"/>
      <c r="BP21" s="665"/>
      <c r="BQ21" s="657"/>
      <c r="BR21" s="700"/>
      <c r="BS21" s="665"/>
      <c r="BT21" s="657"/>
      <c r="BU21" s="700"/>
      <c r="BV21" s="665"/>
      <c r="BW21" s="657"/>
      <c r="BX21" s="700"/>
      <c r="BY21" s="665"/>
      <c r="BZ21" s="657"/>
      <c r="CA21" s="700"/>
      <c r="CB21" s="665"/>
      <c r="CC21" s="657"/>
      <c r="CD21" s="700"/>
      <c r="CE21" s="665"/>
      <c r="CF21" s="657"/>
      <c r="CG21" s="700"/>
      <c r="CH21" s="665"/>
      <c r="CI21" s="657"/>
      <c r="CJ21" s="700"/>
      <c r="CK21" s="1973"/>
      <c r="CL21" s="657"/>
      <c r="CM21" s="700"/>
      <c r="CN21" s="665"/>
      <c r="CO21" s="657"/>
      <c r="CP21" s="700"/>
      <c r="CQ21" s="665"/>
      <c r="CR21" s="657"/>
      <c r="CS21" s="700"/>
      <c r="CT21" s="665"/>
      <c r="CU21" s="1708">
        <f t="shared" ref="CU21:CU25" si="36">BK21+BN21+BQ21+BT21+BW21+BZ21+CC21+CF21+CI21+CL21+CO21</f>
        <v>0</v>
      </c>
      <c r="CV21" s="1709">
        <f t="shared" ref="CV21:CV25" si="37">BL21+BO21+BR21+BU21+BX21+CA21+CD21+CG21+CJ21+CM21+CP21</f>
        <v>0</v>
      </c>
      <c r="CW21" s="1710">
        <f t="shared" ref="CW21:CW25" si="38">BM21+BP21+BS21+BV21+BY21+CB21+CE21+CH21+CK21+CN21+CQ21</f>
        <v>0</v>
      </c>
      <c r="CX21" s="657">
        <f t="shared" si="19"/>
        <v>0</v>
      </c>
      <c r="CY21" s="700">
        <f t="shared" si="7"/>
        <v>89858.422000000006</v>
      </c>
      <c r="CZ21" s="665">
        <f t="shared" si="8"/>
        <v>89858.422000000006</v>
      </c>
      <c r="DA21" s="657"/>
      <c r="DB21" s="700"/>
      <c r="DC21" s="665"/>
      <c r="DD21" s="657"/>
      <c r="DE21" s="700"/>
      <c r="DF21" s="665"/>
      <c r="DG21" s="657"/>
      <c r="DH21" s="700"/>
      <c r="DI21" s="665"/>
      <c r="DJ21" s="657">
        <f t="shared" si="34"/>
        <v>0</v>
      </c>
      <c r="DK21" s="700">
        <f t="shared" ref="DK21:DK85" si="39">DB21+DE21+DH21</f>
        <v>0</v>
      </c>
      <c r="DL21" s="665">
        <f t="shared" ref="DL21:DL85" si="40">DC21+DF21+DI21</f>
        <v>0</v>
      </c>
      <c r="DM21" s="657"/>
      <c r="DN21" s="700"/>
      <c r="DO21" s="665"/>
      <c r="DP21" s="657"/>
      <c r="DQ21" s="700"/>
      <c r="DR21" s="665"/>
      <c r="DS21" s="657">
        <f t="shared" si="10"/>
        <v>0</v>
      </c>
      <c r="DT21" s="700">
        <f t="shared" si="11"/>
        <v>89858.422000000006</v>
      </c>
      <c r="DU21" s="665">
        <f t="shared" si="12"/>
        <v>89858.422000000006</v>
      </c>
      <c r="DV21" s="721">
        <v>0</v>
      </c>
      <c r="DW21" s="598"/>
      <c r="DX21" s="598"/>
      <c r="DY21" s="598"/>
      <c r="DZ21" s="598"/>
      <c r="EA21" s="598"/>
      <c r="EB21" s="598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598"/>
      <c r="ER21" s="598"/>
      <c r="ES21" s="598"/>
      <c r="ET21" s="598"/>
      <c r="EU21" s="598"/>
      <c r="EV21" s="598"/>
      <c r="EW21" s="598"/>
      <c r="EX21" s="598"/>
      <c r="EY21" s="598"/>
      <c r="EZ21" s="598"/>
      <c r="FA21" s="598"/>
      <c r="FB21" s="598"/>
      <c r="FC21" s="598"/>
      <c r="FD21" s="598"/>
      <c r="FE21" s="598"/>
      <c r="FF21" s="598"/>
      <c r="FG21" s="598"/>
      <c r="FH21" s="598"/>
      <c r="FI21" s="598"/>
      <c r="FJ21" s="598"/>
      <c r="FK21" s="598"/>
      <c r="FL21" s="598"/>
      <c r="FM21" s="598"/>
      <c r="FN21" s="598"/>
      <c r="FO21" s="598"/>
      <c r="FP21" s="598"/>
      <c r="FQ21" s="598"/>
      <c r="FR21" s="598"/>
      <c r="FS21" s="598"/>
      <c r="FT21" s="598"/>
      <c r="FU21" s="598"/>
      <c r="FV21" s="598"/>
      <c r="FW21" s="598"/>
      <c r="FX21" s="598"/>
      <c r="FY21" s="598"/>
      <c r="FZ21" s="598"/>
      <c r="GA21" s="598"/>
      <c r="GB21" s="598"/>
      <c r="GC21" s="598"/>
      <c r="GD21" s="598"/>
      <c r="GE21" s="598"/>
      <c r="GF21" s="598"/>
      <c r="GG21" s="598"/>
      <c r="GH21" s="598"/>
      <c r="GI21" s="598"/>
      <c r="GJ21" s="598"/>
      <c r="GK21" s="598"/>
      <c r="GL21" s="598"/>
      <c r="GM21" s="598"/>
      <c r="GN21" s="598"/>
      <c r="GO21" s="598"/>
      <c r="GP21" s="598"/>
      <c r="GQ21" s="598"/>
      <c r="GR21" s="598"/>
      <c r="GS21" s="598"/>
      <c r="GT21" s="598"/>
      <c r="GU21" s="598"/>
      <c r="GV21" s="598"/>
      <c r="GW21" s="598"/>
      <c r="GX21" s="598"/>
      <c r="GY21" s="598"/>
      <c r="GZ21" s="598"/>
      <c r="HA21" s="598"/>
      <c r="HB21" s="598"/>
      <c r="HC21" s="598"/>
      <c r="HD21" s="598"/>
      <c r="HE21" s="598"/>
      <c r="HF21" s="598"/>
      <c r="HG21" s="598"/>
      <c r="HH21" s="598"/>
      <c r="HI21" s="598"/>
      <c r="HJ21" s="598"/>
      <c r="HK21" s="598"/>
      <c r="HL21" s="598"/>
      <c r="HM21" s="598"/>
      <c r="HN21" s="598"/>
      <c r="HO21" s="598"/>
      <c r="HP21" s="598"/>
      <c r="HQ21" s="598"/>
      <c r="HR21" s="598"/>
      <c r="HS21" s="598"/>
      <c r="HT21" s="598"/>
      <c r="HU21" s="598"/>
      <c r="HV21" s="598"/>
      <c r="HW21" s="598"/>
      <c r="HX21" s="598"/>
      <c r="HY21" s="598"/>
      <c r="HZ21" s="598"/>
      <c r="IA21" s="598"/>
      <c r="IB21" s="598"/>
      <c r="IC21" s="598"/>
    </row>
    <row r="22" spans="1:237" ht="12.75" customHeight="1" x14ac:dyDescent="0.2">
      <c r="A22" s="1681" t="s">
        <v>594</v>
      </c>
      <c r="B22" s="1687" t="s">
        <v>979</v>
      </c>
      <c r="C22" s="654"/>
      <c r="D22" s="697"/>
      <c r="E22" s="662"/>
      <c r="F22" s="654"/>
      <c r="G22" s="697"/>
      <c r="H22" s="662"/>
      <c r="I22" s="654"/>
      <c r="J22" s="697"/>
      <c r="K22" s="662"/>
      <c r="L22" s="654"/>
      <c r="M22" s="697"/>
      <c r="N22" s="662"/>
      <c r="O22" s="654"/>
      <c r="P22" s="697"/>
      <c r="Q22" s="662"/>
      <c r="R22" s="654"/>
      <c r="S22" s="697"/>
      <c r="T22" s="662"/>
      <c r="U22" s="654"/>
      <c r="V22" s="697"/>
      <c r="W22" s="662"/>
      <c r="X22" s="654"/>
      <c r="Y22" s="697"/>
      <c r="Z22" s="662"/>
      <c r="AA22" s="654"/>
      <c r="AB22" s="697"/>
      <c r="AC22" s="662"/>
      <c r="AD22" s="654"/>
      <c r="AE22" s="697"/>
      <c r="AF22" s="662"/>
      <c r="AG22" s="654"/>
      <c r="AH22" s="697"/>
      <c r="AI22" s="662"/>
      <c r="AJ22" s="654"/>
      <c r="AK22" s="697"/>
      <c r="AL22" s="662"/>
      <c r="AM22" s="654"/>
      <c r="AN22" s="697"/>
      <c r="AO22" s="662"/>
      <c r="AP22" s="654"/>
      <c r="AQ22" s="697"/>
      <c r="AR22" s="662"/>
      <c r="AS22" s="654"/>
      <c r="AT22" s="697"/>
      <c r="AU22" s="662"/>
      <c r="AV22" s="654"/>
      <c r="AW22" s="697"/>
      <c r="AX22" s="662"/>
      <c r="AY22" s="654"/>
      <c r="AZ22" s="697"/>
      <c r="BA22" s="662"/>
      <c r="BB22" s="654"/>
      <c r="BC22" s="697"/>
      <c r="BD22" s="662"/>
      <c r="BE22" s="654"/>
      <c r="BF22" s="697"/>
      <c r="BG22" s="662"/>
      <c r="BH22" s="1784">
        <f t="shared" si="35"/>
        <v>0</v>
      </c>
      <c r="BI22" s="1785">
        <f t="shared" si="35"/>
        <v>0</v>
      </c>
      <c r="BJ22" s="1786">
        <f t="shared" si="35"/>
        <v>0</v>
      </c>
      <c r="BK22" s="654"/>
      <c r="BL22" s="697"/>
      <c r="BM22" s="662"/>
      <c r="BN22" s="654"/>
      <c r="BO22" s="697"/>
      <c r="BP22" s="662"/>
      <c r="BQ22" s="654"/>
      <c r="BR22" s="697"/>
      <c r="BS22" s="662"/>
      <c r="BT22" s="654"/>
      <c r="BU22" s="697"/>
      <c r="BV22" s="662"/>
      <c r="BW22" s="654"/>
      <c r="BX22" s="697"/>
      <c r="BY22" s="662"/>
      <c r="BZ22" s="654"/>
      <c r="CA22" s="697"/>
      <c r="CB22" s="662"/>
      <c r="CC22" s="654"/>
      <c r="CD22" s="697"/>
      <c r="CE22" s="662"/>
      <c r="CF22" s="654"/>
      <c r="CG22" s="697"/>
      <c r="CH22" s="662"/>
      <c r="CI22" s="654"/>
      <c r="CJ22" s="697"/>
      <c r="CK22" s="1969"/>
      <c r="CL22" s="654"/>
      <c r="CM22" s="697"/>
      <c r="CN22" s="662"/>
      <c r="CO22" s="654"/>
      <c r="CP22" s="697"/>
      <c r="CQ22" s="662"/>
      <c r="CR22" s="654"/>
      <c r="CS22" s="697"/>
      <c r="CT22" s="662"/>
      <c r="CU22" s="1708">
        <f t="shared" si="36"/>
        <v>0</v>
      </c>
      <c r="CV22" s="1709">
        <f t="shared" si="37"/>
        <v>0</v>
      </c>
      <c r="CW22" s="1710">
        <f t="shared" si="38"/>
        <v>0</v>
      </c>
      <c r="CX22" s="654">
        <f t="shared" si="19"/>
        <v>0</v>
      </c>
      <c r="CY22" s="697">
        <f t="shared" si="7"/>
        <v>0</v>
      </c>
      <c r="CZ22" s="662">
        <f t="shared" si="8"/>
        <v>0</v>
      </c>
      <c r="DA22" s="654"/>
      <c r="DB22" s="697"/>
      <c r="DC22" s="662"/>
      <c r="DD22" s="654"/>
      <c r="DE22" s="697"/>
      <c r="DF22" s="662"/>
      <c r="DG22" s="654"/>
      <c r="DH22" s="697"/>
      <c r="DI22" s="662"/>
      <c r="DJ22" s="654">
        <f t="shared" si="34"/>
        <v>0</v>
      </c>
      <c r="DK22" s="697">
        <f t="shared" si="39"/>
        <v>0</v>
      </c>
      <c r="DL22" s="662">
        <f t="shared" si="40"/>
        <v>0</v>
      </c>
      <c r="DM22" s="654"/>
      <c r="DN22" s="697"/>
      <c r="DO22" s="662"/>
      <c r="DP22" s="654"/>
      <c r="DQ22" s="697"/>
      <c r="DR22" s="662"/>
      <c r="DS22" s="654">
        <f t="shared" si="10"/>
        <v>0</v>
      </c>
      <c r="DT22" s="697">
        <f t="shared" si="11"/>
        <v>0</v>
      </c>
      <c r="DU22" s="662">
        <f t="shared" si="12"/>
        <v>0</v>
      </c>
      <c r="DV22" s="721">
        <v>0</v>
      </c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</row>
    <row r="23" spans="1:237" ht="12.75" customHeight="1" x14ac:dyDescent="0.2">
      <c r="A23" s="1681" t="s">
        <v>595</v>
      </c>
      <c r="B23" s="1687" t="s">
        <v>985</v>
      </c>
      <c r="C23" s="1705"/>
      <c r="D23" s="1706"/>
      <c r="E23" s="1707"/>
      <c r="F23" s="1705"/>
      <c r="G23" s="1706"/>
      <c r="H23" s="1707"/>
      <c r="I23" s="1705"/>
      <c r="J23" s="1706"/>
      <c r="K23" s="1707"/>
      <c r="L23" s="1705"/>
      <c r="M23" s="1706"/>
      <c r="N23" s="1707"/>
      <c r="O23" s="1705"/>
      <c r="P23" s="1706"/>
      <c r="Q23" s="1707"/>
      <c r="R23" s="1705"/>
      <c r="S23" s="1706"/>
      <c r="T23" s="1707"/>
      <c r="U23" s="1705"/>
      <c r="V23" s="1706"/>
      <c r="W23" s="1707"/>
      <c r="X23" s="1705"/>
      <c r="Y23" s="1706"/>
      <c r="Z23" s="1707"/>
      <c r="AA23" s="1705"/>
      <c r="AB23" s="1706"/>
      <c r="AC23" s="1707"/>
      <c r="AD23" s="1705"/>
      <c r="AE23" s="1706"/>
      <c r="AF23" s="1707"/>
      <c r="AG23" s="1705"/>
      <c r="AH23" s="1706"/>
      <c r="AI23" s="1707"/>
      <c r="AJ23" s="1705"/>
      <c r="AK23" s="1706"/>
      <c r="AL23" s="1707"/>
      <c r="AM23" s="1705"/>
      <c r="AN23" s="1706"/>
      <c r="AO23" s="1707"/>
      <c r="AP23" s="1705"/>
      <c r="AQ23" s="1706"/>
      <c r="AR23" s="1707"/>
      <c r="AS23" s="1705"/>
      <c r="AT23" s="1706"/>
      <c r="AU23" s="1707"/>
      <c r="AV23" s="1705"/>
      <c r="AW23" s="1706"/>
      <c r="AX23" s="1707"/>
      <c r="AY23" s="1705"/>
      <c r="AZ23" s="1706"/>
      <c r="BA23" s="1707"/>
      <c r="BB23" s="1705"/>
      <c r="BC23" s="1706"/>
      <c r="BD23" s="1707"/>
      <c r="BE23" s="1705"/>
      <c r="BF23" s="1706"/>
      <c r="BG23" s="1707"/>
      <c r="BH23" s="1705">
        <f t="shared" si="35"/>
        <v>0</v>
      </c>
      <c r="BI23" s="1706">
        <f t="shared" si="35"/>
        <v>0</v>
      </c>
      <c r="BJ23" s="1707">
        <f t="shared" si="35"/>
        <v>0</v>
      </c>
      <c r="BK23" s="1705"/>
      <c r="BL23" s="1706"/>
      <c r="BM23" s="1707"/>
      <c r="BN23" s="1705"/>
      <c r="BO23" s="1706"/>
      <c r="BP23" s="1707"/>
      <c r="BQ23" s="1705"/>
      <c r="BR23" s="1706"/>
      <c r="BS23" s="1707"/>
      <c r="BT23" s="1705"/>
      <c r="BU23" s="1706"/>
      <c r="BV23" s="1707"/>
      <c r="BW23" s="1705"/>
      <c r="BX23" s="1706"/>
      <c r="BY23" s="1707"/>
      <c r="BZ23" s="1705"/>
      <c r="CA23" s="1706"/>
      <c r="CB23" s="1707"/>
      <c r="CC23" s="1705"/>
      <c r="CD23" s="1706"/>
      <c r="CE23" s="1707"/>
      <c r="CF23" s="1705"/>
      <c r="CG23" s="1706"/>
      <c r="CH23" s="1707"/>
      <c r="CI23" s="1705"/>
      <c r="CJ23" s="1706"/>
      <c r="CK23" s="1970"/>
      <c r="CL23" s="1705"/>
      <c r="CM23" s="1706"/>
      <c r="CN23" s="1707"/>
      <c r="CO23" s="1705"/>
      <c r="CP23" s="1706"/>
      <c r="CQ23" s="1707"/>
      <c r="CR23" s="1705"/>
      <c r="CS23" s="1706"/>
      <c r="CT23" s="1707"/>
      <c r="CU23" s="1708">
        <f t="shared" si="36"/>
        <v>0</v>
      </c>
      <c r="CV23" s="1709">
        <f t="shared" si="37"/>
        <v>0</v>
      </c>
      <c r="CW23" s="1710">
        <f t="shared" si="38"/>
        <v>0</v>
      </c>
      <c r="CX23" s="1705">
        <f t="shared" si="19"/>
        <v>0</v>
      </c>
      <c r="CY23" s="1706">
        <f t="shared" si="7"/>
        <v>0</v>
      </c>
      <c r="CZ23" s="1707">
        <f t="shared" si="8"/>
        <v>0</v>
      </c>
      <c r="DA23" s="1705"/>
      <c r="DB23" s="1706"/>
      <c r="DC23" s="1707"/>
      <c r="DD23" s="1705"/>
      <c r="DE23" s="1706"/>
      <c r="DF23" s="1707"/>
      <c r="DG23" s="1705"/>
      <c r="DH23" s="1706"/>
      <c r="DI23" s="1707"/>
      <c r="DJ23" s="1705">
        <f t="shared" si="34"/>
        <v>0</v>
      </c>
      <c r="DK23" s="1706">
        <f t="shared" si="39"/>
        <v>0</v>
      </c>
      <c r="DL23" s="1707">
        <f t="shared" si="40"/>
        <v>0</v>
      </c>
      <c r="DM23" s="1705"/>
      <c r="DN23" s="1706"/>
      <c r="DO23" s="1707"/>
      <c r="DP23" s="1705"/>
      <c r="DQ23" s="1706"/>
      <c r="DR23" s="1707"/>
      <c r="DS23" s="1705">
        <f t="shared" si="10"/>
        <v>0</v>
      </c>
      <c r="DT23" s="1706">
        <f t="shared" si="11"/>
        <v>0</v>
      </c>
      <c r="DU23" s="1707">
        <f t="shared" si="12"/>
        <v>0</v>
      </c>
      <c r="DV23" s="1775">
        <v>0</v>
      </c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</row>
    <row r="24" spans="1:237" ht="12.75" customHeight="1" x14ac:dyDescent="0.2">
      <c r="A24" s="1681" t="s">
        <v>39</v>
      </c>
      <c r="B24" s="1687" t="s">
        <v>986</v>
      </c>
      <c r="C24" s="1708"/>
      <c r="D24" s="1709"/>
      <c r="E24" s="1710"/>
      <c r="F24" s="1708"/>
      <c r="G24" s="1709"/>
      <c r="H24" s="1710"/>
      <c r="I24" s="1708"/>
      <c r="J24" s="1709"/>
      <c r="K24" s="1710"/>
      <c r="L24" s="1708"/>
      <c r="M24" s="1709"/>
      <c r="N24" s="1710"/>
      <c r="O24" s="1708"/>
      <c r="P24" s="1709"/>
      <c r="Q24" s="1710"/>
      <c r="R24" s="1708"/>
      <c r="S24" s="1709"/>
      <c r="T24" s="1710"/>
      <c r="U24" s="1708"/>
      <c r="V24" s="1709"/>
      <c r="W24" s="1710"/>
      <c r="X24" s="1708"/>
      <c r="Y24" s="1709"/>
      <c r="Z24" s="1710"/>
      <c r="AA24" s="1708"/>
      <c r="AB24" s="1709"/>
      <c r="AC24" s="1710"/>
      <c r="AD24" s="1708"/>
      <c r="AE24" s="1709"/>
      <c r="AF24" s="1710"/>
      <c r="AG24" s="1708"/>
      <c r="AH24" s="1709"/>
      <c r="AI24" s="1710"/>
      <c r="AJ24" s="1708"/>
      <c r="AK24" s="1709"/>
      <c r="AL24" s="1710"/>
      <c r="AM24" s="1708"/>
      <c r="AN24" s="1709"/>
      <c r="AO24" s="1710"/>
      <c r="AP24" s="1708"/>
      <c r="AQ24" s="1709"/>
      <c r="AR24" s="1710"/>
      <c r="AS24" s="1708"/>
      <c r="AT24" s="1709"/>
      <c r="AU24" s="1710"/>
      <c r="AV24" s="1708"/>
      <c r="AW24" s="1709"/>
      <c r="AX24" s="1710"/>
      <c r="AY24" s="1708"/>
      <c r="AZ24" s="1709"/>
      <c r="BA24" s="1710"/>
      <c r="BB24" s="1708"/>
      <c r="BC24" s="1709"/>
      <c r="BD24" s="1710"/>
      <c r="BE24" s="1708"/>
      <c r="BF24" s="1709"/>
      <c r="BG24" s="1710"/>
      <c r="BH24" s="1708">
        <f t="shared" si="35"/>
        <v>0</v>
      </c>
      <c r="BI24" s="1709">
        <f t="shared" si="35"/>
        <v>0</v>
      </c>
      <c r="BJ24" s="1710">
        <f t="shared" si="35"/>
        <v>0</v>
      </c>
      <c r="BK24" s="1708"/>
      <c r="BL24" s="1709"/>
      <c r="BM24" s="1710"/>
      <c r="BN24" s="1708"/>
      <c r="BO24" s="1709"/>
      <c r="BP24" s="1710"/>
      <c r="BQ24" s="1708"/>
      <c r="BR24" s="1709"/>
      <c r="BS24" s="1710"/>
      <c r="BT24" s="1708"/>
      <c r="BU24" s="1709"/>
      <c r="BV24" s="1710"/>
      <c r="BW24" s="1708"/>
      <c r="BX24" s="1709"/>
      <c r="BY24" s="1710"/>
      <c r="BZ24" s="1708"/>
      <c r="CA24" s="1709"/>
      <c r="CB24" s="1710"/>
      <c r="CC24" s="1708"/>
      <c r="CD24" s="1709"/>
      <c r="CE24" s="1710"/>
      <c r="CF24" s="1708"/>
      <c r="CG24" s="1709"/>
      <c r="CH24" s="1710"/>
      <c r="CI24" s="1708"/>
      <c r="CJ24" s="1709"/>
      <c r="CK24" s="1974"/>
      <c r="CL24" s="1708"/>
      <c r="CM24" s="1709"/>
      <c r="CN24" s="1710"/>
      <c r="CO24" s="1708"/>
      <c r="CP24" s="1709"/>
      <c r="CQ24" s="1710"/>
      <c r="CR24" s="1708"/>
      <c r="CS24" s="1709"/>
      <c r="CT24" s="1710"/>
      <c r="CU24" s="1708">
        <f t="shared" si="36"/>
        <v>0</v>
      </c>
      <c r="CV24" s="1709">
        <f t="shared" si="37"/>
        <v>0</v>
      </c>
      <c r="CW24" s="1710">
        <f t="shared" si="38"/>
        <v>0</v>
      </c>
      <c r="CX24" s="1708">
        <f t="shared" si="19"/>
        <v>0</v>
      </c>
      <c r="CY24" s="1709">
        <f t="shared" si="7"/>
        <v>0</v>
      </c>
      <c r="CZ24" s="1710">
        <f t="shared" si="8"/>
        <v>0</v>
      </c>
      <c r="DA24" s="1708"/>
      <c r="DB24" s="1709"/>
      <c r="DC24" s="1710"/>
      <c r="DD24" s="1708"/>
      <c r="DE24" s="1709"/>
      <c r="DF24" s="1710"/>
      <c r="DG24" s="1708"/>
      <c r="DH24" s="1709"/>
      <c r="DI24" s="1710"/>
      <c r="DJ24" s="1708">
        <f t="shared" si="34"/>
        <v>0</v>
      </c>
      <c r="DK24" s="1709">
        <f t="shared" si="39"/>
        <v>0</v>
      </c>
      <c r="DL24" s="1710">
        <f t="shared" si="40"/>
        <v>0</v>
      </c>
      <c r="DM24" s="1708"/>
      <c r="DN24" s="1709"/>
      <c r="DO24" s="1710"/>
      <c r="DP24" s="1708"/>
      <c r="DQ24" s="1709"/>
      <c r="DR24" s="1710"/>
      <c r="DS24" s="1708">
        <f t="shared" si="10"/>
        <v>0</v>
      </c>
      <c r="DT24" s="1709">
        <f t="shared" si="11"/>
        <v>0</v>
      </c>
      <c r="DU24" s="1710">
        <f t="shared" si="12"/>
        <v>0</v>
      </c>
      <c r="DV24" s="1775">
        <v>0</v>
      </c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</row>
    <row r="25" spans="1:237" ht="12.75" customHeight="1" x14ac:dyDescent="0.2">
      <c r="A25" s="1681" t="s">
        <v>933</v>
      </c>
      <c r="B25" s="1688" t="s">
        <v>980</v>
      </c>
      <c r="C25" s="1708"/>
      <c r="D25" s="1709"/>
      <c r="E25" s="1710"/>
      <c r="F25" s="1708"/>
      <c r="G25" s="1709"/>
      <c r="H25" s="1710"/>
      <c r="I25" s="1708"/>
      <c r="J25" s="1709"/>
      <c r="K25" s="1710"/>
      <c r="L25" s="1708"/>
      <c r="M25" s="1709"/>
      <c r="N25" s="1710"/>
      <c r="O25" s="1708"/>
      <c r="P25" s="1709"/>
      <c r="Q25" s="1710"/>
      <c r="R25" s="1708">
        <v>52000</v>
      </c>
      <c r="S25" s="1709">
        <v>52806</v>
      </c>
      <c r="T25" s="1710">
        <v>52806</v>
      </c>
      <c r="U25" s="1708"/>
      <c r="V25" s="1709"/>
      <c r="W25" s="1710"/>
      <c r="X25" s="1708">
        <v>185</v>
      </c>
      <c r="Y25" s="1709">
        <v>184.08</v>
      </c>
      <c r="Z25" s="1710">
        <v>184.08</v>
      </c>
      <c r="AA25" s="1708"/>
      <c r="AB25" s="1709"/>
      <c r="AC25" s="1710"/>
      <c r="AD25" s="1708"/>
      <c r="AE25" s="1709"/>
      <c r="AF25" s="1710"/>
      <c r="AG25" s="1708"/>
      <c r="AH25" s="1709"/>
      <c r="AI25" s="1710"/>
      <c r="AJ25" s="1708"/>
      <c r="AK25" s="1709"/>
      <c r="AL25" s="1710"/>
      <c r="AM25" s="1708"/>
      <c r="AN25" s="1709"/>
      <c r="AO25" s="1710"/>
      <c r="AP25" s="1708"/>
      <c r="AQ25" s="1709">
        <v>1051</v>
      </c>
      <c r="AR25" s="1710">
        <v>1051.105</v>
      </c>
      <c r="AS25" s="1708"/>
      <c r="AT25" s="1709">
        <v>136</v>
      </c>
      <c r="AU25" s="1710">
        <v>135.666</v>
      </c>
      <c r="AV25" s="1708"/>
      <c r="AW25" s="1709"/>
      <c r="AX25" s="1710"/>
      <c r="AY25" s="1708"/>
      <c r="AZ25" s="1709"/>
      <c r="BA25" s="1710"/>
      <c r="BB25" s="1708"/>
      <c r="BC25" s="1709"/>
      <c r="BD25" s="1710"/>
      <c r="BE25" s="1708"/>
      <c r="BF25" s="1709"/>
      <c r="BG25" s="1710"/>
      <c r="BH25" s="1708">
        <f t="shared" si="35"/>
        <v>52185</v>
      </c>
      <c r="BI25" s="1709">
        <f t="shared" si="35"/>
        <v>54177.08</v>
      </c>
      <c r="BJ25" s="1710">
        <f t="shared" si="35"/>
        <v>54176.851000000002</v>
      </c>
      <c r="BK25" s="1708"/>
      <c r="BL25" s="1709"/>
      <c r="BM25" s="1710"/>
      <c r="BN25" s="1708"/>
      <c r="BO25" s="1709"/>
      <c r="BP25" s="1710"/>
      <c r="BQ25" s="1708"/>
      <c r="BR25" s="1709"/>
      <c r="BS25" s="1710"/>
      <c r="BT25" s="1708"/>
      <c r="BU25" s="1709"/>
      <c r="BV25" s="1710"/>
      <c r="BW25" s="1708"/>
      <c r="BX25" s="1709"/>
      <c r="BY25" s="1710"/>
      <c r="BZ25" s="1708"/>
      <c r="CA25" s="1709"/>
      <c r="CB25" s="1710"/>
      <c r="CC25" s="1708"/>
      <c r="CD25" s="1709"/>
      <c r="CE25" s="1710"/>
      <c r="CF25" s="1708"/>
      <c r="CG25" s="1709"/>
      <c r="CH25" s="1710"/>
      <c r="CI25" s="1708"/>
      <c r="CJ25" s="1709">
        <v>800</v>
      </c>
      <c r="CK25" s="1974">
        <v>800</v>
      </c>
      <c r="CL25" s="1708"/>
      <c r="CM25" s="1709"/>
      <c r="CN25" s="1710"/>
      <c r="CO25" s="1708"/>
      <c r="CP25" s="1709"/>
      <c r="CQ25" s="1710"/>
      <c r="CR25" s="1708"/>
      <c r="CS25" s="1709"/>
      <c r="CT25" s="1710"/>
      <c r="CU25" s="1708">
        <f t="shared" si="36"/>
        <v>0</v>
      </c>
      <c r="CV25" s="1709">
        <f t="shared" si="37"/>
        <v>800</v>
      </c>
      <c r="CW25" s="1710">
        <f t="shared" si="38"/>
        <v>800</v>
      </c>
      <c r="CX25" s="1708">
        <f t="shared" si="19"/>
        <v>52185</v>
      </c>
      <c r="CY25" s="1709">
        <f t="shared" si="7"/>
        <v>54977.08</v>
      </c>
      <c r="CZ25" s="1710">
        <f t="shared" si="8"/>
        <v>54976.851000000002</v>
      </c>
      <c r="DA25" s="1708"/>
      <c r="DB25" s="1709"/>
      <c r="DC25" s="1710"/>
      <c r="DD25" s="1708"/>
      <c r="DE25" s="1709"/>
      <c r="DF25" s="1710"/>
      <c r="DG25" s="1708"/>
      <c r="DH25" s="1709">
        <v>10417.865</v>
      </c>
      <c r="DI25" s="1710">
        <v>10417.865</v>
      </c>
      <c r="DJ25" s="1708">
        <f t="shared" si="34"/>
        <v>0</v>
      </c>
      <c r="DK25" s="1709">
        <f t="shared" si="39"/>
        <v>10417.865</v>
      </c>
      <c r="DL25" s="1710">
        <f t="shared" si="40"/>
        <v>10417.865</v>
      </c>
      <c r="DM25" s="1708"/>
      <c r="DN25" s="1709">
        <v>5306.0020000000004</v>
      </c>
      <c r="DO25" s="1710">
        <v>5306.0020000000004</v>
      </c>
      <c r="DP25" s="1708">
        <v>1335988.3999999999</v>
      </c>
      <c r="DQ25" s="1709">
        <v>1340116.08</v>
      </c>
      <c r="DR25" s="1710">
        <v>1340116.48</v>
      </c>
      <c r="DS25" s="1708">
        <f t="shared" si="10"/>
        <v>1388173.4</v>
      </c>
      <c r="DT25" s="1709">
        <f t="shared" si="11"/>
        <v>1410817.027</v>
      </c>
      <c r="DU25" s="1710">
        <f t="shared" si="12"/>
        <v>1410817.1979999999</v>
      </c>
      <c r="DV25" s="1775">
        <f t="shared" si="13"/>
        <v>100.00001212063626</v>
      </c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</row>
    <row r="26" spans="1:237" ht="15" customHeight="1" x14ac:dyDescent="0.2">
      <c r="A26" s="1689" t="s">
        <v>116</v>
      </c>
      <c r="B26" s="1690" t="s">
        <v>545</v>
      </c>
      <c r="C26" s="1729">
        <f t="shared" ref="C26:AH26" si="41">C27+C34+C42</f>
        <v>0</v>
      </c>
      <c r="D26" s="1730">
        <f t="shared" si="41"/>
        <v>0</v>
      </c>
      <c r="E26" s="1731">
        <f t="shared" si="41"/>
        <v>0</v>
      </c>
      <c r="F26" s="1729">
        <f t="shared" si="41"/>
        <v>302520</v>
      </c>
      <c r="G26" s="1730">
        <f t="shared" si="41"/>
        <v>216125</v>
      </c>
      <c r="H26" s="1731">
        <f t="shared" si="41"/>
        <v>238957.41500000001</v>
      </c>
      <c r="I26" s="1729">
        <f t="shared" si="41"/>
        <v>100000</v>
      </c>
      <c r="J26" s="1730">
        <f t="shared" si="41"/>
        <v>35000</v>
      </c>
      <c r="K26" s="1731">
        <f t="shared" si="41"/>
        <v>40074.47</v>
      </c>
      <c r="L26" s="1729">
        <f t="shared" si="41"/>
        <v>0</v>
      </c>
      <c r="M26" s="1730">
        <f t="shared" si="41"/>
        <v>300</v>
      </c>
      <c r="N26" s="1731">
        <f t="shared" si="41"/>
        <v>600</v>
      </c>
      <c r="O26" s="1729">
        <f t="shared" si="41"/>
        <v>0</v>
      </c>
      <c r="P26" s="1730">
        <f t="shared" si="41"/>
        <v>0</v>
      </c>
      <c r="Q26" s="1731">
        <f t="shared" si="41"/>
        <v>0</v>
      </c>
      <c r="R26" s="1729">
        <f t="shared" si="41"/>
        <v>0</v>
      </c>
      <c r="S26" s="1730">
        <f t="shared" si="41"/>
        <v>0</v>
      </c>
      <c r="T26" s="1731">
        <f t="shared" si="41"/>
        <v>0</v>
      </c>
      <c r="U26" s="1729">
        <f t="shared" si="41"/>
        <v>0</v>
      </c>
      <c r="V26" s="1730">
        <f t="shared" si="41"/>
        <v>0</v>
      </c>
      <c r="W26" s="1731">
        <f t="shared" si="41"/>
        <v>0</v>
      </c>
      <c r="X26" s="1729">
        <f t="shared" si="41"/>
        <v>0</v>
      </c>
      <c r="Y26" s="1730">
        <f t="shared" si="41"/>
        <v>0</v>
      </c>
      <c r="Z26" s="1731">
        <f t="shared" si="41"/>
        <v>0</v>
      </c>
      <c r="AA26" s="1729">
        <f t="shared" si="41"/>
        <v>0</v>
      </c>
      <c r="AB26" s="1730">
        <f t="shared" si="41"/>
        <v>0</v>
      </c>
      <c r="AC26" s="1731">
        <f t="shared" si="41"/>
        <v>0</v>
      </c>
      <c r="AD26" s="1729">
        <f t="shared" si="41"/>
        <v>0</v>
      </c>
      <c r="AE26" s="1730">
        <f t="shared" si="41"/>
        <v>0</v>
      </c>
      <c r="AF26" s="1731">
        <f t="shared" si="41"/>
        <v>0</v>
      </c>
      <c r="AG26" s="1729">
        <f t="shared" si="41"/>
        <v>0</v>
      </c>
      <c r="AH26" s="1730">
        <f t="shared" si="41"/>
        <v>0</v>
      </c>
      <c r="AI26" s="1731">
        <f t="shared" ref="AI26:BN26" si="42">AI27+AI34+AI42</f>
        <v>0</v>
      </c>
      <c r="AJ26" s="1729">
        <f t="shared" si="42"/>
        <v>7785486</v>
      </c>
      <c r="AK26" s="1730">
        <f t="shared" si="42"/>
        <v>7785486</v>
      </c>
      <c r="AL26" s="1731">
        <f t="shared" si="42"/>
        <v>8139946.705000001</v>
      </c>
      <c r="AM26" s="1729">
        <f t="shared" si="42"/>
        <v>0</v>
      </c>
      <c r="AN26" s="1730">
        <f t="shared" si="42"/>
        <v>0</v>
      </c>
      <c r="AO26" s="1731">
        <f t="shared" si="42"/>
        <v>0</v>
      </c>
      <c r="AP26" s="1729">
        <f t="shared" si="42"/>
        <v>0</v>
      </c>
      <c r="AQ26" s="1730">
        <f t="shared" si="42"/>
        <v>0</v>
      </c>
      <c r="AR26" s="1731">
        <f t="shared" si="42"/>
        <v>0</v>
      </c>
      <c r="AS26" s="1729">
        <f t="shared" si="42"/>
        <v>0</v>
      </c>
      <c r="AT26" s="1730">
        <f t="shared" si="42"/>
        <v>0</v>
      </c>
      <c r="AU26" s="1731">
        <f t="shared" si="42"/>
        <v>0</v>
      </c>
      <c r="AV26" s="1729">
        <f t="shared" si="42"/>
        <v>0</v>
      </c>
      <c r="AW26" s="1730">
        <f t="shared" si="42"/>
        <v>0</v>
      </c>
      <c r="AX26" s="1731">
        <f t="shared" si="42"/>
        <v>0</v>
      </c>
      <c r="AY26" s="1729">
        <f t="shared" si="42"/>
        <v>0</v>
      </c>
      <c r="AZ26" s="1730">
        <f t="shared" si="42"/>
        <v>0</v>
      </c>
      <c r="BA26" s="1731">
        <f t="shared" si="42"/>
        <v>0</v>
      </c>
      <c r="BB26" s="1729">
        <f t="shared" si="42"/>
        <v>301000</v>
      </c>
      <c r="BC26" s="1730">
        <f t="shared" si="42"/>
        <v>301000</v>
      </c>
      <c r="BD26" s="1731">
        <f t="shared" si="42"/>
        <v>321679.86500000005</v>
      </c>
      <c r="BE26" s="1729">
        <f t="shared" si="42"/>
        <v>0</v>
      </c>
      <c r="BF26" s="1730">
        <f t="shared" si="42"/>
        <v>0</v>
      </c>
      <c r="BG26" s="1731">
        <f t="shared" si="42"/>
        <v>0</v>
      </c>
      <c r="BH26" s="1729">
        <f t="shared" si="42"/>
        <v>8489006</v>
      </c>
      <c r="BI26" s="1730">
        <f t="shared" si="42"/>
        <v>8337911</v>
      </c>
      <c r="BJ26" s="1731">
        <f t="shared" si="42"/>
        <v>8741258.4550000001</v>
      </c>
      <c r="BK26" s="1729">
        <f t="shared" si="42"/>
        <v>0</v>
      </c>
      <c r="BL26" s="1730">
        <f t="shared" si="42"/>
        <v>0</v>
      </c>
      <c r="BM26" s="1731">
        <f t="shared" si="42"/>
        <v>0</v>
      </c>
      <c r="BN26" s="1729">
        <f t="shared" si="42"/>
        <v>1000</v>
      </c>
      <c r="BO26" s="1730">
        <f t="shared" ref="BO26:CW26" si="43">BO27+BO34+BO42</f>
        <v>1000</v>
      </c>
      <c r="BP26" s="1731">
        <f t="shared" si="43"/>
        <v>635</v>
      </c>
      <c r="BQ26" s="1729">
        <f t="shared" si="43"/>
        <v>0</v>
      </c>
      <c r="BR26" s="1730">
        <f t="shared" si="43"/>
        <v>0</v>
      </c>
      <c r="BS26" s="1731">
        <f t="shared" si="43"/>
        <v>0</v>
      </c>
      <c r="BT26" s="1729">
        <f t="shared" si="43"/>
        <v>0</v>
      </c>
      <c r="BU26" s="1730">
        <f t="shared" si="43"/>
        <v>0</v>
      </c>
      <c r="BV26" s="1731">
        <f t="shared" si="43"/>
        <v>0</v>
      </c>
      <c r="BW26" s="1729">
        <f t="shared" si="43"/>
        <v>0</v>
      </c>
      <c r="BX26" s="1730">
        <f t="shared" si="43"/>
        <v>0</v>
      </c>
      <c r="BY26" s="1731">
        <f t="shared" si="43"/>
        <v>0</v>
      </c>
      <c r="BZ26" s="1729">
        <f t="shared" si="43"/>
        <v>0</v>
      </c>
      <c r="CA26" s="1730">
        <f t="shared" si="43"/>
        <v>0</v>
      </c>
      <c r="CB26" s="1731">
        <f t="shared" si="43"/>
        <v>0</v>
      </c>
      <c r="CC26" s="1729">
        <f t="shared" si="43"/>
        <v>0</v>
      </c>
      <c r="CD26" s="1730">
        <f t="shared" si="43"/>
        <v>0</v>
      </c>
      <c r="CE26" s="1731">
        <f t="shared" si="43"/>
        <v>0</v>
      </c>
      <c r="CF26" s="1729">
        <f t="shared" si="43"/>
        <v>0</v>
      </c>
      <c r="CG26" s="1730">
        <f t="shared" si="43"/>
        <v>0</v>
      </c>
      <c r="CH26" s="1731">
        <f t="shared" si="43"/>
        <v>0</v>
      </c>
      <c r="CI26" s="1729">
        <f t="shared" si="43"/>
        <v>0</v>
      </c>
      <c r="CJ26" s="1730">
        <f t="shared" si="43"/>
        <v>0</v>
      </c>
      <c r="CK26" s="1975">
        <f t="shared" si="43"/>
        <v>0</v>
      </c>
      <c r="CL26" s="1729">
        <f t="shared" si="43"/>
        <v>0</v>
      </c>
      <c r="CM26" s="1730">
        <f t="shared" si="43"/>
        <v>0</v>
      </c>
      <c r="CN26" s="1731">
        <f t="shared" si="43"/>
        <v>0</v>
      </c>
      <c r="CO26" s="1729">
        <f t="shared" ref="CO26" si="44">CO27+CO34+CO42</f>
        <v>0</v>
      </c>
      <c r="CP26" s="1730">
        <f t="shared" ref="CP26" si="45">CP27+CP34+CP42</f>
        <v>0</v>
      </c>
      <c r="CQ26" s="1731">
        <f t="shared" ref="CQ26:CT26" si="46">CQ27+CQ34+CQ42</f>
        <v>0</v>
      </c>
      <c r="CR26" s="1729">
        <f t="shared" si="46"/>
        <v>0</v>
      </c>
      <c r="CS26" s="1730">
        <f t="shared" si="46"/>
        <v>0</v>
      </c>
      <c r="CT26" s="1731">
        <f t="shared" si="46"/>
        <v>0</v>
      </c>
      <c r="CU26" s="1729">
        <f t="shared" si="43"/>
        <v>1000</v>
      </c>
      <c r="CV26" s="1730">
        <f t="shared" si="43"/>
        <v>1000</v>
      </c>
      <c r="CW26" s="1731">
        <f t="shared" si="43"/>
        <v>635</v>
      </c>
      <c r="CX26" s="1729">
        <f t="shared" si="19"/>
        <v>8490006</v>
      </c>
      <c r="CY26" s="1730">
        <f t="shared" si="7"/>
        <v>8338911</v>
      </c>
      <c r="CZ26" s="1731">
        <f t="shared" si="8"/>
        <v>8741893.4550000001</v>
      </c>
      <c r="DA26" s="1729">
        <f t="shared" ref="DA26:DI26" si="47">DA27+DA34+DA42</f>
        <v>1550</v>
      </c>
      <c r="DB26" s="1730">
        <f t="shared" si="47"/>
        <v>1907</v>
      </c>
      <c r="DC26" s="1731">
        <f t="shared" si="47"/>
        <v>1665</v>
      </c>
      <c r="DD26" s="1729">
        <f t="shared" si="47"/>
        <v>0</v>
      </c>
      <c r="DE26" s="1730">
        <f t="shared" si="47"/>
        <v>0</v>
      </c>
      <c r="DF26" s="1731">
        <f t="shared" si="47"/>
        <v>0</v>
      </c>
      <c r="DG26" s="1729">
        <f t="shared" si="47"/>
        <v>3600</v>
      </c>
      <c r="DH26" s="1730">
        <f t="shared" si="47"/>
        <v>2483</v>
      </c>
      <c r="DI26" s="1731">
        <f t="shared" si="47"/>
        <v>2482.9880000000003</v>
      </c>
      <c r="DJ26" s="1729">
        <f t="shared" si="34"/>
        <v>5150</v>
      </c>
      <c r="DK26" s="1730">
        <f t="shared" si="39"/>
        <v>4390</v>
      </c>
      <c r="DL26" s="1731">
        <f t="shared" si="40"/>
        <v>4147.9880000000003</v>
      </c>
      <c r="DM26" s="1729">
        <f t="shared" ref="DM26:DR26" si="48">DM27+DM34+DM42</f>
        <v>0</v>
      </c>
      <c r="DN26" s="1730">
        <f t="shared" si="48"/>
        <v>0</v>
      </c>
      <c r="DO26" s="1731">
        <f t="shared" si="48"/>
        <v>0</v>
      </c>
      <c r="DP26" s="1729">
        <f t="shared" si="48"/>
        <v>0</v>
      </c>
      <c r="DQ26" s="1730">
        <f t="shared" si="48"/>
        <v>0</v>
      </c>
      <c r="DR26" s="1731">
        <f t="shared" si="48"/>
        <v>0</v>
      </c>
      <c r="DS26" s="1729">
        <f t="shared" si="10"/>
        <v>8495156</v>
      </c>
      <c r="DT26" s="1730">
        <f t="shared" si="11"/>
        <v>8343301</v>
      </c>
      <c r="DU26" s="1731">
        <f t="shared" si="12"/>
        <v>8746041.443</v>
      </c>
      <c r="DV26" s="1775">
        <f t="shared" si="13"/>
        <v>104.827111511379</v>
      </c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</row>
    <row r="27" spans="1:237" ht="12.75" customHeight="1" x14ac:dyDescent="0.2">
      <c r="A27" s="1691" t="s">
        <v>40</v>
      </c>
      <c r="B27" s="1692" t="s">
        <v>934</v>
      </c>
      <c r="C27" s="1711">
        <f t="shared" ref="C27:AH27" si="49">SUM(C28:C33)</f>
        <v>0</v>
      </c>
      <c r="D27" s="1712">
        <f t="shared" si="49"/>
        <v>0</v>
      </c>
      <c r="E27" s="1713">
        <f t="shared" si="49"/>
        <v>0</v>
      </c>
      <c r="F27" s="1711">
        <f t="shared" si="49"/>
        <v>0</v>
      </c>
      <c r="G27" s="1712">
        <f t="shared" si="49"/>
        <v>0</v>
      </c>
      <c r="H27" s="1713">
        <f t="shared" si="49"/>
        <v>0</v>
      </c>
      <c r="I27" s="1711">
        <f t="shared" si="49"/>
        <v>0</v>
      </c>
      <c r="J27" s="1712">
        <f t="shared" si="49"/>
        <v>0</v>
      </c>
      <c r="K27" s="1713">
        <f t="shared" si="49"/>
        <v>0</v>
      </c>
      <c r="L27" s="1711">
        <f t="shared" si="49"/>
        <v>0</v>
      </c>
      <c r="M27" s="1712">
        <f t="shared" si="49"/>
        <v>0</v>
      </c>
      <c r="N27" s="1713">
        <f t="shared" si="49"/>
        <v>0</v>
      </c>
      <c r="O27" s="1711">
        <f t="shared" si="49"/>
        <v>0</v>
      </c>
      <c r="P27" s="1712">
        <f t="shared" si="49"/>
        <v>0</v>
      </c>
      <c r="Q27" s="1713">
        <f t="shared" si="49"/>
        <v>0</v>
      </c>
      <c r="R27" s="1711">
        <f t="shared" si="49"/>
        <v>0</v>
      </c>
      <c r="S27" s="1712">
        <f t="shared" si="49"/>
        <v>0</v>
      </c>
      <c r="T27" s="1713">
        <f t="shared" si="49"/>
        <v>0</v>
      </c>
      <c r="U27" s="1711">
        <f t="shared" si="49"/>
        <v>0</v>
      </c>
      <c r="V27" s="1712">
        <f t="shared" si="49"/>
        <v>0</v>
      </c>
      <c r="W27" s="1713">
        <f t="shared" si="49"/>
        <v>0</v>
      </c>
      <c r="X27" s="1711">
        <f t="shared" si="49"/>
        <v>0</v>
      </c>
      <c r="Y27" s="1712">
        <f t="shared" si="49"/>
        <v>0</v>
      </c>
      <c r="Z27" s="1713">
        <f t="shared" si="49"/>
        <v>0</v>
      </c>
      <c r="AA27" s="1711">
        <f t="shared" si="49"/>
        <v>0</v>
      </c>
      <c r="AB27" s="1712">
        <f t="shared" si="49"/>
        <v>0</v>
      </c>
      <c r="AC27" s="1713">
        <f t="shared" si="49"/>
        <v>0</v>
      </c>
      <c r="AD27" s="1711">
        <f t="shared" si="49"/>
        <v>0</v>
      </c>
      <c r="AE27" s="1712">
        <f t="shared" si="49"/>
        <v>0</v>
      </c>
      <c r="AF27" s="1713">
        <f t="shared" si="49"/>
        <v>0</v>
      </c>
      <c r="AG27" s="1711">
        <f t="shared" si="49"/>
        <v>0</v>
      </c>
      <c r="AH27" s="1712">
        <f t="shared" si="49"/>
        <v>0</v>
      </c>
      <c r="AI27" s="1713">
        <f t="shared" ref="AI27:BN27" si="50">SUM(AI28:AI33)</f>
        <v>0</v>
      </c>
      <c r="AJ27" s="1711">
        <f t="shared" si="50"/>
        <v>7770806</v>
      </c>
      <c r="AK27" s="1712">
        <f t="shared" si="50"/>
        <v>7770806</v>
      </c>
      <c r="AL27" s="1713">
        <f t="shared" si="50"/>
        <v>8116582.2350000003</v>
      </c>
      <c r="AM27" s="1711">
        <f t="shared" si="50"/>
        <v>0</v>
      </c>
      <c r="AN27" s="1712">
        <f t="shared" si="50"/>
        <v>0</v>
      </c>
      <c r="AO27" s="1713">
        <f t="shared" si="50"/>
        <v>0</v>
      </c>
      <c r="AP27" s="1711">
        <f t="shared" si="50"/>
        <v>0</v>
      </c>
      <c r="AQ27" s="1712">
        <f t="shared" si="50"/>
        <v>0</v>
      </c>
      <c r="AR27" s="1713">
        <f t="shared" si="50"/>
        <v>0</v>
      </c>
      <c r="AS27" s="1711">
        <f t="shared" si="50"/>
        <v>0</v>
      </c>
      <c r="AT27" s="1712">
        <f t="shared" si="50"/>
        <v>0</v>
      </c>
      <c r="AU27" s="1713">
        <f t="shared" si="50"/>
        <v>0</v>
      </c>
      <c r="AV27" s="1711">
        <f t="shared" si="50"/>
        <v>0</v>
      </c>
      <c r="AW27" s="1712">
        <f t="shared" si="50"/>
        <v>0</v>
      </c>
      <c r="AX27" s="1713">
        <f t="shared" si="50"/>
        <v>0</v>
      </c>
      <c r="AY27" s="1711">
        <f t="shared" si="50"/>
        <v>0</v>
      </c>
      <c r="AZ27" s="1712">
        <f t="shared" si="50"/>
        <v>0</v>
      </c>
      <c r="BA27" s="1713">
        <f t="shared" si="50"/>
        <v>0</v>
      </c>
      <c r="BB27" s="1711">
        <f t="shared" si="50"/>
        <v>300000</v>
      </c>
      <c r="BC27" s="1712">
        <f t="shared" si="50"/>
        <v>300000</v>
      </c>
      <c r="BD27" s="1713">
        <f t="shared" si="50"/>
        <v>321248.46500000003</v>
      </c>
      <c r="BE27" s="1711">
        <f t="shared" si="50"/>
        <v>0</v>
      </c>
      <c r="BF27" s="1712">
        <f t="shared" si="50"/>
        <v>0</v>
      </c>
      <c r="BG27" s="1713">
        <f t="shared" si="50"/>
        <v>0</v>
      </c>
      <c r="BH27" s="1711">
        <f t="shared" si="50"/>
        <v>8070806</v>
      </c>
      <c r="BI27" s="1712">
        <f t="shared" si="50"/>
        <v>8070806</v>
      </c>
      <c r="BJ27" s="1713">
        <f t="shared" si="50"/>
        <v>8437830.7000000011</v>
      </c>
      <c r="BK27" s="1711">
        <f t="shared" si="50"/>
        <v>0</v>
      </c>
      <c r="BL27" s="1712">
        <f t="shared" si="50"/>
        <v>0</v>
      </c>
      <c r="BM27" s="1713">
        <f t="shared" si="50"/>
        <v>0</v>
      </c>
      <c r="BN27" s="1711">
        <f t="shared" si="50"/>
        <v>0</v>
      </c>
      <c r="BO27" s="1712">
        <f t="shared" ref="BO27:CW27" si="51">SUM(BO28:BO33)</f>
        <v>0</v>
      </c>
      <c r="BP27" s="1713">
        <f t="shared" si="51"/>
        <v>0</v>
      </c>
      <c r="BQ27" s="1711">
        <f t="shared" si="51"/>
        <v>0</v>
      </c>
      <c r="BR27" s="1712">
        <f t="shared" si="51"/>
        <v>0</v>
      </c>
      <c r="BS27" s="1713">
        <f t="shared" si="51"/>
        <v>0</v>
      </c>
      <c r="BT27" s="1711">
        <f t="shared" si="51"/>
        <v>0</v>
      </c>
      <c r="BU27" s="1712">
        <f t="shared" si="51"/>
        <v>0</v>
      </c>
      <c r="BV27" s="1713">
        <f t="shared" si="51"/>
        <v>0</v>
      </c>
      <c r="BW27" s="1711">
        <f t="shared" si="51"/>
        <v>0</v>
      </c>
      <c r="BX27" s="1712">
        <f t="shared" si="51"/>
        <v>0</v>
      </c>
      <c r="BY27" s="1713">
        <f t="shared" si="51"/>
        <v>0</v>
      </c>
      <c r="BZ27" s="1711">
        <f t="shared" si="51"/>
        <v>0</v>
      </c>
      <c r="CA27" s="1712">
        <f t="shared" si="51"/>
        <v>0</v>
      </c>
      <c r="CB27" s="1713">
        <f t="shared" si="51"/>
        <v>0</v>
      </c>
      <c r="CC27" s="1711">
        <f t="shared" si="51"/>
        <v>0</v>
      </c>
      <c r="CD27" s="1712">
        <f t="shared" si="51"/>
        <v>0</v>
      </c>
      <c r="CE27" s="1713">
        <f t="shared" si="51"/>
        <v>0</v>
      </c>
      <c r="CF27" s="1711">
        <f t="shared" si="51"/>
        <v>0</v>
      </c>
      <c r="CG27" s="1712">
        <f t="shared" si="51"/>
        <v>0</v>
      </c>
      <c r="CH27" s="1713">
        <f t="shared" si="51"/>
        <v>0</v>
      </c>
      <c r="CI27" s="1711">
        <f t="shared" si="51"/>
        <v>0</v>
      </c>
      <c r="CJ27" s="1712">
        <f t="shared" si="51"/>
        <v>0</v>
      </c>
      <c r="CK27" s="1976">
        <f t="shared" si="51"/>
        <v>0</v>
      </c>
      <c r="CL27" s="1711">
        <f t="shared" si="51"/>
        <v>0</v>
      </c>
      <c r="CM27" s="1712">
        <f t="shared" si="51"/>
        <v>0</v>
      </c>
      <c r="CN27" s="1713">
        <f t="shared" si="51"/>
        <v>0</v>
      </c>
      <c r="CO27" s="1711">
        <f t="shared" ref="CO27" si="52">SUM(CO28:CO33)</f>
        <v>0</v>
      </c>
      <c r="CP27" s="1712">
        <f t="shared" ref="CP27" si="53">SUM(CP28:CP33)</f>
        <v>0</v>
      </c>
      <c r="CQ27" s="1713">
        <f t="shared" ref="CQ27:CT27" si="54">SUM(CQ28:CQ33)</f>
        <v>0</v>
      </c>
      <c r="CR27" s="1711">
        <f t="shared" si="54"/>
        <v>0</v>
      </c>
      <c r="CS27" s="1712">
        <f t="shared" si="54"/>
        <v>0</v>
      </c>
      <c r="CT27" s="1713">
        <f t="shared" si="54"/>
        <v>0</v>
      </c>
      <c r="CU27" s="1711">
        <f t="shared" si="51"/>
        <v>0</v>
      </c>
      <c r="CV27" s="1712">
        <f t="shared" si="51"/>
        <v>0</v>
      </c>
      <c r="CW27" s="1713">
        <f t="shared" si="51"/>
        <v>0</v>
      </c>
      <c r="CX27" s="655">
        <f t="shared" si="19"/>
        <v>8070806</v>
      </c>
      <c r="CY27" s="698">
        <f t="shared" si="7"/>
        <v>8070806</v>
      </c>
      <c r="CZ27" s="663">
        <f t="shared" si="8"/>
        <v>8437830.7000000011</v>
      </c>
      <c r="DA27" s="1711">
        <f t="shared" ref="DA27:DI27" si="55">SUM(DA28:DA33)</f>
        <v>0</v>
      </c>
      <c r="DB27" s="1712">
        <f t="shared" si="55"/>
        <v>0</v>
      </c>
      <c r="DC27" s="1713">
        <f t="shared" si="55"/>
        <v>0</v>
      </c>
      <c r="DD27" s="1711">
        <f t="shared" si="55"/>
        <v>0</v>
      </c>
      <c r="DE27" s="1712">
        <f t="shared" si="55"/>
        <v>0</v>
      </c>
      <c r="DF27" s="1713">
        <f t="shared" si="55"/>
        <v>0</v>
      </c>
      <c r="DG27" s="1711">
        <f t="shared" si="55"/>
        <v>0</v>
      </c>
      <c r="DH27" s="1712">
        <f t="shared" si="55"/>
        <v>0</v>
      </c>
      <c r="DI27" s="1713">
        <f t="shared" si="55"/>
        <v>0</v>
      </c>
      <c r="DJ27" s="655">
        <f t="shared" si="34"/>
        <v>0</v>
      </c>
      <c r="DK27" s="698">
        <f t="shared" si="39"/>
        <v>0</v>
      </c>
      <c r="DL27" s="663">
        <f t="shared" si="40"/>
        <v>0</v>
      </c>
      <c r="DM27" s="1711">
        <f t="shared" ref="DM27:DR27" si="56">SUM(DM28:DM33)</f>
        <v>0</v>
      </c>
      <c r="DN27" s="1712">
        <f t="shared" si="56"/>
        <v>0</v>
      </c>
      <c r="DO27" s="1713">
        <f t="shared" si="56"/>
        <v>0</v>
      </c>
      <c r="DP27" s="1711">
        <f t="shared" si="56"/>
        <v>0</v>
      </c>
      <c r="DQ27" s="1712">
        <f t="shared" si="56"/>
        <v>0</v>
      </c>
      <c r="DR27" s="1713">
        <f t="shared" si="56"/>
        <v>0</v>
      </c>
      <c r="DS27" s="655">
        <f t="shared" si="10"/>
        <v>8070806</v>
      </c>
      <c r="DT27" s="698">
        <f t="shared" si="11"/>
        <v>8070806</v>
      </c>
      <c r="DU27" s="663">
        <f t="shared" si="12"/>
        <v>8437830.7000000011</v>
      </c>
      <c r="DV27" s="1775">
        <f>DU27/DT27*100</f>
        <v>104.54755943830148</v>
      </c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</row>
    <row r="28" spans="1:237" s="134" customFormat="1" ht="12.75" customHeight="1" x14ac:dyDescent="0.2">
      <c r="A28" s="1683"/>
      <c r="B28" s="1684" t="s">
        <v>746</v>
      </c>
      <c r="C28" s="1714"/>
      <c r="D28" s="1715"/>
      <c r="E28" s="1716"/>
      <c r="F28" s="1714"/>
      <c r="G28" s="1715"/>
      <c r="H28" s="1716"/>
      <c r="I28" s="1714"/>
      <c r="J28" s="1715"/>
      <c r="K28" s="1716"/>
      <c r="L28" s="1714"/>
      <c r="M28" s="1715"/>
      <c r="N28" s="1716"/>
      <c r="O28" s="1714"/>
      <c r="P28" s="1715"/>
      <c r="Q28" s="1716"/>
      <c r="R28" s="1714"/>
      <c r="S28" s="1715"/>
      <c r="T28" s="1716"/>
      <c r="U28" s="1714"/>
      <c r="V28" s="1715"/>
      <c r="W28" s="1716"/>
      <c r="X28" s="1714"/>
      <c r="Y28" s="1715"/>
      <c r="Z28" s="1716"/>
      <c r="AA28" s="1714"/>
      <c r="AB28" s="1715"/>
      <c r="AC28" s="1716"/>
      <c r="AD28" s="1714"/>
      <c r="AE28" s="1715"/>
      <c r="AF28" s="1716"/>
      <c r="AG28" s="1714"/>
      <c r="AH28" s="1715"/>
      <c r="AI28" s="1716"/>
      <c r="AJ28" s="1752">
        <v>1540000</v>
      </c>
      <c r="AK28" s="1801">
        <v>1540000</v>
      </c>
      <c r="AL28" s="1802">
        <v>1747697.344</v>
      </c>
      <c r="AM28" s="1714"/>
      <c r="AN28" s="1715"/>
      <c r="AO28" s="1716"/>
      <c r="AP28" s="1714"/>
      <c r="AQ28" s="1715"/>
      <c r="AR28" s="1716"/>
      <c r="AS28" s="1714"/>
      <c r="AT28" s="1715"/>
      <c r="AU28" s="1716"/>
      <c r="AV28" s="1714"/>
      <c r="AW28" s="1715"/>
      <c r="AX28" s="1716"/>
      <c r="AY28" s="1714"/>
      <c r="AZ28" s="1715"/>
      <c r="BA28" s="1716"/>
      <c r="BB28" s="1714"/>
      <c r="BC28" s="1715"/>
      <c r="BD28" s="1716"/>
      <c r="BE28" s="1714"/>
      <c r="BF28" s="1715"/>
      <c r="BG28" s="1716"/>
      <c r="BH28" s="655">
        <f t="shared" ref="BH28:BJ33" si="57">C28+F28+I28+L28+O28+R28+U28+X28+AA28+AD28+AG28+AJ28+AM28+AP28+AS28+AV28+AY28+BB28+BE28</f>
        <v>1540000</v>
      </c>
      <c r="BI28" s="698">
        <f t="shared" si="57"/>
        <v>1540000</v>
      </c>
      <c r="BJ28" s="663">
        <f t="shared" si="57"/>
        <v>1747697.344</v>
      </c>
      <c r="BK28" s="1714"/>
      <c r="BL28" s="1715"/>
      <c r="BM28" s="1716"/>
      <c r="BN28" s="1714"/>
      <c r="BO28" s="1715"/>
      <c r="BP28" s="1716"/>
      <c r="BQ28" s="1714"/>
      <c r="BR28" s="1715"/>
      <c r="BS28" s="1716"/>
      <c r="BT28" s="1714"/>
      <c r="BU28" s="1715"/>
      <c r="BV28" s="1716"/>
      <c r="BW28" s="1714"/>
      <c r="BX28" s="1715"/>
      <c r="BY28" s="1716"/>
      <c r="BZ28" s="1714"/>
      <c r="CA28" s="1715"/>
      <c r="CB28" s="1716"/>
      <c r="CC28" s="1714"/>
      <c r="CD28" s="1715"/>
      <c r="CE28" s="1716"/>
      <c r="CF28" s="1714"/>
      <c r="CG28" s="1715"/>
      <c r="CH28" s="1716"/>
      <c r="CI28" s="1714"/>
      <c r="CJ28" s="1715"/>
      <c r="CK28" s="1977"/>
      <c r="CL28" s="1996"/>
      <c r="CM28" s="1997"/>
      <c r="CN28" s="1998"/>
      <c r="CO28" s="1996"/>
      <c r="CP28" s="1997"/>
      <c r="CQ28" s="1998"/>
      <c r="CR28" s="1714"/>
      <c r="CS28" s="1715"/>
      <c r="CT28" s="1716"/>
      <c r="CU28" s="656">
        <f t="shared" ref="CU28:CU33" si="58">BK28+BN28+BQ28+BT28+BW28+BZ28+CC28+CF28+CI28+CL28+CO28</f>
        <v>0</v>
      </c>
      <c r="CV28" s="699">
        <f t="shared" ref="CV28:CV33" si="59">BL28+BO28+BR28+BU28+BX28+CA28+CD28+CG28+CJ28+CM28+CP28</f>
        <v>0</v>
      </c>
      <c r="CW28" s="664">
        <f t="shared" ref="CW28:CW33" si="60">BM28+BP28+BS28+BV28+BY28+CB28+CE28+CH28+CK28+CN28+CQ28</f>
        <v>0</v>
      </c>
      <c r="CX28" s="1761">
        <f t="shared" si="19"/>
        <v>1540000</v>
      </c>
      <c r="CY28" s="1762">
        <f t="shared" si="7"/>
        <v>1540000</v>
      </c>
      <c r="CZ28" s="1763">
        <f t="shared" si="8"/>
        <v>1747697.344</v>
      </c>
      <c r="DA28" s="1714"/>
      <c r="DB28" s="1715"/>
      <c r="DC28" s="1716"/>
      <c r="DD28" s="1714"/>
      <c r="DE28" s="1715"/>
      <c r="DF28" s="1716"/>
      <c r="DG28" s="1714"/>
      <c r="DH28" s="1715"/>
      <c r="DI28" s="1716"/>
      <c r="DJ28" s="1761">
        <f t="shared" si="34"/>
        <v>0</v>
      </c>
      <c r="DK28" s="1762">
        <f t="shared" si="39"/>
        <v>0</v>
      </c>
      <c r="DL28" s="1763">
        <f t="shared" si="40"/>
        <v>0</v>
      </c>
      <c r="DM28" s="1714"/>
      <c r="DN28" s="1715"/>
      <c r="DO28" s="1716"/>
      <c r="DP28" s="1714"/>
      <c r="DQ28" s="1715"/>
      <c r="DR28" s="1716"/>
      <c r="DS28" s="1761">
        <f t="shared" si="10"/>
        <v>1540000</v>
      </c>
      <c r="DT28" s="1762">
        <f t="shared" si="11"/>
        <v>1540000</v>
      </c>
      <c r="DU28" s="1763">
        <f t="shared" si="12"/>
        <v>1747697.344</v>
      </c>
      <c r="DV28" s="1778">
        <f t="shared" si="13"/>
        <v>113.48684051948052</v>
      </c>
      <c r="DW28" s="599"/>
      <c r="DX28" s="599"/>
      <c r="DY28" s="599"/>
      <c r="DZ28" s="599"/>
      <c r="EA28" s="599"/>
      <c r="EB28" s="599"/>
      <c r="EC28" s="599"/>
      <c r="ED28" s="599"/>
      <c r="EE28" s="599"/>
      <c r="EF28" s="599"/>
      <c r="EG28" s="599"/>
      <c r="EH28" s="599"/>
      <c r="EI28" s="599"/>
      <c r="EJ28" s="599"/>
      <c r="EK28" s="599"/>
      <c r="EL28" s="599"/>
      <c r="EM28" s="599"/>
      <c r="EN28" s="599"/>
      <c r="EO28" s="599"/>
      <c r="EP28" s="599"/>
      <c r="EQ28" s="599"/>
      <c r="ER28" s="599"/>
      <c r="ES28" s="599"/>
      <c r="ET28" s="599"/>
      <c r="EU28" s="599"/>
      <c r="EV28" s="599"/>
      <c r="EW28" s="599"/>
      <c r="EX28" s="599"/>
      <c r="EY28" s="599"/>
      <c r="EZ28" s="599"/>
      <c r="FA28" s="599"/>
      <c r="FB28" s="599"/>
      <c r="FC28" s="599"/>
      <c r="FD28" s="599"/>
      <c r="FE28" s="599"/>
      <c r="FF28" s="599"/>
      <c r="FG28" s="599"/>
      <c r="FH28" s="599"/>
      <c r="FI28" s="599"/>
      <c r="FJ28" s="599"/>
      <c r="FK28" s="599"/>
      <c r="FL28" s="599"/>
      <c r="FM28" s="599"/>
      <c r="FN28" s="599"/>
      <c r="FO28" s="599"/>
      <c r="FP28" s="599"/>
      <c r="FQ28" s="599"/>
      <c r="FR28" s="599"/>
      <c r="FS28" s="599"/>
      <c r="FT28" s="599"/>
      <c r="FU28" s="599"/>
      <c r="FV28" s="599"/>
      <c r="FW28" s="599"/>
      <c r="FX28" s="599"/>
      <c r="FY28" s="599"/>
      <c r="FZ28" s="599"/>
      <c r="GA28" s="599"/>
      <c r="GB28" s="599"/>
      <c r="GC28" s="599"/>
      <c r="GD28" s="599"/>
      <c r="GE28" s="599"/>
      <c r="GF28" s="599"/>
      <c r="GG28" s="599"/>
      <c r="GH28" s="599"/>
      <c r="GI28" s="599"/>
      <c r="GJ28" s="599"/>
      <c r="GK28" s="599"/>
      <c r="GL28" s="599"/>
      <c r="GM28" s="599"/>
      <c r="GN28" s="599"/>
      <c r="GO28" s="599"/>
      <c r="GP28" s="599"/>
      <c r="GQ28" s="599"/>
      <c r="GR28" s="599"/>
      <c r="GS28" s="599"/>
      <c r="GT28" s="599"/>
      <c r="GU28" s="599"/>
      <c r="GV28" s="599"/>
      <c r="GW28" s="599"/>
      <c r="GX28" s="599"/>
      <c r="GY28" s="599"/>
      <c r="GZ28" s="599"/>
      <c r="HA28" s="599"/>
      <c r="HB28" s="599"/>
      <c r="HC28" s="599"/>
      <c r="HD28" s="599"/>
      <c r="HE28" s="599"/>
      <c r="HF28" s="599"/>
      <c r="HG28" s="599"/>
      <c r="HH28" s="599"/>
      <c r="HI28" s="599"/>
      <c r="HJ28" s="599"/>
      <c r="HK28" s="599"/>
      <c r="HL28" s="599"/>
      <c r="HM28" s="599"/>
      <c r="HN28" s="599"/>
      <c r="HO28" s="599"/>
      <c r="HP28" s="599"/>
      <c r="HQ28" s="599"/>
      <c r="HR28" s="599"/>
      <c r="HS28" s="599"/>
      <c r="HT28" s="599"/>
      <c r="HU28" s="599"/>
      <c r="HV28" s="599"/>
      <c r="HW28" s="599"/>
      <c r="HX28" s="599"/>
      <c r="HY28" s="599"/>
      <c r="HZ28" s="599"/>
      <c r="IA28" s="599"/>
      <c r="IB28" s="599"/>
      <c r="IC28" s="599"/>
    </row>
    <row r="29" spans="1:237" ht="12.75" customHeight="1" x14ac:dyDescent="0.2">
      <c r="A29" s="1683"/>
      <c r="B29" s="1693" t="s">
        <v>37</v>
      </c>
      <c r="C29" s="655"/>
      <c r="D29" s="698"/>
      <c r="E29" s="663"/>
      <c r="F29" s="655"/>
      <c r="G29" s="698"/>
      <c r="H29" s="663"/>
      <c r="I29" s="655"/>
      <c r="J29" s="698"/>
      <c r="K29" s="663"/>
      <c r="L29" s="655"/>
      <c r="M29" s="698"/>
      <c r="N29" s="663"/>
      <c r="O29" s="655"/>
      <c r="P29" s="698"/>
      <c r="Q29" s="663"/>
      <c r="R29" s="655"/>
      <c r="S29" s="698"/>
      <c r="T29" s="663"/>
      <c r="U29" s="655"/>
      <c r="V29" s="698"/>
      <c r="W29" s="663"/>
      <c r="X29" s="655"/>
      <c r="Y29" s="698"/>
      <c r="Z29" s="663"/>
      <c r="AA29" s="655"/>
      <c r="AB29" s="698"/>
      <c r="AC29" s="663"/>
      <c r="AD29" s="655"/>
      <c r="AE29" s="698"/>
      <c r="AF29" s="663"/>
      <c r="AG29" s="655"/>
      <c r="AH29" s="698"/>
      <c r="AI29" s="663"/>
      <c r="AJ29" s="655">
        <v>130000</v>
      </c>
      <c r="AK29" s="698">
        <v>130000</v>
      </c>
      <c r="AL29" s="663">
        <v>0</v>
      </c>
      <c r="AM29" s="655"/>
      <c r="AN29" s="698"/>
      <c r="AO29" s="663"/>
      <c r="AP29" s="655"/>
      <c r="AQ29" s="698"/>
      <c r="AR29" s="663"/>
      <c r="AS29" s="655"/>
      <c r="AT29" s="698"/>
      <c r="AU29" s="663"/>
      <c r="AV29" s="655"/>
      <c r="AW29" s="698"/>
      <c r="AX29" s="663"/>
      <c r="AY29" s="655"/>
      <c r="AZ29" s="698"/>
      <c r="BA29" s="663"/>
      <c r="BB29" s="655"/>
      <c r="BC29" s="698"/>
      <c r="BD29" s="663"/>
      <c r="BE29" s="655"/>
      <c r="BF29" s="698"/>
      <c r="BG29" s="663"/>
      <c r="BH29" s="655">
        <f t="shared" si="57"/>
        <v>130000</v>
      </c>
      <c r="BI29" s="698">
        <f t="shared" si="57"/>
        <v>130000</v>
      </c>
      <c r="BJ29" s="663">
        <f t="shared" si="57"/>
        <v>0</v>
      </c>
      <c r="BK29" s="655"/>
      <c r="BL29" s="698"/>
      <c r="BM29" s="663"/>
      <c r="BN29" s="655"/>
      <c r="BO29" s="698"/>
      <c r="BP29" s="663"/>
      <c r="BQ29" s="655"/>
      <c r="BR29" s="698"/>
      <c r="BS29" s="663"/>
      <c r="BT29" s="655"/>
      <c r="BU29" s="698"/>
      <c r="BV29" s="663"/>
      <c r="BW29" s="655"/>
      <c r="BX29" s="698"/>
      <c r="BY29" s="663"/>
      <c r="BZ29" s="655"/>
      <c r="CA29" s="698"/>
      <c r="CB29" s="663"/>
      <c r="CC29" s="655"/>
      <c r="CD29" s="698"/>
      <c r="CE29" s="663"/>
      <c r="CF29" s="655"/>
      <c r="CG29" s="698"/>
      <c r="CH29" s="663"/>
      <c r="CI29" s="655"/>
      <c r="CJ29" s="698"/>
      <c r="CK29" s="1971"/>
      <c r="CL29" s="655"/>
      <c r="CM29" s="698"/>
      <c r="CN29" s="663"/>
      <c r="CO29" s="655"/>
      <c r="CP29" s="698"/>
      <c r="CQ29" s="663"/>
      <c r="CR29" s="655"/>
      <c r="CS29" s="698"/>
      <c r="CT29" s="663"/>
      <c r="CU29" s="656">
        <f t="shared" si="58"/>
        <v>0</v>
      </c>
      <c r="CV29" s="699">
        <f t="shared" si="59"/>
        <v>0</v>
      </c>
      <c r="CW29" s="664">
        <f t="shared" si="60"/>
        <v>0</v>
      </c>
      <c r="CX29" s="656">
        <f t="shared" si="19"/>
        <v>130000</v>
      </c>
      <c r="CY29" s="699">
        <f t="shared" si="7"/>
        <v>130000</v>
      </c>
      <c r="CZ29" s="664">
        <f t="shared" si="8"/>
        <v>0</v>
      </c>
      <c r="DA29" s="655"/>
      <c r="DB29" s="698"/>
      <c r="DC29" s="663"/>
      <c r="DD29" s="655"/>
      <c r="DE29" s="698"/>
      <c r="DF29" s="663"/>
      <c r="DG29" s="655"/>
      <c r="DH29" s="698"/>
      <c r="DI29" s="663"/>
      <c r="DJ29" s="656">
        <f t="shared" si="34"/>
        <v>0</v>
      </c>
      <c r="DK29" s="699">
        <f t="shared" si="39"/>
        <v>0</v>
      </c>
      <c r="DL29" s="664">
        <f t="shared" si="40"/>
        <v>0</v>
      </c>
      <c r="DM29" s="655"/>
      <c r="DN29" s="698"/>
      <c r="DO29" s="663"/>
      <c r="DP29" s="655"/>
      <c r="DQ29" s="698"/>
      <c r="DR29" s="663"/>
      <c r="DS29" s="656">
        <f t="shared" si="10"/>
        <v>130000</v>
      </c>
      <c r="DT29" s="699">
        <f t="shared" si="11"/>
        <v>130000</v>
      </c>
      <c r="DU29" s="664">
        <f t="shared" si="12"/>
        <v>0</v>
      </c>
      <c r="DV29" s="1779">
        <f t="shared" ref="DV29:DV47" si="61">DU29/DT29*100</f>
        <v>0</v>
      </c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</row>
    <row r="30" spans="1:237" s="135" customFormat="1" ht="12.75" customHeight="1" x14ac:dyDescent="0.2">
      <c r="A30" s="1683"/>
      <c r="B30" s="1684" t="s">
        <v>364</v>
      </c>
      <c r="C30" s="655"/>
      <c r="D30" s="698"/>
      <c r="E30" s="663"/>
      <c r="F30" s="655"/>
      <c r="G30" s="698"/>
      <c r="H30" s="663"/>
      <c r="I30" s="655"/>
      <c r="J30" s="698"/>
      <c r="K30" s="663"/>
      <c r="L30" s="655"/>
      <c r="M30" s="698"/>
      <c r="N30" s="663"/>
      <c r="O30" s="655"/>
      <c r="P30" s="698"/>
      <c r="Q30" s="663"/>
      <c r="R30" s="655"/>
      <c r="S30" s="698"/>
      <c r="T30" s="663"/>
      <c r="U30" s="655"/>
      <c r="V30" s="698"/>
      <c r="W30" s="663"/>
      <c r="X30" s="655"/>
      <c r="Y30" s="698"/>
      <c r="Z30" s="663"/>
      <c r="AA30" s="655"/>
      <c r="AB30" s="698"/>
      <c r="AC30" s="663"/>
      <c r="AD30" s="655"/>
      <c r="AE30" s="698"/>
      <c r="AF30" s="663"/>
      <c r="AG30" s="655"/>
      <c r="AH30" s="698"/>
      <c r="AI30" s="663"/>
      <c r="AJ30" s="655">
        <v>420000</v>
      </c>
      <c r="AK30" s="698">
        <v>420000</v>
      </c>
      <c r="AL30" s="663">
        <v>483632.42499999999</v>
      </c>
      <c r="AM30" s="655"/>
      <c r="AN30" s="698"/>
      <c r="AO30" s="663"/>
      <c r="AP30" s="655"/>
      <c r="AQ30" s="698"/>
      <c r="AR30" s="663"/>
      <c r="AS30" s="655"/>
      <c r="AT30" s="698"/>
      <c r="AU30" s="663"/>
      <c r="AV30" s="655"/>
      <c r="AW30" s="698"/>
      <c r="AX30" s="663"/>
      <c r="AY30" s="655"/>
      <c r="AZ30" s="698"/>
      <c r="BA30" s="663"/>
      <c r="BB30" s="655"/>
      <c r="BC30" s="698"/>
      <c r="BD30" s="663"/>
      <c r="BE30" s="655"/>
      <c r="BF30" s="698"/>
      <c r="BG30" s="663"/>
      <c r="BH30" s="655">
        <f t="shared" si="57"/>
        <v>420000</v>
      </c>
      <c r="BI30" s="698">
        <f t="shared" si="57"/>
        <v>420000</v>
      </c>
      <c r="BJ30" s="663">
        <f t="shared" si="57"/>
        <v>483632.42499999999</v>
      </c>
      <c r="BK30" s="655"/>
      <c r="BL30" s="698"/>
      <c r="BM30" s="663"/>
      <c r="BN30" s="655"/>
      <c r="BO30" s="698"/>
      <c r="BP30" s="663"/>
      <c r="BQ30" s="655"/>
      <c r="BR30" s="698"/>
      <c r="BS30" s="663"/>
      <c r="BT30" s="655"/>
      <c r="BU30" s="698"/>
      <c r="BV30" s="663"/>
      <c r="BW30" s="655"/>
      <c r="BX30" s="698"/>
      <c r="BY30" s="663"/>
      <c r="BZ30" s="655"/>
      <c r="CA30" s="698"/>
      <c r="CB30" s="663"/>
      <c r="CC30" s="655"/>
      <c r="CD30" s="698"/>
      <c r="CE30" s="663"/>
      <c r="CF30" s="655"/>
      <c r="CG30" s="698"/>
      <c r="CH30" s="663"/>
      <c r="CI30" s="655"/>
      <c r="CJ30" s="698"/>
      <c r="CK30" s="1971"/>
      <c r="CL30" s="655"/>
      <c r="CM30" s="698"/>
      <c r="CN30" s="663"/>
      <c r="CO30" s="655"/>
      <c r="CP30" s="698"/>
      <c r="CQ30" s="663"/>
      <c r="CR30" s="655"/>
      <c r="CS30" s="698"/>
      <c r="CT30" s="663"/>
      <c r="CU30" s="656">
        <f t="shared" si="58"/>
        <v>0</v>
      </c>
      <c r="CV30" s="699">
        <f t="shared" si="59"/>
        <v>0</v>
      </c>
      <c r="CW30" s="664">
        <f t="shared" si="60"/>
        <v>0</v>
      </c>
      <c r="CX30" s="656">
        <f t="shared" si="19"/>
        <v>420000</v>
      </c>
      <c r="CY30" s="699">
        <f t="shared" si="7"/>
        <v>420000</v>
      </c>
      <c r="CZ30" s="664">
        <f t="shared" si="8"/>
        <v>483632.42499999999</v>
      </c>
      <c r="DA30" s="655"/>
      <c r="DB30" s="698"/>
      <c r="DC30" s="663"/>
      <c r="DD30" s="655"/>
      <c r="DE30" s="698"/>
      <c r="DF30" s="663"/>
      <c r="DG30" s="655"/>
      <c r="DH30" s="698"/>
      <c r="DI30" s="663"/>
      <c r="DJ30" s="656">
        <f t="shared" si="34"/>
        <v>0</v>
      </c>
      <c r="DK30" s="699">
        <f t="shared" si="39"/>
        <v>0</v>
      </c>
      <c r="DL30" s="664">
        <f t="shared" si="40"/>
        <v>0</v>
      </c>
      <c r="DM30" s="655"/>
      <c r="DN30" s="698"/>
      <c r="DO30" s="663"/>
      <c r="DP30" s="655"/>
      <c r="DQ30" s="698"/>
      <c r="DR30" s="663"/>
      <c r="DS30" s="656">
        <f t="shared" si="10"/>
        <v>420000</v>
      </c>
      <c r="DT30" s="699">
        <f t="shared" si="11"/>
        <v>420000</v>
      </c>
      <c r="DU30" s="664">
        <f t="shared" si="12"/>
        <v>483632.42499999999</v>
      </c>
      <c r="DV30" s="1779">
        <f t="shared" si="61"/>
        <v>115.15057738095238</v>
      </c>
      <c r="DW30" s="599"/>
      <c r="DX30" s="599"/>
      <c r="DY30" s="599"/>
      <c r="DZ30" s="599"/>
      <c r="EA30" s="599"/>
      <c r="EB30" s="599"/>
      <c r="EC30" s="599"/>
      <c r="ED30" s="599"/>
      <c r="EE30" s="599"/>
      <c r="EF30" s="599"/>
      <c r="EG30" s="599"/>
      <c r="EH30" s="599"/>
      <c r="EI30" s="599"/>
      <c r="EJ30" s="599"/>
      <c r="EK30" s="599"/>
      <c r="EL30" s="599"/>
      <c r="EM30" s="599"/>
      <c r="EN30" s="599"/>
      <c r="EO30" s="599"/>
      <c r="EP30" s="599"/>
      <c r="EQ30" s="599"/>
      <c r="ER30" s="599"/>
      <c r="ES30" s="599"/>
      <c r="ET30" s="599"/>
      <c r="EU30" s="599"/>
      <c r="EV30" s="599"/>
      <c r="EW30" s="599"/>
      <c r="EX30" s="599"/>
      <c r="EY30" s="599"/>
      <c r="EZ30" s="599"/>
      <c r="FA30" s="599"/>
      <c r="FB30" s="599"/>
      <c r="FC30" s="599"/>
      <c r="FD30" s="599"/>
      <c r="FE30" s="599"/>
      <c r="FF30" s="599"/>
      <c r="FG30" s="599"/>
      <c r="FH30" s="599"/>
      <c r="FI30" s="599"/>
      <c r="FJ30" s="599"/>
      <c r="FK30" s="599"/>
      <c r="FL30" s="599"/>
      <c r="FM30" s="599"/>
      <c r="FN30" s="599"/>
      <c r="FO30" s="599"/>
      <c r="FP30" s="599"/>
      <c r="FQ30" s="599"/>
      <c r="FR30" s="599"/>
      <c r="FS30" s="599"/>
      <c r="FT30" s="599"/>
      <c r="FU30" s="599"/>
      <c r="FV30" s="599"/>
      <c r="FW30" s="599"/>
      <c r="FX30" s="599"/>
      <c r="FY30" s="599"/>
      <c r="FZ30" s="599"/>
      <c r="GA30" s="599"/>
      <c r="GB30" s="599"/>
      <c r="GC30" s="599"/>
      <c r="GD30" s="599"/>
      <c r="GE30" s="599"/>
      <c r="GF30" s="599"/>
      <c r="GG30" s="599"/>
      <c r="GH30" s="599"/>
      <c r="GI30" s="599"/>
      <c r="GJ30" s="599"/>
      <c r="GK30" s="599"/>
      <c r="GL30" s="599"/>
      <c r="GM30" s="599"/>
      <c r="GN30" s="599"/>
      <c r="GO30" s="599"/>
      <c r="GP30" s="599"/>
      <c r="GQ30" s="599"/>
      <c r="GR30" s="599"/>
      <c r="GS30" s="599"/>
      <c r="GT30" s="599"/>
      <c r="GU30" s="599"/>
      <c r="GV30" s="599"/>
      <c r="GW30" s="599"/>
      <c r="GX30" s="599"/>
      <c r="GY30" s="599"/>
      <c r="GZ30" s="599"/>
      <c r="HA30" s="599"/>
      <c r="HB30" s="599"/>
      <c r="HC30" s="599"/>
      <c r="HD30" s="599"/>
      <c r="HE30" s="599"/>
      <c r="HF30" s="599"/>
      <c r="HG30" s="599"/>
      <c r="HH30" s="599"/>
      <c r="HI30" s="599"/>
      <c r="HJ30" s="599"/>
      <c r="HK30" s="599"/>
      <c r="HL30" s="599"/>
      <c r="HM30" s="599"/>
      <c r="HN30" s="599"/>
      <c r="HO30" s="599"/>
      <c r="HP30" s="599"/>
      <c r="HQ30" s="599"/>
      <c r="HR30" s="599"/>
      <c r="HS30" s="599"/>
      <c r="HT30" s="599"/>
      <c r="HU30" s="599"/>
      <c r="HV30" s="599"/>
      <c r="HW30" s="599"/>
      <c r="HX30" s="599"/>
      <c r="HY30" s="599"/>
      <c r="HZ30" s="599"/>
      <c r="IA30" s="599"/>
      <c r="IB30" s="599"/>
      <c r="IC30" s="599"/>
    </row>
    <row r="31" spans="1:237" ht="12.75" customHeight="1" x14ac:dyDescent="0.2">
      <c r="A31" s="1683"/>
      <c r="B31" s="1684" t="s">
        <v>935</v>
      </c>
      <c r="C31" s="655"/>
      <c r="D31" s="698"/>
      <c r="E31" s="663"/>
      <c r="F31" s="655"/>
      <c r="G31" s="698"/>
      <c r="H31" s="663"/>
      <c r="I31" s="655"/>
      <c r="J31" s="698"/>
      <c r="K31" s="663"/>
      <c r="L31" s="655"/>
      <c r="M31" s="698"/>
      <c r="N31" s="663"/>
      <c r="O31" s="655"/>
      <c r="P31" s="698"/>
      <c r="Q31" s="663"/>
      <c r="R31" s="655"/>
      <c r="S31" s="698"/>
      <c r="T31" s="663"/>
      <c r="U31" s="655"/>
      <c r="V31" s="698"/>
      <c r="W31" s="663"/>
      <c r="X31" s="655"/>
      <c r="Y31" s="698"/>
      <c r="Z31" s="663"/>
      <c r="AA31" s="655"/>
      <c r="AB31" s="698"/>
      <c r="AC31" s="663"/>
      <c r="AD31" s="655"/>
      <c r="AE31" s="698"/>
      <c r="AF31" s="663"/>
      <c r="AG31" s="655"/>
      <c r="AH31" s="698"/>
      <c r="AI31" s="663"/>
      <c r="AJ31" s="655">
        <v>5580806</v>
      </c>
      <c r="AK31" s="698">
        <v>5580806</v>
      </c>
      <c r="AL31" s="663">
        <v>5759109.7680000002</v>
      </c>
      <c r="AM31" s="655"/>
      <c r="AN31" s="698"/>
      <c r="AO31" s="663"/>
      <c r="AP31" s="655"/>
      <c r="AQ31" s="698"/>
      <c r="AR31" s="663"/>
      <c r="AS31" s="655"/>
      <c r="AT31" s="698"/>
      <c r="AU31" s="663"/>
      <c r="AV31" s="655"/>
      <c r="AW31" s="698"/>
      <c r="AX31" s="663"/>
      <c r="AY31" s="655"/>
      <c r="AZ31" s="698"/>
      <c r="BA31" s="663"/>
      <c r="BB31" s="655"/>
      <c r="BC31" s="698"/>
      <c r="BD31" s="663"/>
      <c r="BE31" s="655"/>
      <c r="BF31" s="698"/>
      <c r="BG31" s="663"/>
      <c r="BH31" s="655">
        <f t="shared" si="57"/>
        <v>5580806</v>
      </c>
      <c r="BI31" s="698">
        <f t="shared" si="57"/>
        <v>5580806</v>
      </c>
      <c r="BJ31" s="663">
        <f t="shared" si="57"/>
        <v>5759109.7680000002</v>
      </c>
      <c r="BK31" s="655"/>
      <c r="BL31" s="698"/>
      <c r="BM31" s="663"/>
      <c r="BN31" s="655"/>
      <c r="BO31" s="698"/>
      <c r="BP31" s="663"/>
      <c r="BQ31" s="655"/>
      <c r="BR31" s="698"/>
      <c r="BS31" s="663"/>
      <c r="BT31" s="655"/>
      <c r="BU31" s="698"/>
      <c r="BV31" s="663"/>
      <c r="BW31" s="655"/>
      <c r="BX31" s="698"/>
      <c r="BY31" s="663"/>
      <c r="BZ31" s="655"/>
      <c r="CA31" s="698"/>
      <c r="CB31" s="663"/>
      <c r="CC31" s="655"/>
      <c r="CD31" s="698"/>
      <c r="CE31" s="663"/>
      <c r="CF31" s="655"/>
      <c r="CG31" s="698"/>
      <c r="CH31" s="663"/>
      <c r="CI31" s="655"/>
      <c r="CJ31" s="698"/>
      <c r="CK31" s="1971"/>
      <c r="CL31" s="655"/>
      <c r="CM31" s="698"/>
      <c r="CN31" s="663"/>
      <c r="CO31" s="655"/>
      <c r="CP31" s="698"/>
      <c r="CQ31" s="663"/>
      <c r="CR31" s="655"/>
      <c r="CS31" s="698"/>
      <c r="CT31" s="663"/>
      <c r="CU31" s="656">
        <f t="shared" si="58"/>
        <v>0</v>
      </c>
      <c r="CV31" s="699">
        <f t="shared" si="59"/>
        <v>0</v>
      </c>
      <c r="CW31" s="664">
        <f t="shared" si="60"/>
        <v>0</v>
      </c>
      <c r="CX31" s="659">
        <f t="shared" si="19"/>
        <v>5580806</v>
      </c>
      <c r="CY31" s="702">
        <f t="shared" si="7"/>
        <v>5580806</v>
      </c>
      <c r="CZ31" s="667">
        <f t="shared" si="8"/>
        <v>5759109.7680000002</v>
      </c>
      <c r="DA31" s="655"/>
      <c r="DB31" s="698"/>
      <c r="DC31" s="663"/>
      <c r="DD31" s="655"/>
      <c r="DE31" s="698"/>
      <c r="DF31" s="663"/>
      <c r="DG31" s="655"/>
      <c r="DH31" s="698"/>
      <c r="DI31" s="663"/>
      <c r="DJ31" s="659">
        <f t="shared" si="34"/>
        <v>0</v>
      </c>
      <c r="DK31" s="702">
        <f t="shared" si="39"/>
        <v>0</v>
      </c>
      <c r="DL31" s="667">
        <f t="shared" si="40"/>
        <v>0</v>
      </c>
      <c r="DM31" s="655"/>
      <c r="DN31" s="698"/>
      <c r="DO31" s="663"/>
      <c r="DP31" s="655"/>
      <c r="DQ31" s="698"/>
      <c r="DR31" s="663"/>
      <c r="DS31" s="659">
        <f t="shared" si="10"/>
        <v>5580806</v>
      </c>
      <c r="DT31" s="702">
        <f t="shared" si="11"/>
        <v>5580806</v>
      </c>
      <c r="DU31" s="667">
        <f t="shared" si="12"/>
        <v>5759109.7680000002</v>
      </c>
      <c r="DV31" s="1779">
        <f t="shared" si="61"/>
        <v>103.19494653639636</v>
      </c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</row>
    <row r="32" spans="1:237" ht="12.75" customHeight="1" x14ac:dyDescent="0.2">
      <c r="A32" s="1683"/>
      <c r="B32" s="1684" t="s">
        <v>936</v>
      </c>
      <c r="C32" s="655"/>
      <c r="D32" s="698"/>
      <c r="E32" s="663"/>
      <c r="F32" s="655"/>
      <c r="G32" s="698"/>
      <c r="H32" s="663"/>
      <c r="I32" s="655"/>
      <c r="J32" s="698"/>
      <c r="K32" s="663"/>
      <c r="L32" s="655"/>
      <c r="M32" s="698"/>
      <c r="N32" s="663"/>
      <c r="O32" s="655"/>
      <c r="P32" s="698"/>
      <c r="Q32" s="663"/>
      <c r="R32" s="655"/>
      <c r="S32" s="698"/>
      <c r="T32" s="663"/>
      <c r="U32" s="655"/>
      <c r="V32" s="698"/>
      <c r="W32" s="663"/>
      <c r="X32" s="655"/>
      <c r="Y32" s="698"/>
      <c r="Z32" s="663"/>
      <c r="AA32" s="655"/>
      <c r="AB32" s="698"/>
      <c r="AC32" s="663"/>
      <c r="AD32" s="655"/>
      <c r="AE32" s="698"/>
      <c r="AF32" s="663"/>
      <c r="AG32" s="655"/>
      <c r="AH32" s="698"/>
      <c r="AI32" s="663"/>
      <c r="AJ32" s="655"/>
      <c r="AK32" s="698"/>
      <c r="AL32" s="663"/>
      <c r="AM32" s="655"/>
      <c r="AN32" s="698"/>
      <c r="AO32" s="663"/>
      <c r="AP32" s="655"/>
      <c r="AQ32" s="698"/>
      <c r="AR32" s="663"/>
      <c r="AS32" s="655"/>
      <c r="AT32" s="698"/>
      <c r="AU32" s="663"/>
      <c r="AV32" s="655"/>
      <c r="AW32" s="698"/>
      <c r="AX32" s="663"/>
      <c r="AY32" s="655"/>
      <c r="AZ32" s="698"/>
      <c r="BA32" s="663"/>
      <c r="BB32" s="655">
        <v>300000</v>
      </c>
      <c r="BC32" s="698">
        <v>300000</v>
      </c>
      <c r="BD32" s="663">
        <v>321248.46500000003</v>
      </c>
      <c r="BE32" s="655"/>
      <c r="BF32" s="698"/>
      <c r="BG32" s="663"/>
      <c r="BH32" s="655">
        <f t="shared" si="57"/>
        <v>300000</v>
      </c>
      <c r="BI32" s="698">
        <f t="shared" si="57"/>
        <v>300000</v>
      </c>
      <c r="BJ32" s="663">
        <f t="shared" si="57"/>
        <v>321248.46500000003</v>
      </c>
      <c r="BK32" s="655"/>
      <c r="BL32" s="698"/>
      <c r="BM32" s="663"/>
      <c r="BN32" s="655"/>
      <c r="BO32" s="698"/>
      <c r="BP32" s="663"/>
      <c r="BQ32" s="655"/>
      <c r="BR32" s="698"/>
      <c r="BS32" s="663"/>
      <c r="BT32" s="655"/>
      <c r="BU32" s="698"/>
      <c r="BV32" s="663"/>
      <c r="BW32" s="655"/>
      <c r="BX32" s="698"/>
      <c r="BY32" s="663"/>
      <c r="BZ32" s="655"/>
      <c r="CA32" s="698"/>
      <c r="CB32" s="663"/>
      <c r="CC32" s="655"/>
      <c r="CD32" s="698"/>
      <c r="CE32" s="663"/>
      <c r="CF32" s="655"/>
      <c r="CG32" s="698"/>
      <c r="CH32" s="663"/>
      <c r="CI32" s="655"/>
      <c r="CJ32" s="698"/>
      <c r="CK32" s="1971"/>
      <c r="CL32" s="655"/>
      <c r="CM32" s="698"/>
      <c r="CN32" s="663"/>
      <c r="CO32" s="655"/>
      <c r="CP32" s="698"/>
      <c r="CQ32" s="663"/>
      <c r="CR32" s="655"/>
      <c r="CS32" s="698"/>
      <c r="CT32" s="663"/>
      <c r="CU32" s="656">
        <f t="shared" si="58"/>
        <v>0</v>
      </c>
      <c r="CV32" s="699">
        <f t="shared" si="59"/>
        <v>0</v>
      </c>
      <c r="CW32" s="664">
        <f t="shared" si="60"/>
        <v>0</v>
      </c>
      <c r="CX32" s="656">
        <f t="shared" si="19"/>
        <v>300000</v>
      </c>
      <c r="CY32" s="699">
        <f t="shared" si="7"/>
        <v>300000</v>
      </c>
      <c r="CZ32" s="664">
        <f t="shared" si="8"/>
        <v>321248.46500000003</v>
      </c>
      <c r="DA32" s="655"/>
      <c r="DB32" s="698"/>
      <c r="DC32" s="663"/>
      <c r="DD32" s="655"/>
      <c r="DE32" s="698"/>
      <c r="DF32" s="663"/>
      <c r="DG32" s="655"/>
      <c r="DH32" s="698"/>
      <c r="DI32" s="663"/>
      <c r="DJ32" s="656">
        <f t="shared" si="34"/>
        <v>0</v>
      </c>
      <c r="DK32" s="699">
        <f t="shared" si="39"/>
        <v>0</v>
      </c>
      <c r="DL32" s="664">
        <f t="shared" si="40"/>
        <v>0</v>
      </c>
      <c r="DM32" s="655"/>
      <c r="DN32" s="698"/>
      <c r="DO32" s="663"/>
      <c r="DP32" s="655"/>
      <c r="DQ32" s="698"/>
      <c r="DR32" s="663"/>
      <c r="DS32" s="656">
        <f t="shared" si="10"/>
        <v>300000</v>
      </c>
      <c r="DT32" s="699">
        <f t="shared" si="11"/>
        <v>300000</v>
      </c>
      <c r="DU32" s="664">
        <f t="shared" si="12"/>
        <v>321248.46500000003</v>
      </c>
      <c r="DV32" s="1779">
        <f t="shared" si="61"/>
        <v>107.08282166666667</v>
      </c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</row>
    <row r="33" spans="1:237" ht="12.75" customHeight="1" x14ac:dyDescent="0.2">
      <c r="A33" s="1683"/>
      <c r="B33" s="1684" t="s">
        <v>937</v>
      </c>
      <c r="C33" s="655"/>
      <c r="D33" s="698"/>
      <c r="E33" s="663"/>
      <c r="F33" s="655"/>
      <c r="G33" s="698"/>
      <c r="H33" s="663"/>
      <c r="I33" s="655"/>
      <c r="J33" s="698"/>
      <c r="K33" s="663"/>
      <c r="L33" s="655"/>
      <c r="M33" s="698"/>
      <c r="N33" s="663"/>
      <c r="O33" s="655"/>
      <c r="P33" s="698"/>
      <c r="Q33" s="663"/>
      <c r="R33" s="655"/>
      <c r="S33" s="698"/>
      <c r="T33" s="663"/>
      <c r="U33" s="655"/>
      <c r="V33" s="698"/>
      <c r="W33" s="663"/>
      <c r="X33" s="655"/>
      <c r="Y33" s="698"/>
      <c r="Z33" s="663"/>
      <c r="AA33" s="655"/>
      <c r="AB33" s="698"/>
      <c r="AC33" s="663"/>
      <c r="AD33" s="655"/>
      <c r="AE33" s="698"/>
      <c r="AF33" s="663"/>
      <c r="AG33" s="655"/>
      <c r="AH33" s="698"/>
      <c r="AI33" s="663"/>
      <c r="AJ33" s="655">
        <v>100000</v>
      </c>
      <c r="AK33" s="698">
        <v>100000</v>
      </c>
      <c r="AL33" s="663">
        <v>126142.698</v>
      </c>
      <c r="AM33" s="655"/>
      <c r="AN33" s="698"/>
      <c r="AO33" s="663"/>
      <c r="AP33" s="655"/>
      <c r="AQ33" s="698"/>
      <c r="AR33" s="663"/>
      <c r="AS33" s="655"/>
      <c r="AT33" s="698"/>
      <c r="AU33" s="663"/>
      <c r="AV33" s="655"/>
      <c r="AW33" s="698"/>
      <c r="AX33" s="663"/>
      <c r="AY33" s="655"/>
      <c r="AZ33" s="698"/>
      <c r="BA33" s="663"/>
      <c r="BB33" s="655"/>
      <c r="BC33" s="698"/>
      <c r="BD33" s="663"/>
      <c r="BE33" s="655"/>
      <c r="BF33" s="698"/>
      <c r="BG33" s="663"/>
      <c r="BH33" s="655">
        <f t="shared" si="57"/>
        <v>100000</v>
      </c>
      <c r="BI33" s="698">
        <f t="shared" si="57"/>
        <v>100000</v>
      </c>
      <c r="BJ33" s="663">
        <f t="shared" si="57"/>
        <v>126142.698</v>
      </c>
      <c r="BK33" s="655"/>
      <c r="BL33" s="698"/>
      <c r="BM33" s="663"/>
      <c r="BN33" s="655"/>
      <c r="BO33" s="698"/>
      <c r="BP33" s="663"/>
      <c r="BQ33" s="655"/>
      <c r="BR33" s="698"/>
      <c r="BS33" s="663"/>
      <c r="BT33" s="655"/>
      <c r="BU33" s="698"/>
      <c r="BV33" s="663"/>
      <c r="BW33" s="655"/>
      <c r="BX33" s="698"/>
      <c r="BY33" s="663"/>
      <c r="BZ33" s="655"/>
      <c r="CA33" s="698"/>
      <c r="CB33" s="663"/>
      <c r="CC33" s="655"/>
      <c r="CD33" s="698"/>
      <c r="CE33" s="663"/>
      <c r="CF33" s="655"/>
      <c r="CG33" s="698"/>
      <c r="CH33" s="663"/>
      <c r="CI33" s="655"/>
      <c r="CJ33" s="698"/>
      <c r="CK33" s="1971"/>
      <c r="CL33" s="655"/>
      <c r="CM33" s="698"/>
      <c r="CN33" s="663"/>
      <c r="CO33" s="655"/>
      <c r="CP33" s="698"/>
      <c r="CQ33" s="663"/>
      <c r="CR33" s="655"/>
      <c r="CS33" s="698"/>
      <c r="CT33" s="663"/>
      <c r="CU33" s="656">
        <f t="shared" si="58"/>
        <v>0</v>
      </c>
      <c r="CV33" s="699">
        <f t="shared" si="59"/>
        <v>0</v>
      </c>
      <c r="CW33" s="664">
        <f t="shared" si="60"/>
        <v>0</v>
      </c>
      <c r="CX33" s="656">
        <f t="shared" si="19"/>
        <v>100000</v>
      </c>
      <c r="CY33" s="699">
        <f t="shared" si="7"/>
        <v>100000</v>
      </c>
      <c r="CZ33" s="664">
        <f t="shared" si="8"/>
        <v>126142.698</v>
      </c>
      <c r="DA33" s="655"/>
      <c r="DB33" s="698"/>
      <c r="DC33" s="663"/>
      <c r="DD33" s="655"/>
      <c r="DE33" s="698"/>
      <c r="DF33" s="663"/>
      <c r="DG33" s="655"/>
      <c r="DH33" s="698"/>
      <c r="DI33" s="663"/>
      <c r="DJ33" s="656">
        <f t="shared" si="34"/>
        <v>0</v>
      </c>
      <c r="DK33" s="699">
        <f t="shared" si="39"/>
        <v>0</v>
      </c>
      <c r="DL33" s="664">
        <f t="shared" si="40"/>
        <v>0</v>
      </c>
      <c r="DM33" s="655"/>
      <c r="DN33" s="698"/>
      <c r="DO33" s="663"/>
      <c r="DP33" s="655"/>
      <c r="DQ33" s="698"/>
      <c r="DR33" s="663"/>
      <c r="DS33" s="656">
        <f t="shared" si="10"/>
        <v>100000</v>
      </c>
      <c r="DT33" s="699">
        <f t="shared" si="11"/>
        <v>100000</v>
      </c>
      <c r="DU33" s="664">
        <f t="shared" si="12"/>
        <v>126142.698</v>
      </c>
      <c r="DV33" s="1779">
        <f t="shared" si="61"/>
        <v>126.142698</v>
      </c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</row>
    <row r="34" spans="1:237" ht="12.75" customHeight="1" x14ac:dyDescent="0.2">
      <c r="A34" s="1691" t="s">
        <v>41</v>
      </c>
      <c r="B34" s="1694" t="s">
        <v>938</v>
      </c>
      <c r="C34" s="1708">
        <f t="shared" ref="C34:AH34" si="62">SUM(C35:C41)</f>
        <v>0</v>
      </c>
      <c r="D34" s="1709">
        <f t="shared" si="62"/>
        <v>0</v>
      </c>
      <c r="E34" s="1710">
        <f t="shared" si="62"/>
        <v>0</v>
      </c>
      <c r="F34" s="1708">
        <f t="shared" si="62"/>
        <v>302520</v>
      </c>
      <c r="G34" s="1709">
        <f t="shared" si="62"/>
        <v>216125</v>
      </c>
      <c r="H34" s="1710">
        <f t="shared" si="62"/>
        <v>238957.41500000001</v>
      </c>
      <c r="I34" s="1708">
        <f t="shared" si="62"/>
        <v>100000</v>
      </c>
      <c r="J34" s="1709">
        <f t="shared" si="62"/>
        <v>35000</v>
      </c>
      <c r="K34" s="1710">
        <f t="shared" si="62"/>
        <v>40074.47</v>
      </c>
      <c r="L34" s="1708">
        <f t="shared" si="62"/>
        <v>0</v>
      </c>
      <c r="M34" s="1709">
        <f t="shared" si="62"/>
        <v>300</v>
      </c>
      <c r="N34" s="1710">
        <f t="shared" si="62"/>
        <v>600</v>
      </c>
      <c r="O34" s="1708">
        <f t="shared" si="62"/>
        <v>0</v>
      </c>
      <c r="P34" s="1709">
        <f t="shared" si="62"/>
        <v>0</v>
      </c>
      <c r="Q34" s="1710">
        <f t="shared" si="62"/>
        <v>0</v>
      </c>
      <c r="R34" s="1708">
        <f t="shared" si="62"/>
        <v>0</v>
      </c>
      <c r="S34" s="1709">
        <f t="shared" si="62"/>
        <v>0</v>
      </c>
      <c r="T34" s="1710">
        <f t="shared" si="62"/>
        <v>0</v>
      </c>
      <c r="U34" s="1708">
        <f t="shared" si="62"/>
        <v>0</v>
      </c>
      <c r="V34" s="1709">
        <f t="shared" si="62"/>
        <v>0</v>
      </c>
      <c r="W34" s="1710">
        <f t="shared" si="62"/>
        <v>0</v>
      </c>
      <c r="X34" s="1708">
        <f t="shared" si="62"/>
        <v>0</v>
      </c>
      <c r="Y34" s="1709">
        <f t="shared" si="62"/>
        <v>0</v>
      </c>
      <c r="Z34" s="1710">
        <f t="shared" si="62"/>
        <v>0</v>
      </c>
      <c r="AA34" s="1708">
        <f t="shared" si="62"/>
        <v>0</v>
      </c>
      <c r="AB34" s="1709">
        <f t="shared" si="62"/>
        <v>0</v>
      </c>
      <c r="AC34" s="1710">
        <f t="shared" si="62"/>
        <v>0</v>
      </c>
      <c r="AD34" s="1708">
        <f t="shared" si="62"/>
        <v>0</v>
      </c>
      <c r="AE34" s="1709">
        <f t="shared" si="62"/>
        <v>0</v>
      </c>
      <c r="AF34" s="1710">
        <f t="shared" si="62"/>
        <v>0</v>
      </c>
      <c r="AG34" s="1708">
        <f t="shared" si="62"/>
        <v>0</v>
      </c>
      <c r="AH34" s="1709">
        <f t="shared" si="62"/>
        <v>0</v>
      </c>
      <c r="AI34" s="1710">
        <f t="shared" ref="AI34:BN34" si="63">SUM(AI35:AI41)</f>
        <v>0</v>
      </c>
      <c r="AJ34" s="1708">
        <f t="shared" si="63"/>
        <v>4670</v>
      </c>
      <c r="AK34" s="1709">
        <f t="shared" si="63"/>
        <v>4670</v>
      </c>
      <c r="AL34" s="1710">
        <f t="shared" si="63"/>
        <v>18834.280999999999</v>
      </c>
      <c r="AM34" s="1708">
        <f t="shared" si="63"/>
        <v>0</v>
      </c>
      <c r="AN34" s="1709">
        <f t="shared" si="63"/>
        <v>0</v>
      </c>
      <c r="AO34" s="1710">
        <f t="shared" si="63"/>
        <v>0</v>
      </c>
      <c r="AP34" s="1708">
        <f t="shared" si="63"/>
        <v>0</v>
      </c>
      <c r="AQ34" s="1709">
        <f t="shared" si="63"/>
        <v>0</v>
      </c>
      <c r="AR34" s="1710">
        <f t="shared" si="63"/>
        <v>0</v>
      </c>
      <c r="AS34" s="1708">
        <f t="shared" si="63"/>
        <v>0</v>
      </c>
      <c r="AT34" s="1709">
        <f t="shared" si="63"/>
        <v>0</v>
      </c>
      <c r="AU34" s="1710">
        <f t="shared" si="63"/>
        <v>0</v>
      </c>
      <c r="AV34" s="1708">
        <f t="shared" si="63"/>
        <v>0</v>
      </c>
      <c r="AW34" s="1709">
        <f t="shared" si="63"/>
        <v>0</v>
      </c>
      <c r="AX34" s="1710">
        <f t="shared" si="63"/>
        <v>0</v>
      </c>
      <c r="AY34" s="1708">
        <f t="shared" si="63"/>
        <v>0</v>
      </c>
      <c r="AZ34" s="1709">
        <f t="shared" si="63"/>
        <v>0</v>
      </c>
      <c r="BA34" s="1710">
        <f t="shared" si="63"/>
        <v>0</v>
      </c>
      <c r="BB34" s="1708">
        <f t="shared" si="63"/>
        <v>0</v>
      </c>
      <c r="BC34" s="1709">
        <f t="shared" si="63"/>
        <v>0</v>
      </c>
      <c r="BD34" s="1710">
        <f t="shared" si="63"/>
        <v>0</v>
      </c>
      <c r="BE34" s="1708">
        <f t="shared" si="63"/>
        <v>0</v>
      </c>
      <c r="BF34" s="1709">
        <f t="shared" si="63"/>
        <v>0</v>
      </c>
      <c r="BG34" s="1710">
        <f t="shared" si="63"/>
        <v>0</v>
      </c>
      <c r="BH34" s="1708">
        <f t="shared" si="63"/>
        <v>407190</v>
      </c>
      <c r="BI34" s="1709">
        <f t="shared" si="63"/>
        <v>256095</v>
      </c>
      <c r="BJ34" s="1710">
        <f t="shared" si="63"/>
        <v>298466.16599999997</v>
      </c>
      <c r="BK34" s="1708">
        <f t="shared" si="63"/>
        <v>0</v>
      </c>
      <c r="BL34" s="1709">
        <f t="shared" si="63"/>
        <v>0</v>
      </c>
      <c r="BM34" s="1710">
        <f t="shared" si="63"/>
        <v>0</v>
      </c>
      <c r="BN34" s="1708">
        <f t="shared" si="63"/>
        <v>1000</v>
      </c>
      <c r="BO34" s="1709">
        <f t="shared" ref="BO34:CW34" si="64">SUM(BO35:BO41)</f>
        <v>1000</v>
      </c>
      <c r="BP34" s="1710">
        <f t="shared" si="64"/>
        <v>635</v>
      </c>
      <c r="BQ34" s="1708">
        <f t="shared" si="64"/>
        <v>0</v>
      </c>
      <c r="BR34" s="1709">
        <f t="shared" si="64"/>
        <v>0</v>
      </c>
      <c r="BS34" s="1710">
        <f t="shared" si="64"/>
        <v>0</v>
      </c>
      <c r="BT34" s="1708">
        <f t="shared" si="64"/>
        <v>0</v>
      </c>
      <c r="BU34" s="1709">
        <f t="shared" si="64"/>
        <v>0</v>
      </c>
      <c r="BV34" s="1710">
        <f t="shared" si="64"/>
        <v>0</v>
      </c>
      <c r="BW34" s="1708">
        <f t="shared" si="64"/>
        <v>0</v>
      </c>
      <c r="BX34" s="1709">
        <f t="shared" si="64"/>
        <v>0</v>
      </c>
      <c r="BY34" s="1710">
        <f t="shared" si="64"/>
        <v>0</v>
      </c>
      <c r="BZ34" s="1708">
        <f t="shared" si="64"/>
        <v>0</v>
      </c>
      <c r="CA34" s="1709">
        <f t="shared" si="64"/>
        <v>0</v>
      </c>
      <c r="CB34" s="1710">
        <f t="shared" si="64"/>
        <v>0</v>
      </c>
      <c r="CC34" s="1708">
        <f t="shared" si="64"/>
        <v>0</v>
      </c>
      <c r="CD34" s="1709">
        <f t="shared" si="64"/>
        <v>0</v>
      </c>
      <c r="CE34" s="1710">
        <f t="shared" si="64"/>
        <v>0</v>
      </c>
      <c r="CF34" s="1708">
        <f t="shared" si="64"/>
        <v>0</v>
      </c>
      <c r="CG34" s="1709">
        <f t="shared" si="64"/>
        <v>0</v>
      </c>
      <c r="CH34" s="1710">
        <f t="shared" si="64"/>
        <v>0</v>
      </c>
      <c r="CI34" s="1708">
        <f t="shared" si="64"/>
        <v>0</v>
      </c>
      <c r="CJ34" s="1709">
        <f t="shared" si="64"/>
        <v>0</v>
      </c>
      <c r="CK34" s="1974">
        <f t="shared" si="64"/>
        <v>0</v>
      </c>
      <c r="CL34" s="1708">
        <f t="shared" si="64"/>
        <v>0</v>
      </c>
      <c r="CM34" s="1709">
        <f t="shared" si="64"/>
        <v>0</v>
      </c>
      <c r="CN34" s="1710">
        <f t="shared" si="64"/>
        <v>0</v>
      </c>
      <c r="CO34" s="1708">
        <f t="shared" ref="CO34" si="65">SUM(CO35:CO41)</f>
        <v>0</v>
      </c>
      <c r="CP34" s="1709">
        <f t="shared" ref="CP34" si="66">SUM(CP35:CP41)</f>
        <v>0</v>
      </c>
      <c r="CQ34" s="1710">
        <f t="shared" ref="CQ34:CT34" si="67">SUM(CQ35:CQ41)</f>
        <v>0</v>
      </c>
      <c r="CR34" s="1708">
        <f t="shared" si="67"/>
        <v>0</v>
      </c>
      <c r="CS34" s="1709">
        <f t="shared" si="67"/>
        <v>0</v>
      </c>
      <c r="CT34" s="1710">
        <f t="shared" si="67"/>
        <v>0</v>
      </c>
      <c r="CU34" s="1708">
        <f t="shared" si="64"/>
        <v>1000</v>
      </c>
      <c r="CV34" s="1709">
        <f t="shared" si="64"/>
        <v>1000</v>
      </c>
      <c r="CW34" s="1710">
        <f t="shared" si="64"/>
        <v>635</v>
      </c>
      <c r="CX34" s="1708">
        <f t="shared" si="19"/>
        <v>408190</v>
      </c>
      <c r="CY34" s="1709">
        <f t="shared" si="7"/>
        <v>257095</v>
      </c>
      <c r="CZ34" s="1710">
        <f t="shared" si="8"/>
        <v>299101.16599999997</v>
      </c>
      <c r="DA34" s="1708">
        <f t="shared" ref="DA34:DI34" si="68">SUM(DA35:DA41)</f>
        <v>1050</v>
      </c>
      <c r="DB34" s="1709">
        <f t="shared" si="68"/>
        <v>1902</v>
      </c>
      <c r="DC34" s="1710">
        <f t="shared" si="68"/>
        <v>1660</v>
      </c>
      <c r="DD34" s="1708">
        <f t="shared" si="68"/>
        <v>0</v>
      </c>
      <c r="DE34" s="1709">
        <f t="shared" si="68"/>
        <v>0</v>
      </c>
      <c r="DF34" s="1710">
        <f t="shared" si="68"/>
        <v>0</v>
      </c>
      <c r="DG34" s="1708">
        <f t="shared" si="68"/>
        <v>3500</v>
      </c>
      <c r="DH34" s="1709">
        <f t="shared" si="68"/>
        <v>2483</v>
      </c>
      <c r="DI34" s="1710">
        <f t="shared" si="68"/>
        <v>2482.9880000000003</v>
      </c>
      <c r="DJ34" s="1708">
        <f t="shared" si="34"/>
        <v>4550</v>
      </c>
      <c r="DK34" s="1709">
        <f t="shared" si="39"/>
        <v>4385</v>
      </c>
      <c r="DL34" s="1710">
        <f t="shared" si="40"/>
        <v>4142.9880000000003</v>
      </c>
      <c r="DM34" s="1708">
        <f t="shared" ref="DM34:DR34" si="69">SUM(DM35:DM41)</f>
        <v>0</v>
      </c>
      <c r="DN34" s="1709">
        <f t="shared" si="69"/>
        <v>0</v>
      </c>
      <c r="DO34" s="1710">
        <f t="shared" si="69"/>
        <v>0</v>
      </c>
      <c r="DP34" s="1708">
        <f t="shared" si="69"/>
        <v>0</v>
      </c>
      <c r="DQ34" s="1709">
        <f t="shared" si="69"/>
        <v>0</v>
      </c>
      <c r="DR34" s="1710">
        <f t="shared" si="69"/>
        <v>0</v>
      </c>
      <c r="DS34" s="1708">
        <f t="shared" si="10"/>
        <v>412740</v>
      </c>
      <c r="DT34" s="1709">
        <f t="shared" si="11"/>
        <v>261480</v>
      </c>
      <c r="DU34" s="1710">
        <f t="shared" si="12"/>
        <v>303244.15399999998</v>
      </c>
      <c r="DV34" s="1775">
        <f t="shared" si="61"/>
        <v>115.97221737800214</v>
      </c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</row>
    <row r="35" spans="1:237" ht="12.75" customHeight="1" x14ac:dyDescent="0.2">
      <c r="A35" s="1683"/>
      <c r="B35" s="1684" t="s">
        <v>1093</v>
      </c>
      <c r="C35" s="1723"/>
      <c r="D35" s="1724"/>
      <c r="E35" s="1725"/>
      <c r="F35" s="1723"/>
      <c r="G35" s="1724"/>
      <c r="H35" s="1725"/>
      <c r="I35" s="1723"/>
      <c r="J35" s="1724"/>
      <c r="K35" s="1725"/>
      <c r="L35" s="1723"/>
      <c r="M35" s="1724"/>
      <c r="N35" s="1725"/>
      <c r="O35" s="1723"/>
      <c r="P35" s="1724"/>
      <c r="Q35" s="1725"/>
      <c r="R35" s="1723"/>
      <c r="S35" s="1724"/>
      <c r="T35" s="1725"/>
      <c r="U35" s="1723"/>
      <c r="V35" s="1724"/>
      <c r="W35" s="1725"/>
      <c r="X35" s="1723"/>
      <c r="Y35" s="1724"/>
      <c r="Z35" s="1725"/>
      <c r="AA35" s="1723"/>
      <c r="AB35" s="1724"/>
      <c r="AC35" s="1725"/>
      <c r="AD35" s="1723"/>
      <c r="AE35" s="1724"/>
      <c r="AF35" s="1725"/>
      <c r="AG35" s="1723"/>
      <c r="AH35" s="1724"/>
      <c r="AI35" s="1725"/>
      <c r="AJ35" s="1723">
        <v>4670</v>
      </c>
      <c r="AK35" s="1724">
        <v>4670</v>
      </c>
      <c r="AL35" s="1725">
        <v>18834.280999999999</v>
      </c>
      <c r="AM35" s="1723"/>
      <c r="AN35" s="1724"/>
      <c r="AO35" s="1725"/>
      <c r="AP35" s="1723"/>
      <c r="AQ35" s="1724"/>
      <c r="AR35" s="1725"/>
      <c r="AS35" s="1723"/>
      <c r="AT35" s="1724"/>
      <c r="AU35" s="1725"/>
      <c r="AV35" s="1723"/>
      <c r="AW35" s="1724"/>
      <c r="AX35" s="1725"/>
      <c r="AY35" s="1723"/>
      <c r="AZ35" s="1724"/>
      <c r="BA35" s="1725"/>
      <c r="BB35" s="1723"/>
      <c r="BC35" s="1724"/>
      <c r="BD35" s="1725"/>
      <c r="BE35" s="1723"/>
      <c r="BF35" s="1724"/>
      <c r="BG35" s="1725"/>
      <c r="BH35" s="655">
        <f t="shared" ref="BH35:BH41" si="70">C35+F35+I35+L35+O35+R35+U35+X35+AA35+AD35+AG35+AJ35+AM35+AP35+AS35+AV35+AY35+BB35+BE35</f>
        <v>4670</v>
      </c>
      <c r="BI35" s="698">
        <f t="shared" ref="BI35:BI41" si="71">D35+G35+J35+M35+P35+S35+V35+Y35+AB35+AE35+AH35+AK35+AN35+AQ35+AT35+AW35+AZ35+BC35+BF35</f>
        <v>4670</v>
      </c>
      <c r="BJ35" s="663">
        <f t="shared" ref="BJ35:BJ41" si="72">E35+H35+K35+N35+Q35+T35+W35+Z35+AC35+AF35+AI35+AL35+AO35+AR35+AU35+AX35+BA35+BD35+BG35</f>
        <v>18834.280999999999</v>
      </c>
      <c r="BK35" s="1723"/>
      <c r="BL35" s="1724"/>
      <c r="BM35" s="1725"/>
      <c r="BN35" s="1723"/>
      <c r="BO35" s="1724"/>
      <c r="BP35" s="1725"/>
      <c r="BQ35" s="1723"/>
      <c r="BR35" s="1724"/>
      <c r="BS35" s="1725"/>
      <c r="BT35" s="1723"/>
      <c r="BU35" s="1724"/>
      <c r="BV35" s="1725"/>
      <c r="BW35" s="1723"/>
      <c r="BX35" s="1724"/>
      <c r="BY35" s="1725"/>
      <c r="BZ35" s="1723"/>
      <c r="CA35" s="1724"/>
      <c r="CB35" s="1725"/>
      <c r="CC35" s="1723"/>
      <c r="CD35" s="1724"/>
      <c r="CE35" s="1725"/>
      <c r="CF35" s="1723"/>
      <c r="CG35" s="1724"/>
      <c r="CH35" s="1725"/>
      <c r="CI35" s="1723"/>
      <c r="CJ35" s="1724"/>
      <c r="CK35" s="1978"/>
      <c r="CL35" s="655"/>
      <c r="CM35" s="698"/>
      <c r="CN35" s="663"/>
      <c r="CO35" s="655"/>
      <c r="CP35" s="698"/>
      <c r="CQ35" s="663"/>
      <c r="CR35" s="1723"/>
      <c r="CS35" s="1724"/>
      <c r="CT35" s="1725"/>
      <c r="CU35" s="656">
        <f t="shared" ref="CU35:CU41" si="73">BK35+BN35+BQ35+BT35+BW35+BZ35+CC35+CF35+CI35+CL35+CO35</f>
        <v>0</v>
      </c>
      <c r="CV35" s="699">
        <f t="shared" ref="CV35:CV41" si="74">BL35+BO35+BR35+BU35+BX35+CA35+CD35+CG35+CJ35+CM35+CP35</f>
        <v>0</v>
      </c>
      <c r="CW35" s="664">
        <f t="shared" ref="CW35:CW41" si="75">BM35+BP35+BS35+BV35+BY35+CB35+CE35+CH35+CK35+CN35+CQ35</f>
        <v>0</v>
      </c>
      <c r="CX35" s="656">
        <f t="shared" si="19"/>
        <v>4670</v>
      </c>
      <c r="CY35" s="699">
        <f t="shared" si="7"/>
        <v>4670</v>
      </c>
      <c r="CZ35" s="664">
        <f t="shared" si="8"/>
        <v>18834.280999999999</v>
      </c>
      <c r="DA35" s="1767"/>
      <c r="DB35" s="1768"/>
      <c r="DC35" s="1769"/>
      <c r="DD35" s="1723"/>
      <c r="DE35" s="1724"/>
      <c r="DF35" s="1725"/>
      <c r="DG35" s="1723"/>
      <c r="DH35" s="1724"/>
      <c r="DI35" s="1725"/>
      <c r="DJ35" s="656">
        <f t="shared" si="34"/>
        <v>0</v>
      </c>
      <c r="DK35" s="699">
        <f t="shared" si="39"/>
        <v>0</v>
      </c>
      <c r="DL35" s="664">
        <f t="shared" si="40"/>
        <v>0</v>
      </c>
      <c r="DM35" s="1723"/>
      <c r="DN35" s="1724"/>
      <c r="DO35" s="1725"/>
      <c r="DP35" s="1723"/>
      <c r="DQ35" s="1724"/>
      <c r="DR35" s="1725"/>
      <c r="DS35" s="656">
        <f t="shared" si="10"/>
        <v>4670</v>
      </c>
      <c r="DT35" s="699">
        <f t="shared" si="11"/>
        <v>4670</v>
      </c>
      <c r="DU35" s="664">
        <f t="shared" si="12"/>
        <v>18834.280999999999</v>
      </c>
      <c r="DV35" s="1778">
        <f t="shared" si="61"/>
        <v>403.3036616702355</v>
      </c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</row>
    <row r="36" spans="1:237" ht="12.75" customHeight="1" x14ac:dyDescent="0.2">
      <c r="A36" s="1683"/>
      <c r="B36" s="1684" t="s">
        <v>939</v>
      </c>
      <c r="C36" s="655"/>
      <c r="D36" s="698"/>
      <c r="E36" s="663"/>
      <c r="F36" s="655">
        <v>302520</v>
      </c>
      <c r="G36" s="698">
        <v>216125</v>
      </c>
      <c r="H36" s="663">
        <v>238957.41500000001</v>
      </c>
      <c r="I36" s="655"/>
      <c r="J36" s="698"/>
      <c r="K36" s="663"/>
      <c r="L36" s="655"/>
      <c r="M36" s="698"/>
      <c r="N36" s="663"/>
      <c r="O36" s="655"/>
      <c r="P36" s="698"/>
      <c r="Q36" s="663"/>
      <c r="R36" s="655"/>
      <c r="S36" s="698"/>
      <c r="T36" s="663"/>
      <c r="U36" s="655"/>
      <c r="V36" s="698"/>
      <c r="W36" s="663"/>
      <c r="X36" s="655"/>
      <c r="Y36" s="698"/>
      <c r="Z36" s="663"/>
      <c r="AA36" s="655"/>
      <c r="AB36" s="698"/>
      <c r="AC36" s="663"/>
      <c r="AD36" s="655"/>
      <c r="AE36" s="698"/>
      <c r="AF36" s="663"/>
      <c r="AG36" s="655"/>
      <c r="AH36" s="698"/>
      <c r="AI36" s="663"/>
      <c r="AJ36" s="655"/>
      <c r="AK36" s="698"/>
      <c r="AL36" s="663"/>
      <c r="AM36" s="655"/>
      <c r="AN36" s="698"/>
      <c r="AO36" s="663"/>
      <c r="AP36" s="655"/>
      <c r="AQ36" s="698"/>
      <c r="AR36" s="663"/>
      <c r="AS36" s="655"/>
      <c r="AT36" s="698"/>
      <c r="AU36" s="663"/>
      <c r="AV36" s="655"/>
      <c r="AW36" s="698"/>
      <c r="AX36" s="663"/>
      <c r="AY36" s="655"/>
      <c r="AZ36" s="698"/>
      <c r="BA36" s="663"/>
      <c r="BB36" s="655"/>
      <c r="BC36" s="698"/>
      <c r="BD36" s="663"/>
      <c r="BE36" s="655"/>
      <c r="BF36" s="698"/>
      <c r="BG36" s="663"/>
      <c r="BH36" s="655">
        <f t="shared" si="70"/>
        <v>302520</v>
      </c>
      <c r="BI36" s="698">
        <f t="shared" si="71"/>
        <v>216125</v>
      </c>
      <c r="BJ36" s="663">
        <f t="shared" si="72"/>
        <v>238957.41500000001</v>
      </c>
      <c r="BK36" s="655"/>
      <c r="BL36" s="698"/>
      <c r="BM36" s="663"/>
      <c r="BN36" s="655"/>
      <c r="BO36" s="698"/>
      <c r="BP36" s="663"/>
      <c r="BQ36" s="655"/>
      <c r="BR36" s="698"/>
      <c r="BS36" s="663"/>
      <c r="BT36" s="655"/>
      <c r="BU36" s="698"/>
      <c r="BV36" s="663"/>
      <c r="BW36" s="655"/>
      <c r="BX36" s="698"/>
      <c r="BY36" s="663"/>
      <c r="BZ36" s="655"/>
      <c r="CA36" s="698"/>
      <c r="CB36" s="663"/>
      <c r="CC36" s="655"/>
      <c r="CD36" s="698"/>
      <c r="CE36" s="663"/>
      <c r="CF36" s="655"/>
      <c r="CG36" s="698"/>
      <c r="CH36" s="663"/>
      <c r="CI36" s="655"/>
      <c r="CJ36" s="698"/>
      <c r="CK36" s="1971"/>
      <c r="CL36" s="655"/>
      <c r="CM36" s="698"/>
      <c r="CN36" s="663"/>
      <c r="CO36" s="655"/>
      <c r="CP36" s="698"/>
      <c r="CQ36" s="663"/>
      <c r="CR36" s="655"/>
      <c r="CS36" s="698"/>
      <c r="CT36" s="663"/>
      <c r="CU36" s="656">
        <f t="shared" si="73"/>
        <v>0</v>
      </c>
      <c r="CV36" s="699">
        <f t="shared" si="74"/>
        <v>0</v>
      </c>
      <c r="CW36" s="664">
        <f t="shared" si="75"/>
        <v>0</v>
      </c>
      <c r="CX36" s="656">
        <f t="shared" si="19"/>
        <v>302520</v>
      </c>
      <c r="CY36" s="699">
        <f t="shared" si="7"/>
        <v>216125</v>
      </c>
      <c r="CZ36" s="664">
        <f t="shared" si="8"/>
        <v>238957.41500000001</v>
      </c>
      <c r="DA36" s="656"/>
      <c r="DB36" s="699"/>
      <c r="DC36" s="664"/>
      <c r="DD36" s="655"/>
      <c r="DE36" s="698"/>
      <c r="DF36" s="663"/>
      <c r="DG36" s="655"/>
      <c r="DH36" s="698"/>
      <c r="DI36" s="663"/>
      <c r="DJ36" s="656">
        <f t="shared" si="34"/>
        <v>0</v>
      </c>
      <c r="DK36" s="699">
        <f t="shared" si="39"/>
        <v>0</v>
      </c>
      <c r="DL36" s="664">
        <f t="shared" si="40"/>
        <v>0</v>
      </c>
      <c r="DM36" s="655"/>
      <c r="DN36" s="698"/>
      <c r="DO36" s="663"/>
      <c r="DP36" s="655"/>
      <c r="DQ36" s="698"/>
      <c r="DR36" s="663"/>
      <c r="DS36" s="656">
        <f t="shared" si="10"/>
        <v>302520</v>
      </c>
      <c r="DT36" s="699">
        <f t="shared" si="11"/>
        <v>216125</v>
      </c>
      <c r="DU36" s="664">
        <f t="shared" si="12"/>
        <v>238957.41500000001</v>
      </c>
      <c r="DV36" s="1779">
        <f t="shared" si="61"/>
        <v>110.56444881434355</v>
      </c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</row>
    <row r="37" spans="1:237" ht="12.75" customHeight="1" x14ac:dyDescent="0.2">
      <c r="A37" s="1683"/>
      <c r="B37" s="1684" t="s">
        <v>940</v>
      </c>
      <c r="C37" s="655"/>
      <c r="D37" s="698"/>
      <c r="E37" s="663"/>
      <c r="F37" s="655"/>
      <c r="G37" s="698"/>
      <c r="H37" s="663"/>
      <c r="I37" s="655">
        <v>100000</v>
      </c>
      <c r="J37" s="698">
        <v>35000</v>
      </c>
      <c r="K37" s="663">
        <v>40074.47</v>
      </c>
      <c r="L37" s="655"/>
      <c r="M37" s="698"/>
      <c r="N37" s="663"/>
      <c r="O37" s="655"/>
      <c r="P37" s="698"/>
      <c r="Q37" s="663"/>
      <c r="R37" s="655"/>
      <c r="S37" s="698"/>
      <c r="T37" s="663"/>
      <c r="U37" s="655"/>
      <c r="V37" s="698"/>
      <c r="W37" s="663"/>
      <c r="X37" s="655"/>
      <c r="Y37" s="698"/>
      <c r="Z37" s="663"/>
      <c r="AA37" s="655"/>
      <c r="AB37" s="698"/>
      <c r="AC37" s="663"/>
      <c r="AD37" s="655"/>
      <c r="AE37" s="698"/>
      <c r="AF37" s="663"/>
      <c r="AG37" s="655"/>
      <c r="AH37" s="698"/>
      <c r="AI37" s="663"/>
      <c r="AJ37" s="655"/>
      <c r="AK37" s="698"/>
      <c r="AL37" s="663"/>
      <c r="AM37" s="655"/>
      <c r="AN37" s="698"/>
      <c r="AO37" s="663"/>
      <c r="AP37" s="655"/>
      <c r="AQ37" s="698"/>
      <c r="AR37" s="663"/>
      <c r="AS37" s="655"/>
      <c r="AT37" s="698"/>
      <c r="AU37" s="663"/>
      <c r="AV37" s="655"/>
      <c r="AW37" s="698"/>
      <c r="AX37" s="663"/>
      <c r="AY37" s="655"/>
      <c r="AZ37" s="698"/>
      <c r="BA37" s="663"/>
      <c r="BB37" s="655"/>
      <c r="BC37" s="698"/>
      <c r="BD37" s="663"/>
      <c r="BE37" s="655"/>
      <c r="BF37" s="698"/>
      <c r="BG37" s="663"/>
      <c r="BH37" s="655">
        <f t="shared" si="70"/>
        <v>100000</v>
      </c>
      <c r="BI37" s="698">
        <f t="shared" si="71"/>
        <v>35000</v>
      </c>
      <c r="BJ37" s="663">
        <f t="shared" si="72"/>
        <v>40074.47</v>
      </c>
      <c r="BK37" s="655"/>
      <c r="BL37" s="698"/>
      <c r="BM37" s="663"/>
      <c r="BN37" s="655"/>
      <c r="BO37" s="698"/>
      <c r="BP37" s="663"/>
      <c r="BQ37" s="655"/>
      <c r="BR37" s="698"/>
      <c r="BS37" s="663"/>
      <c r="BT37" s="655"/>
      <c r="BU37" s="698"/>
      <c r="BV37" s="663"/>
      <c r="BW37" s="655"/>
      <c r="BX37" s="698"/>
      <c r="BY37" s="663"/>
      <c r="BZ37" s="655"/>
      <c r="CA37" s="698"/>
      <c r="CB37" s="663"/>
      <c r="CC37" s="655"/>
      <c r="CD37" s="698"/>
      <c r="CE37" s="663"/>
      <c r="CF37" s="655"/>
      <c r="CG37" s="698"/>
      <c r="CH37" s="663"/>
      <c r="CI37" s="655"/>
      <c r="CJ37" s="698"/>
      <c r="CK37" s="1971"/>
      <c r="CL37" s="655"/>
      <c r="CM37" s="698"/>
      <c r="CN37" s="663"/>
      <c r="CO37" s="655"/>
      <c r="CP37" s="698"/>
      <c r="CQ37" s="663"/>
      <c r="CR37" s="655"/>
      <c r="CS37" s="698"/>
      <c r="CT37" s="663"/>
      <c r="CU37" s="656">
        <f t="shared" si="73"/>
        <v>0</v>
      </c>
      <c r="CV37" s="699">
        <f t="shared" si="74"/>
        <v>0</v>
      </c>
      <c r="CW37" s="664">
        <f t="shared" si="75"/>
        <v>0</v>
      </c>
      <c r="CX37" s="656">
        <f t="shared" si="19"/>
        <v>100000</v>
      </c>
      <c r="CY37" s="699">
        <f t="shared" si="7"/>
        <v>35000</v>
      </c>
      <c r="CZ37" s="664">
        <f t="shared" si="8"/>
        <v>40074.47</v>
      </c>
      <c r="DA37" s="656"/>
      <c r="DB37" s="699"/>
      <c r="DC37" s="664"/>
      <c r="DD37" s="655"/>
      <c r="DE37" s="698"/>
      <c r="DF37" s="663"/>
      <c r="DG37" s="655"/>
      <c r="DH37" s="698"/>
      <c r="DI37" s="663"/>
      <c r="DJ37" s="656">
        <f t="shared" si="34"/>
        <v>0</v>
      </c>
      <c r="DK37" s="699">
        <f t="shared" si="39"/>
        <v>0</v>
      </c>
      <c r="DL37" s="664">
        <f t="shared" si="40"/>
        <v>0</v>
      </c>
      <c r="DM37" s="655"/>
      <c r="DN37" s="698"/>
      <c r="DO37" s="663"/>
      <c r="DP37" s="655"/>
      <c r="DQ37" s="698"/>
      <c r="DR37" s="663"/>
      <c r="DS37" s="656">
        <f t="shared" si="10"/>
        <v>100000</v>
      </c>
      <c r="DT37" s="699">
        <f t="shared" si="11"/>
        <v>35000</v>
      </c>
      <c r="DU37" s="664">
        <f t="shared" si="12"/>
        <v>40074.47</v>
      </c>
      <c r="DV37" s="1779">
        <f t="shared" si="61"/>
        <v>114.49848571428572</v>
      </c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</row>
    <row r="38" spans="1:237" ht="12.75" customHeight="1" x14ac:dyDescent="0.2">
      <c r="A38" s="1683"/>
      <c r="B38" s="1684" t="s">
        <v>941</v>
      </c>
      <c r="C38" s="655"/>
      <c r="D38" s="698"/>
      <c r="E38" s="663"/>
      <c r="F38" s="655"/>
      <c r="G38" s="698"/>
      <c r="H38" s="663"/>
      <c r="I38" s="655"/>
      <c r="J38" s="698"/>
      <c r="K38" s="663"/>
      <c r="L38" s="655"/>
      <c r="M38" s="698"/>
      <c r="N38" s="663"/>
      <c r="O38" s="655"/>
      <c r="P38" s="698"/>
      <c r="Q38" s="663"/>
      <c r="R38" s="655"/>
      <c r="S38" s="698"/>
      <c r="T38" s="663"/>
      <c r="U38" s="655"/>
      <c r="V38" s="698"/>
      <c r="W38" s="663"/>
      <c r="X38" s="655"/>
      <c r="Y38" s="698"/>
      <c r="Z38" s="663"/>
      <c r="AA38" s="655"/>
      <c r="AB38" s="698"/>
      <c r="AC38" s="663"/>
      <c r="AD38" s="655"/>
      <c r="AE38" s="698"/>
      <c r="AF38" s="663"/>
      <c r="AG38" s="655"/>
      <c r="AH38" s="698"/>
      <c r="AI38" s="663"/>
      <c r="AJ38" s="655"/>
      <c r="AK38" s="698"/>
      <c r="AL38" s="663"/>
      <c r="AM38" s="655"/>
      <c r="AN38" s="698"/>
      <c r="AO38" s="663"/>
      <c r="AP38" s="655"/>
      <c r="AQ38" s="698"/>
      <c r="AR38" s="663"/>
      <c r="AS38" s="655"/>
      <c r="AT38" s="698"/>
      <c r="AU38" s="663"/>
      <c r="AV38" s="655"/>
      <c r="AW38" s="698"/>
      <c r="AX38" s="663"/>
      <c r="AY38" s="655"/>
      <c r="AZ38" s="698"/>
      <c r="BA38" s="663"/>
      <c r="BB38" s="655"/>
      <c r="BC38" s="698"/>
      <c r="BD38" s="663"/>
      <c r="BE38" s="655"/>
      <c r="BF38" s="698"/>
      <c r="BG38" s="663"/>
      <c r="BH38" s="655">
        <f t="shared" si="70"/>
        <v>0</v>
      </c>
      <c r="BI38" s="698">
        <f t="shared" si="71"/>
        <v>0</v>
      </c>
      <c r="BJ38" s="663">
        <f t="shared" si="72"/>
        <v>0</v>
      </c>
      <c r="BK38" s="655"/>
      <c r="BL38" s="698"/>
      <c r="BM38" s="663"/>
      <c r="BN38" s="655"/>
      <c r="BO38" s="698"/>
      <c r="BP38" s="663"/>
      <c r="BQ38" s="655"/>
      <c r="BR38" s="698"/>
      <c r="BS38" s="663"/>
      <c r="BT38" s="655"/>
      <c r="BU38" s="698"/>
      <c r="BV38" s="663"/>
      <c r="BW38" s="655"/>
      <c r="BX38" s="698"/>
      <c r="BY38" s="663"/>
      <c r="BZ38" s="655"/>
      <c r="CA38" s="698"/>
      <c r="CB38" s="663"/>
      <c r="CC38" s="655"/>
      <c r="CD38" s="698"/>
      <c r="CE38" s="663"/>
      <c r="CF38" s="655"/>
      <c r="CG38" s="698"/>
      <c r="CH38" s="663"/>
      <c r="CI38" s="655"/>
      <c r="CJ38" s="698"/>
      <c r="CK38" s="1971"/>
      <c r="CL38" s="655"/>
      <c r="CM38" s="698"/>
      <c r="CN38" s="663"/>
      <c r="CO38" s="655"/>
      <c r="CP38" s="698"/>
      <c r="CQ38" s="663"/>
      <c r="CR38" s="655"/>
      <c r="CS38" s="698"/>
      <c r="CT38" s="663"/>
      <c r="CU38" s="656">
        <f t="shared" si="73"/>
        <v>0</v>
      </c>
      <c r="CV38" s="699">
        <f t="shared" si="74"/>
        <v>0</v>
      </c>
      <c r="CW38" s="664">
        <f t="shared" si="75"/>
        <v>0</v>
      </c>
      <c r="CX38" s="656">
        <f t="shared" si="19"/>
        <v>0</v>
      </c>
      <c r="CY38" s="699">
        <f t="shared" si="7"/>
        <v>0</v>
      </c>
      <c r="CZ38" s="664">
        <f t="shared" si="8"/>
        <v>0</v>
      </c>
      <c r="DA38" s="656"/>
      <c r="DB38" s="699"/>
      <c r="DC38" s="664"/>
      <c r="DD38" s="655"/>
      <c r="DE38" s="698"/>
      <c r="DF38" s="663"/>
      <c r="DG38" s="655">
        <v>2500</v>
      </c>
      <c r="DH38" s="698">
        <v>1688</v>
      </c>
      <c r="DI38" s="663">
        <v>1687.9780000000001</v>
      </c>
      <c r="DJ38" s="656">
        <f t="shared" si="34"/>
        <v>2500</v>
      </c>
      <c r="DK38" s="699">
        <f t="shared" si="39"/>
        <v>1688</v>
      </c>
      <c r="DL38" s="664">
        <f t="shared" si="40"/>
        <v>1687.9780000000001</v>
      </c>
      <c r="DM38" s="655"/>
      <c r="DN38" s="698"/>
      <c r="DO38" s="663"/>
      <c r="DP38" s="655"/>
      <c r="DQ38" s="698"/>
      <c r="DR38" s="663"/>
      <c r="DS38" s="656">
        <f t="shared" si="10"/>
        <v>2500</v>
      </c>
      <c r="DT38" s="699">
        <f t="shared" si="11"/>
        <v>1688</v>
      </c>
      <c r="DU38" s="664">
        <f t="shared" si="12"/>
        <v>1687.9780000000001</v>
      </c>
      <c r="DV38" s="1779">
        <f t="shared" si="61"/>
        <v>99.998696682464455</v>
      </c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</row>
    <row r="39" spans="1:237" ht="12.75" customHeight="1" x14ac:dyDescent="0.2">
      <c r="A39" s="1683"/>
      <c r="B39" s="1684" t="s">
        <v>942</v>
      </c>
      <c r="C39" s="655"/>
      <c r="D39" s="698"/>
      <c r="E39" s="663"/>
      <c r="F39" s="655"/>
      <c r="G39" s="698"/>
      <c r="H39" s="663"/>
      <c r="I39" s="655"/>
      <c r="J39" s="698"/>
      <c r="K39" s="663"/>
      <c r="L39" s="655"/>
      <c r="M39" s="698"/>
      <c r="N39" s="663"/>
      <c r="O39" s="655"/>
      <c r="P39" s="698"/>
      <c r="Q39" s="663"/>
      <c r="R39" s="655"/>
      <c r="S39" s="698"/>
      <c r="T39" s="663"/>
      <c r="U39" s="655"/>
      <c r="V39" s="698"/>
      <c r="W39" s="663"/>
      <c r="X39" s="655"/>
      <c r="Y39" s="698"/>
      <c r="Z39" s="663"/>
      <c r="AA39" s="655"/>
      <c r="AB39" s="698"/>
      <c r="AC39" s="663"/>
      <c r="AD39" s="655"/>
      <c r="AE39" s="698"/>
      <c r="AF39" s="663"/>
      <c r="AG39" s="655"/>
      <c r="AH39" s="698"/>
      <c r="AI39" s="663"/>
      <c r="AJ39" s="655"/>
      <c r="AK39" s="698"/>
      <c r="AL39" s="663"/>
      <c r="AM39" s="655"/>
      <c r="AN39" s="698"/>
      <c r="AO39" s="663"/>
      <c r="AP39" s="655"/>
      <c r="AQ39" s="698"/>
      <c r="AR39" s="663"/>
      <c r="AS39" s="655"/>
      <c r="AT39" s="698"/>
      <c r="AU39" s="663"/>
      <c r="AV39" s="655"/>
      <c r="AW39" s="698"/>
      <c r="AX39" s="663"/>
      <c r="AY39" s="655"/>
      <c r="AZ39" s="698"/>
      <c r="BA39" s="663"/>
      <c r="BB39" s="655"/>
      <c r="BC39" s="698"/>
      <c r="BD39" s="663"/>
      <c r="BE39" s="655"/>
      <c r="BF39" s="698"/>
      <c r="BG39" s="663"/>
      <c r="BH39" s="655">
        <f t="shared" si="70"/>
        <v>0</v>
      </c>
      <c r="BI39" s="698">
        <f t="shared" si="71"/>
        <v>0</v>
      </c>
      <c r="BJ39" s="663">
        <f t="shared" si="72"/>
        <v>0</v>
      </c>
      <c r="BK39" s="655"/>
      <c r="BL39" s="698"/>
      <c r="BM39" s="663"/>
      <c r="BN39" s="655"/>
      <c r="BO39" s="698"/>
      <c r="BP39" s="663"/>
      <c r="BQ39" s="655"/>
      <c r="BR39" s="698"/>
      <c r="BS39" s="663"/>
      <c r="BT39" s="655"/>
      <c r="BU39" s="698"/>
      <c r="BV39" s="663"/>
      <c r="BW39" s="655"/>
      <c r="BX39" s="698"/>
      <c r="BY39" s="663"/>
      <c r="BZ39" s="655"/>
      <c r="CA39" s="698"/>
      <c r="CB39" s="663"/>
      <c r="CC39" s="655"/>
      <c r="CD39" s="698"/>
      <c r="CE39" s="663"/>
      <c r="CF39" s="655"/>
      <c r="CG39" s="698"/>
      <c r="CH39" s="663"/>
      <c r="CI39" s="655"/>
      <c r="CJ39" s="698"/>
      <c r="CK39" s="1971"/>
      <c r="CL39" s="655"/>
      <c r="CM39" s="698"/>
      <c r="CN39" s="663"/>
      <c r="CO39" s="655"/>
      <c r="CP39" s="698"/>
      <c r="CQ39" s="663"/>
      <c r="CR39" s="655"/>
      <c r="CS39" s="698"/>
      <c r="CT39" s="663"/>
      <c r="CU39" s="656">
        <f t="shared" si="73"/>
        <v>0</v>
      </c>
      <c r="CV39" s="699">
        <f t="shared" si="74"/>
        <v>0</v>
      </c>
      <c r="CW39" s="664">
        <f t="shared" si="75"/>
        <v>0</v>
      </c>
      <c r="CX39" s="656">
        <f t="shared" si="19"/>
        <v>0</v>
      </c>
      <c r="CY39" s="699">
        <f t="shared" si="7"/>
        <v>0</v>
      </c>
      <c r="CZ39" s="664">
        <f t="shared" si="8"/>
        <v>0</v>
      </c>
      <c r="DA39" s="656"/>
      <c r="DB39" s="699"/>
      <c r="DC39" s="664"/>
      <c r="DD39" s="655"/>
      <c r="DE39" s="698"/>
      <c r="DF39" s="663"/>
      <c r="DG39" s="655">
        <v>1000</v>
      </c>
      <c r="DH39" s="698">
        <v>795</v>
      </c>
      <c r="DI39" s="663">
        <v>795.01</v>
      </c>
      <c r="DJ39" s="656">
        <f t="shared" si="34"/>
        <v>1000</v>
      </c>
      <c r="DK39" s="699">
        <f t="shared" si="39"/>
        <v>795</v>
      </c>
      <c r="DL39" s="664">
        <f t="shared" si="40"/>
        <v>795.01</v>
      </c>
      <c r="DM39" s="655"/>
      <c r="DN39" s="698"/>
      <c r="DO39" s="663"/>
      <c r="DP39" s="655"/>
      <c r="DQ39" s="698"/>
      <c r="DR39" s="663"/>
      <c r="DS39" s="656">
        <f t="shared" si="10"/>
        <v>1000</v>
      </c>
      <c r="DT39" s="699">
        <f t="shared" si="11"/>
        <v>795</v>
      </c>
      <c r="DU39" s="664">
        <f t="shared" si="12"/>
        <v>795.01</v>
      </c>
      <c r="DV39" s="1779">
        <f t="shared" si="61"/>
        <v>100.00125786163522</v>
      </c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</row>
    <row r="40" spans="1:237" ht="12.75" customHeight="1" x14ac:dyDescent="0.2">
      <c r="A40" s="1683"/>
      <c r="B40" s="1693" t="s">
        <v>943</v>
      </c>
      <c r="C40" s="655"/>
      <c r="D40" s="698"/>
      <c r="E40" s="663"/>
      <c r="F40" s="655"/>
      <c r="G40" s="698"/>
      <c r="H40" s="663"/>
      <c r="I40" s="655"/>
      <c r="J40" s="698"/>
      <c r="K40" s="663"/>
      <c r="L40" s="655"/>
      <c r="M40" s="698"/>
      <c r="N40" s="663"/>
      <c r="O40" s="655"/>
      <c r="P40" s="698"/>
      <c r="Q40" s="663"/>
      <c r="R40" s="655"/>
      <c r="S40" s="698"/>
      <c r="T40" s="663"/>
      <c r="U40" s="655"/>
      <c r="V40" s="698"/>
      <c r="W40" s="663"/>
      <c r="X40" s="655"/>
      <c r="Y40" s="698"/>
      <c r="Z40" s="663"/>
      <c r="AA40" s="655"/>
      <c r="AB40" s="698"/>
      <c r="AC40" s="663"/>
      <c r="AD40" s="655"/>
      <c r="AE40" s="698"/>
      <c r="AF40" s="663"/>
      <c r="AG40" s="655"/>
      <c r="AH40" s="698"/>
      <c r="AI40" s="663"/>
      <c r="AJ40" s="655"/>
      <c r="AK40" s="698"/>
      <c r="AL40" s="663"/>
      <c r="AM40" s="655"/>
      <c r="AN40" s="698"/>
      <c r="AO40" s="663"/>
      <c r="AP40" s="655"/>
      <c r="AQ40" s="698"/>
      <c r="AR40" s="663"/>
      <c r="AS40" s="655"/>
      <c r="AT40" s="698"/>
      <c r="AU40" s="663"/>
      <c r="AV40" s="655"/>
      <c r="AW40" s="698"/>
      <c r="AX40" s="663"/>
      <c r="AY40" s="655"/>
      <c r="AZ40" s="698"/>
      <c r="BA40" s="663"/>
      <c r="BB40" s="655"/>
      <c r="BC40" s="698"/>
      <c r="BD40" s="663"/>
      <c r="BE40" s="655"/>
      <c r="BF40" s="698"/>
      <c r="BG40" s="663"/>
      <c r="BH40" s="655">
        <f t="shared" si="70"/>
        <v>0</v>
      </c>
      <c r="BI40" s="698">
        <f t="shared" si="71"/>
        <v>0</v>
      </c>
      <c r="BJ40" s="663">
        <f t="shared" si="72"/>
        <v>0</v>
      </c>
      <c r="BK40" s="655"/>
      <c r="BL40" s="698"/>
      <c r="BM40" s="663"/>
      <c r="BN40" s="655"/>
      <c r="BO40" s="698"/>
      <c r="BP40" s="663"/>
      <c r="BQ40" s="655"/>
      <c r="BR40" s="698"/>
      <c r="BS40" s="663"/>
      <c r="BT40" s="655"/>
      <c r="BU40" s="698"/>
      <c r="BV40" s="663"/>
      <c r="BW40" s="655"/>
      <c r="BX40" s="698"/>
      <c r="BY40" s="663"/>
      <c r="BZ40" s="655"/>
      <c r="CA40" s="698"/>
      <c r="CB40" s="663"/>
      <c r="CC40" s="655"/>
      <c r="CD40" s="698"/>
      <c r="CE40" s="663"/>
      <c r="CF40" s="655"/>
      <c r="CG40" s="698"/>
      <c r="CH40" s="663"/>
      <c r="CI40" s="655"/>
      <c r="CJ40" s="698"/>
      <c r="CK40" s="1971"/>
      <c r="CL40" s="655"/>
      <c r="CM40" s="698"/>
      <c r="CN40" s="663"/>
      <c r="CO40" s="655"/>
      <c r="CP40" s="698"/>
      <c r="CQ40" s="663"/>
      <c r="CR40" s="655"/>
      <c r="CS40" s="698"/>
      <c r="CT40" s="663"/>
      <c r="CU40" s="656">
        <f t="shared" si="73"/>
        <v>0</v>
      </c>
      <c r="CV40" s="699">
        <f t="shared" si="74"/>
        <v>0</v>
      </c>
      <c r="CW40" s="664">
        <f t="shared" si="75"/>
        <v>0</v>
      </c>
      <c r="CX40" s="656">
        <f t="shared" si="19"/>
        <v>0</v>
      </c>
      <c r="CY40" s="699">
        <f t="shared" si="7"/>
        <v>0</v>
      </c>
      <c r="CZ40" s="664">
        <f t="shared" si="8"/>
        <v>0</v>
      </c>
      <c r="DA40" s="656">
        <v>1000</v>
      </c>
      <c r="DB40" s="699">
        <v>100</v>
      </c>
      <c r="DC40" s="664">
        <v>100</v>
      </c>
      <c r="DD40" s="655"/>
      <c r="DE40" s="698"/>
      <c r="DF40" s="663"/>
      <c r="DG40" s="655"/>
      <c r="DH40" s="698"/>
      <c r="DI40" s="663"/>
      <c r="DJ40" s="656">
        <f t="shared" si="34"/>
        <v>1000</v>
      </c>
      <c r="DK40" s="699">
        <f t="shared" si="39"/>
        <v>100</v>
      </c>
      <c r="DL40" s="664">
        <f t="shared" si="40"/>
        <v>100</v>
      </c>
      <c r="DM40" s="655"/>
      <c r="DN40" s="698"/>
      <c r="DO40" s="663"/>
      <c r="DP40" s="655"/>
      <c r="DQ40" s="698"/>
      <c r="DR40" s="663"/>
      <c r="DS40" s="656">
        <f t="shared" si="10"/>
        <v>1000</v>
      </c>
      <c r="DT40" s="699">
        <f t="shared" si="11"/>
        <v>100</v>
      </c>
      <c r="DU40" s="664">
        <f t="shared" si="12"/>
        <v>100</v>
      </c>
      <c r="DV40" s="1779">
        <f t="shared" si="61"/>
        <v>100</v>
      </c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</row>
    <row r="41" spans="1:237" ht="12.75" customHeight="1" x14ac:dyDescent="0.2">
      <c r="A41" s="1683"/>
      <c r="B41" s="1693" t="s">
        <v>944</v>
      </c>
      <c r="C41" s="1720"/>
      <c r="D41" s="1721"/>
      <c r="E41" s="1722"/>
      <c r="F41" s="1720"/>
      <c r="G41" s="1721"/>
      <c r="H41" s="1722"/>
      <c r="I41" s="1720"/>
      <c r="J41" s="1721"/>
      <c r="K41" s="1722"/>
      <c r="L41" s="1720"/>
      <c r="M41" s="1721">
        <v>300</v>
      </c>
      <c r="N41" s="1722">
        <v>600</v>
      </c>
      <c r="O41" s="1720"/>
      <c r="P41" s="1721"/>
      <c r="Q41" s="1722"/>
      <c r="R41" s="1720"/>
      <c r="S41" s="1721"/>
      <c r="T41" s="1722"/>
      <c r="U41" s="1720"/>
      <c r="V41" s="1721"/>
      <c r="W41" s="1722"/>
      <c r="X41" s="1720"/>
      <c r="Y41" s="1721"/>
      <c r="Z41" s="1722"/>
      <c r="AA41" s="1720"/>
      <c r="AB41" s="1721"/>
      <c r="AC41" s="1722"/>
      <c r="AD41" s="1720"/>
      <c r="AE41" s="1721"/>
      <c r="AF41" s="1722"/>
      <c r="AG41" s="1720"/>
      <c r="AH41" s="1721"/>
      <c r="AI41" s="1722"/>
      <c r="AJ41" s="1720"/>
      <c r="AK41" s="1721"/>
      <c r="AL41" s="1722"/>
      <c r="AM41" s="1720"/>
      <c r="AN41" s="1721"/>
      <c r="AO41" s="1722"/>
      <c r="AP41" s="1720"/>
      <c r="AQ41" s="1721"/>
      <c r="AR41" s="1722"/>
      <c r="AS41" s="1720"/>
      <c r="AT41" s="1721"/>
      <c r="AU41" s="1722"/>
      <c r="AV41" s="1720"/>
      <c r="AW41" s="1721"/>
      <c r="AX41" s="1722"/>
      <c r="AY41" s="1720"/>
      <c r="AZ41" s="1721"/>
      <c r="BA41" s="1722"/>
      <c r="BB41" s="1720"/>
      <c r="BC41" s="1721"/>
      <c r="BD41" s="1722"/>
      <c r="BE41" s="1720"/>
      <c r="BF41" s="1721"/>
      <c r="BG41" s="1722"/>
      <c r="BH41" s="655">
        <f t="shared" si="70"/>
        <v>0</v>
      </c>
      <c r="BI41" s="698">
        <f t="shared" si="71"/>
        <v>300</v>
      </c>
      <c r="BJ41" s="663">
        <f t="shared" si="72"/>
        <v>600</v>
      </c>
      <c r="BK41" s="1720"/>
      <c r="BL41" s="1721"/>
      <c r="BM41" s="1722"/>
      <c r="BN41" s="1720">
        <v>1000</v>
      </c>
      <c r="BO41" s="1721">
        <v>1000</v>
      </c>
      <c r="BP41" s="1722">
        <v>635</v>
      </c>
      <c r="BQ41" s="1720"/>
      <c r="BR41" s="1721"/>
      <c r="BS41" s="1722"/>
      <c r="BT41" s="1720"/>
      <c r="BU41" s="1721"/>
      <c r="BV41" s="1722"/>
      <c r="BW41" s="1720"/>
      <c r="BX41" s="1721"/>
      <c r="BY41" s="1722"/>
      <c r="BZ41" s="1720"/>
      <c r="CA41" s="1721"/>
      <c r="CB41" s="1722"/>
      <c r="CC41" s="1720"/>
      <c r="CD41" s="1721"/>
      <c r="CE41" s="1722"/>
      <c r="CF41" s="1720"/>
      <c r="CG41" s="1721"/>
      <c r="CH41" s="1722"/>
      <c r="CI41" s="1720"/>
      <c r="CJ41" s="1721"/>
      <c r="CK41" s="1979"/>
      <c r="CL41" s="655"/>
      <c r="CM41" s="698"/>
      <c r="CN41" s="663"/>
      <c r="CO41" s="655"/>
      <c r="CP41" s="698"/>
      <c r="CQ41" s="663"/>
      <c r="CR41" s="1720"/>
      <c r="CS41" s="1721"/>
      <c r="CT41" s="1722"/>
      <c r="CU41" s="656">
        <f t="shared" si="73"/>
        <v>1000</v>
      </c>
      <c r="CV41" s="699">
        <f t="shared" si="74"/>
        <v>1000</v>
      </c>
      <c r="CW41" s="664">
        <f t="shared" si="75"/>
        <v>635</v>
      </c>
      <c r="CX41" s="656">
        <f t="shared" si="19"/>
        <v>1000</v>
      </c>
      <c r="CY41" s="699">
        <f t="shared" si="7"/>
        <v>1300</v>
      </c>
      <c r="CZ41" s="664">
        <f t="shared" si="8"/>
        <v>1235</v>
      </c>
      <c r="DA41" s="1764">
        <v>50</v>
      </c>
      <c r="DB41" s="1765">
        <v>1802</v>
      </c>
      <c r="DC41" s="1766">
        <v>1560</v>
      </c>
      <c r="DD41" s="1720"/>
      <c r="DE41" s="1721"/>
      <c r="DF41" s="1722"/>
      <c r="DG41" s="1720"/>
      <c r="DH41" s="1721"/>
      <c r="DI41" s="1722"/>
      <c r="DJ41" s="656">
        <f t="shared" si="34"/>
        <v>50</v>
      </c>
      <c r="DK41" s="699">
        <f t="shared" si="39"/>
        <v>1802</v>
      </c>
      <c r="DL41" s="664">
        <f t="shared" si="40"/>
        <v>1560</v>
      </c>
      <c r="DM41" s="1720"/>
      <c r="DN41" s="1721"/>
      <c r="DO41" s="1722"/>
      <c r="DP41" s="1720"/>
      <c r="DQ41" s="1721"/>
      <c r="DR41" s="1722"/>
      <c r="DS41" s="656">
        <f t="shared" si="10"/>
        <v>1050</v>
      </c>
      <c r="DT41" s="699">
        <f t="shared" si="11"/>
        <v>3102</v>
      </c>
      <c r="DU41" s="664">
        <f t="shared" si="12"/>
        <v>2795</v>
      </c>
      <c r="DV41" s="1780">
        <f t="shared" si="61"/>
        <v>90.103159252095423</v>
      </c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  <c r="HN41" s="140"/>
      <c r="HO41" s="140"/>
    </row>
    <row r="42" spans="1:237" ht="12.75" customHeight="1" x14ac:dyDescent="0.2">
      <c r="A42" s="1691" t="s">
        <v>653</v>
      </c>
      <c r="B42" s="1694" t="s">
        <v>945</v>
      </c>
      <c r="C42" s="1708">
        <f t="shared" ref="C42:AH42" si="76">SUM(C43:C46)</f>
        <v>0</v>
      </c>
      <c r="D42" s="1709">
        <f t="shared" si="76"/>
        <v>0</v>
      </c>
      <c r="E42" s="1710">
        <f t="shared" si="76"/>
        <v>0</v>
      </c>
      <c r="F42" s="1708">
        <f t="shared" si="76"/>
        <v>0</v>
      </c>
      <c r="G42" s="1709">
        <f t="shared" si="76"/>
        <v>0</v>
      </c>
      <c r="H42" s="1710">
        <f t="shared" si="76"/>
        <v>0</v>
      </c>
      <c r="I42" s="1708">
        <f t="shared" si="76"/>
        <v>0</v>
      </c>
      <c r="J42" s="1709">
        <f t="shared" si="76"/>
        <v>0</v>
      </c>
      <c r="K42" s="1710">
        <f t="shared" si="76"/>
        <v>0</v>
      </c>
      <c r="L42" s="1708">
        <f t="shared" si="76"/>
        <v>0</v>
      </c>
      <c r="M42" s="1709">
        <f t="shared" si="76"/>
        <v>0</v>
      </c>
      <c r="N42" s="1710">
        <f t="shared" si="76"/>
        <v>0</v>
      </c>
      <c r="O42" s="1708">
        <f t="shared" si="76"/>
        <v>0</v>
      </c>
      <c r="P42" s="1709">
        <f t="shared" si="76"/>
        <v>0</v>
      </c>
      <c r="Q42" s="1710">
        <f t="shared" si="76"/>
        <v>0</v>
      </c>
      <c r="R42" s="1708">
        <f t="shared" si="76"/>
        <v>0</v>
      </c>
      <c r="S42" s="1709">
        <f t="shared" si="76"/>
        <v>0</v>
      </c>
      <c r="T42" s="1710">
        <f t="shared" si="76"/>
        <v>0</v>
      </c>
      <c r="U42" s="1708">
        <f t="shared" si="76"/>
        <v>0</v>
      </c>
      <c r="V42" s="1709">
        <f t="shared" si="76"/>
        <v>0</v>
      </c>
      <c r="W42" s="1710">
        <f t="shared" si="76"/>
        <v>0</v>
      </c>
      <c r="X42" s="1708">
        <f t="shared" si="76"/>
        <v>0</v>
      </c>
      <c r="Y42" s="1709">
        <f t="shared" si="76"/>
        <v>0</v>
      </c>
      <c r="Z42" s="1710">
        <f t="shared" si="76"/>
        <v>0</v>
      </c>
      <c r="AA42" s="1708">
        <f t="shared" si="76"/>
        <v>0</v>
      </c>
      <c r="AB42" s="1709">
        <f t="shared" si="76"/>
        <v>0</v>
      </c>
      <c r="AC42" s="1710">
        <f t="shared" si="76"/>
        <v>0</v>
      </c>
      <c r="AD42" s="1708">
        <f t="shared" si="76"/>
        <v>0</v>
      </c>
      <c r="AE42" s="1709">
        <f t="shared" si="76"/>
        <v>0</v>
      </c>
      <c r="AF42" s="1710">
        <f t="shared" si="76"/>
        <v>0</v>
      </c>
      <c r="AG42" s="1708">
        <f t="shared" si="76"/>
        <v>0</v>
      </c>
      <c r="AH42" s="1709">
        <f t="shared" si="76"/>
        <v>0</v>
      </c>
      <c r="AI42" s="1710">
        <f t="shared" ref="AI42:BJ42" si="77">SUM(AI43:AI46)</f>
        <v>0</v>
      </c>
      <c r="AJ42" s="1708">
        <f t="shared" si="77"/>
        <v>10010</v>
      </c>
      <c r="AK42" s="1709">
        <f t="shared" si="77"/>
        <v>10010</v>
      </c>
      <c r="AL42" s="1710">
        <f t="shared" si="77"/>
        <v>4530.1890000000003</v>
      </c>
      <c r="AM42" s="1708">
        <f t="shared" si="77"/>
        <v>0</v>
      </c>
      <c r="AN42" s="1709">
        <f t="shared" si="77"/>
        <v>0</v>
      </c>
      <c r="AO42" s="1710">
        <f t="shared" si="77"/>
        <v>0</v>
      </c>
      <c r="AP42" s="1708">
        <f t="shared" si="77"/>
        <v>0</v>
      </c>
      <c r="AQ42" s="1709">
        <f t="shared" si="77"/>
        <v>0</v>
      </c>
      <c r="AR42" s="1710">
        <f t="shared" si="77"/>
        <v>0</v>
      </c>
      <c r="AS42" s="1708">
        <f t="shared" si="77"/>
        <v>0</v>
      </c>
      <c r="AT42" s="1709">
        <f t="shared" si="77"/>
        <v>0</v>
      </c>
      <c r="AU42" s="1710">
        <f t="shared" si="77"/>
        <v>0</v>
      </c>
      <c r="AV42" s="1708">
        <f t="shared" si="77"/>
        <v>0</v>
      </c>
      <c r="AW42" s="1709">
        <f t="shared" si="77"/>
        <v>0</v>
      </c>
      <c r="AX42" s="1710">
        <f t="shared" si="77"/>
        <v>0</v>
      </c>
      <c r="AY42" s="1708">
        <f t="shared" si="77"/>
        <v>0</v>
      </c>
      <c r="AZ42" s="1709">
        <f t="shared" si="77"/>
        <v>0</v>
      </c>
      <c r="BA42" s="1710">
        <f t="shared" si="77"/>
        <v>0</v>
      </c>
      <c r="BB42" s="1708">
        <f t="shared" si="77"/>
        <v>1000</v>
      </c>
      <c r="BC42" s="1709">
        <f t="shared" si="77"/>
        <v>1000</v>
      </c>
      <c r="BD42" s="1710">
        <f t="shared" si="77"/>
        <v>431.4</v>
      </c>
      <c r="BE42" s="1708">
        <f t="shared" si="77"/>
        <v>0</v>
      </c>
      <c r="BF42" s="1709">
        <f t="shared" si="77"/>
        <v>0</v>
      </c>
      <c r="BG42" s="1710">
        <f t="shared" si="77"/>
        <v>0</v>
      </c>
      <c r="BH42" s="1708">
        <f t="shared" si="77"/>
        <v>11010</v>
      </c>
      <c r="BI42" s="1709">
        <f t="shared" si="77"/>
        <v>11010</v>
      </c>
      <c r="BJ42" s="1710">
        <f t="shared" si="77"/>
        <v>4961.5889999999999</v>
      </c>
      <c r="BK42" s="1708">
        <f t="shared" ref="BK42:CW42" si="78">SUM(BK43:BK46)</f>
        <v>0</v>
      </c>
      <c r="BL42" s="1709">
        <f t="shared" si="78"/>
        <v>0</v>
      </c>
      <c r="BM42" s="1710">
        <f t="shared" si="78"/>
        <v>0</v>
      </c>
      <c r="BN42" s="1708">
        <f t="shared" si="78"/>
        <v>0</v>
      </c>
      <c r="BO42" s="1709">
        <f t="shared" si="78"/>
        <v>0</v>
      </c>
      <c r="BP42" s="1710">
        <f t="shared" si="78"/>
        <v>0</v>
      </c>
      <c r="BQ42" s="1708">
        <f t="shared" si="78"/>
        <v>0</v>
      </c>
      <c r="BR42" s="1709">
        <f t="shared" si="78"/>
        <v>0</v>
      </c>
      <c r="BS42" s="1710">
        <f t="shared" si="78"/>
        <v>0</v>
      </c>
      <c r="BT42" s="1708">
        <f t="shared" si="78"/>
        <v>0</v>
      </c>
      <c r="BU42" s="1709">
        <f t="shared" si="78"/>
        <v>0</v>
      </c>
      <c r="BV42" s="1710">
        <f t="shared" si="78"/>
        <v>0</v>
      </c>
      <c r="BW42" s="1708">
        <f t="shared" si="78"/>
        <v>0</v>
      </c>
      <c r="BX42" s="1709">
        <f t="shared" si="78"/>
        <v>0</v>
      </c>
      <c r="BY42" s="1710">
        <f t="shared" si="78"/>
        <v>0</v>
      </c>
      <c r="BZ42" s="1708">
        <f t="shared" si="78"/>
        <v>0</v>
      </c>
      <c r="CA42" s="1709">
        <f t="shared" si="78"/>
        <v>0</v>
      </c>
      <c r="CB42" s="1710">
        <f t="shared" si="78"/>
        <v>0</v>
      </c>
      <c r="CC42" s="1708">
        <f t="shared" si="78"/>
        <v>0</v>
      </c>
      <c r="CD42" s="1709">
        <f t="shared" si="78"/>
        <v>0</v>
      </c>
      <c r="CE42" s="1710">
        <f t="shared" si="78"/>
        <v>0</v>
      </c>
      <c r="CF42" s="1708">
        <f t="shared" si="78"/>
        <v>0</v>
      </c>
      <c r="CG42" s="1709">
        <f t="shared" si="78"/>
        <v>0</v>
      </c>
      <c r="CH42" s="1710">
        <f t="shared" si="78"/>
        <v>0</v>
      </c>
      <c r="CI42" s="1708">
        <f t="shared" si="78"/>
        <v>0</v>
      </c>
      <c r="CJ42" s="1709">
        <f t="shared" si="78"/>
        <v>0</v>
      </c>
      <c r="CK42" s="1974">
        <f t="shared" si="78"/>
        <v>0</v>
      </c>
      <c r="CL42" s="1708">
        <f t="shared" si="78"/>
        <v>0</v>
      </c>
      <c r="CM42" s="1709">
        <f t="shared" si="78"/>
        <v>0</v>
      </c>
      <c r="CN42" s="1710">
        <f t="shared" si="78"/>
        <v>0</v>
      </c>
      <c r="CO42" s="1708">
        <f t="shared" si="78"/>
        <v>0</v>
      </c>
      <c r="CP42" s="1709">
        <f t="shared" si="78"/>
        <v>0</v>
      </c>
      <c r="CQ42" s="1710">
        <f t="shared" si="78"/>
        <v>0</v>
      </c>
      <c r="CR42" s="1708">
        <f t="shared" ref="CR42:CT42" si="79">SUM(CR43:CR46)</f>
        <v>0</v>
      </c>
      <c r="CS42" s="1709">
        <f t="shared" si="79"/>
        <v>0</v>
      </c>
      <c r="CT42" s="1710">
        <f t="shared" si="79"/>
        <v>0</v>
      </c>
      <c r="CU42" s="1708">
        <f t="shared" si="78"/>
        <v>0</v>
      </c>
      <c r="CV42" s="1709">
        <f t="shared" si="78"/>
        <v>0</v>
      </c>
      <c r="CW42" s="1710">
        <f t="shared" si="78"/>
        <v>0</v>
      </c>
      <c r="CX42" s="1708">
        <f t="shared" si="19"/>
        <v>11010</v>
      </c>
      <c r="CY42" s="1709">
        <f t="shared" si="7"/>
        <v>11010</v>
      </c>
      <c r="CZ42" s="1710">
        <f t="shared" si="8"/>
        <v>4961.5889999999999</v>
      </c>
      <c r="DA42" s="1708">
        <f t="shared" ref="DA42:DI42" si="80">SUM(DA43:DA46)</f>
        <v>500</v>
      </c>
      <c r="DB42" s="1709">
        <f t="shared" si="80"/>
        <v>5</v>
      </c>
      <c r="DC42" s="1710">
        <f t="shared" si="80"/>
        <v>5</v>
      </c>
      <c r="DD42" s="1708">
        <f t="shared" si="80"/>
        <v>0</v>
      </c>
      <c r="DE42" s="1709">
        <f t="shared" si="80"/>
        <v>0</v>
      </c>
      <c r="DF42" s="1710">
        <f t="shared" si="80"/>
        <v>0</v>
      </c>
      <c r="DG42" s="1708">
        <f t="shared" si="80"/>
        <v>100</v>
      </c>
      <c r="DH42" s="1709">
        <f t="shared" si="80"/>
        <v>0</v>
      </c>
      <c r="DI42" s="1710">
        <f t="shared" si="80"/>
        <v>0</v>
      </c>
      <c r="DJ42" s="1708">
        <f t="shared" si="34"/>
        <v>600</v>
      </c>
      <c r="DK42" s="1709">
        <f t="shared" si="39"/>
        <v>5</v>
      </c>
      <c r="DL42" s="1710">
        <f t="shared" si="40"/>
        <v>5</v>
      </c>
      <c r="DM42" s="1708">
        <f t="shared" ref="DM42:DR42" si="81">SUM(DM43:DM46)</f>
        <v>0</v>
      </c>
      <c r="DN42" s="1709">
        <f t="shared" si="81"/>
        <v>0</v>
      </c>
      <c r="DO42" s="1710">
        <f t="shared" si="81"/>
        <v>0</v>
      </c>
      <c r="DP42" s="1708">
        <f t="shared" si="81"/>
        <v>0</v>
      </c>
      <c r="DQ42" s="1709">
        <f t="shared" si="81"/>
        <v>0</v>
      </c>
      <c r="DR42" s="1710">
        <f t="shared" si="81"/>
        <v>0</v>
      </c>
      <c r="DS42" s="1708">
        <f t="shared" ref="DS42:DS76" si="82">CX42+DJ42+DM42+DP42</f>
        <v>11610</v>
      </c>
      <c r="DT42" s="1709">
        <f t="shared" ref="DT42:DT76" si="83">CY42+DK42+DN42+DQ42</f>
        <v>11015</v>
      </c>
      <c r="DU42" s="1710">
        <f t="shared" ref="DU42:DU76" si="84">CZ42+DL42+DO42+DR42</f>
        <v>4966.5889999999999</v>
      </c>
      <c r="DV42" s="717">
        <f>DU42/DT42*100</f>
        <v>45.089323649568769</v>
      </c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  <c r="HN42" s="140"/>
      <c r="HO42" s="140"/>
    </row>
    <row r="43" spans="1:237" ht="12.75" customHeight="1" x14ac:dyDescent="0.2">
      <c r="A43" s="1683"/>
      <c r="B43" s="1684" t="s">
        <v>946</v>
      </c>
      <c r="C43" s="1723"/>
      <c r="D43" s="1724"/>
      <c r="E43" s="1725"/>
      <c r="F43" s="1723"/>
      <c r="G43" s="1724"/>
      <c r="H43" s="1725"/>
      <c r="I43" s="1723"/>
      <c r="J43" s="1724"/>
      <c r="K43" s="1725"/>
      <c r="L43" s="1723"/>
      <c r="M43" s="1724"/>
      <c r="N43" s="1725"/>
      <c r="O43" s="1723"/>
      <c r="P43" s="1724"/>
      <c r="Q43" s="1725"/>
      <c r="R43" s="1723"/>
      <c r="S43" s="1724"/>
      <c r="T43" s="1725"/>
      <c r="U43" s="1723"/>
      <c r="V43" s="1724"/>
      <c r="W43" s="1725"/>
      <c r="X43" s="1723"/>
      <c r="Y43" s="1724"/>
      <c r="Z43" s="1725"/>
      <c r="AA43" s="1723"/>
      <c r="AB43" s="1724"/>
      <c r="AC43" s="1725"/>
      <c r="AD43" s="1723"/>
      <c r="AE43" s="1724"/>
      <c r="AF43" s="1725"/>
      <c r="AG43" s="1723"/>
      <c r="AH43" s="1724"/>
      <c r="AI43" s="1725"/>
      <c r="AJ43" s="1723"/>
      <c r="AK43" s="1724"/>
      <c r="AL43" s="1725"/>
      <c r="AM43" s="1723"/>
      <c r="AN43" s="1724"/>
      <c r="AO43" s="1725"/>
      <c r="AP43" s="1723"/>
      <c r="AQ43" s="1724"/>
      <c r="AR43" s="1725"/>
      <c r="AS43" s="1723"/>
      <c r="AT43" s="1724"/>
      <c r="AU43" s="1725"/>
      <c r="AV43" s="1723"/>
      <c r="AW43" s="1724"/>
      <c r="AX43" s="1725"/>
      <c r="AY43" s="1723"/>
      <c r="AZ43" s="1724"/>
      <c r="BA43" s="1725"/>
      <c r="BB43" s="1723"/>
      <c r="BC43" s="1724"/>
      <c r="BD43" s="1725"/>
      <c r="BE43" s="1723"/>
      <c r="BF43" s="1724"/>
      <c r="BG43" s="1725"/>
      <c r="BH43" s="655">
        <f t="shared" ref="BH43:BJ46" si="85">C43+F43+I43+L43+O43+R43+U43+X43+AA43+AD43+AG43+AJ43+AM43+AP43+AS43+AV43+AY43+BB43+BE43</f>
        <v>0</v>
      </c>
      <c r="BI43" s="698">
        <f t="shared" si="85"/>
        <v>0</v>
      </c>
      <c r="BJ43" s="663">
        <f t="shared" si="85"/>
        <v>0</v>
      </c>
      <c r="BK43" s="1723"/>
      <c r="BL43" s="1724"/>
      <c r="BM43" s="1725"/>
      <c r="BN43" s="1723"/>
      <c r="BO43" s="1724"/>
      <c r="BP43" s="1725"/>
      <c r="BQ43" s="1723"/>
      <c r="BR43" s="1724"/>
      <c r="BS43" s="1725"/>
      <c r="BT43" s="1723"/>
      <c r="BU43" s="1724"/>
      <c r="BV43" s="1725"/>
      <c r="BW43" s="1723"/>
      <c r="BX43" s="1724"/>
      <c r="BY43" s="1725"/>
      <c r="BZ43" s="1723"/>
      <c r="CA43" s="1724"/>
      <c r="CB43" s="1725"/>
      <c r="CC43" s="1723"/>
      <c r="CD43" s="1724"/>
      <c r="CE43" s="1725"/>
      <c r="CF43" s="1723"/>
      <c r="CG43" s="1724"/>
      <c r="CH43" s="1725"/>
      <c r="CI43" s="1723"/>
      <c r="CJ43" s="1724"/>
      <c r="CK43" s="1978"/>
      <c r="CL43" s="655"/>
      <c r="CM43" s="698"/>
      <c r="CN43" s="663"/>
      <c r="CO43" s="655"/>
      <c r="CP43" s="698"/>
      <c r="CQ43" s="663"/>
      <c r="CR43" s="1723"/>
      <c r="CS43" s="1724"/>
      <c r="CT43" s="1725"/>
      <c r="CU43" s="656">
        <f t="shared" ref="CU43:CU46" si="86">BK43+BN43+BQ43+BT43+BW43+BZ43+CC43+CF43+CI43+CL43+CO43</f>
        <v>0</v>
      </c>
      <c r="CV43" s="699">
        <f t="shared" ref="CV43:CV46" si="87">BL43+BO43+BR43+BU43+BX43+CA43+CD43+CG43+CJ43+CM43+CP43</f>
        <v>0</v>
      </c>
      <c r="CW43" s="664">
        <f t="shared" ref="CW43:CW46" si="88">BM43+BP43+BS43+BV43+BY43+CB43+CE43+CH43+CK43+CN43+CQ43</f>
        <v>0</v>
      </c>
      <c r="CX43" s="656">
        <f t="shared" si="19"/>
        <v>0</v>
      </c>
      <c r="CY43" s="699">
        <f t="shared" si="7"/>
        <v>0</v>
      </c>
      <c r="CZ43" s="664">
        <f t="shared" si="8"/>
        <v>0</v>
      </c>
      <c r="DA43" s="1767">
        <v>500</v>
      </c>
      <c r="DB43" s="1768">
        <v>5</v>
      </c>
      <c r="DC43" s="1769">
        <v>5</v>
      </c>
      <c r="DD43" s="1723"/>
      <c r="DE43" s="1724"/>
      <c r="DF43" s="1725"/>
      <c r="DG43" s="1767">
        <v>100</v>
      </c>
      <c r="DH43" s="1768"/>
      <c r="DI43" s="1769"/>
      <c r="DJ43" s="656">
        <f t="shared" si="34"/>
        <v>600</v>
      </c>
      <c r="DK43" s="699">
        <f t="shared" si="39"/>
        <v>5</v>
      </c>
      <c r="DL43" s="664">
        <f t="shared" si="40"/>
        <v>5</v>
      </c>
      <c r="DM43" s="1723"/>
      <c r="DN43" s="1724"/>
      <c r="DO43" s="1725"/>
      <c r="DP43" s="1723"/>
      <c r="DQ43" s="1724"/>
      <c r="DR43" s="1725"/>
      <c r="DS43" s="656">
        <f t="shared" si="82"/>
        <v>600</v>
      </c>
      <c r="DT43" s="699">
        <f t="shared" si="83"/>
        <v>5</v>
      </c>
      <c r="DU43" s="664">
        <f t="shared" si="84"/>
        <v>5</v>
      </c>
      <c r="DV43" s="1778">
        <f t="shared" si="61"/>
        <v>100</v>
      </c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40"/>
      <c r="HK43" s="140"/>
      <c r="HL43" s="140"/>
      <c r="HM43" s="140"/>
      <c r="HN43" s="140"/>
      <c r="HO43" s="140"/>
    </row>
    <row r="44" spans="1:237" ht="12.75" customHeight="1" x14ac:dyDescent="0.2">
      <c r="A44" s="1683"/>
      <c r="B44" s="1684" t="s">
        <v>947</v>
      </c>
      <c r="C44" s="655"/>
      <c r="D44" s="698"/>
      <c r="E44" s="663"/>
      <c r="F44" s="655"/>
      <c r="G44" s="698"/>
      <c r="H44" s="663"/>
      <c r="I44" s="655"/>
      <c r="J44" s="698"/>
      <c r="K44" s="663"/>
      <c r="L44" s="655"/>
      <c r="M44" s="698"/>
      <c r="N44" s="663"/>
      <c r="O44" s="655"/>
      <c r="P44" s="698"/>
      <c r="Q44" s="663"/>
      <c r="R44" s="655"/>
      <c r="S44" s="698"/>
      <c r="T44" s="663"/>
      <c r="U44" s="655"/>
      <c r="V44" s="698"/>
      <c r="W44" s="663"/>
      <c r="X44" s="655"/>
      <c r="Y44" s="698"/>
      <c r="Z44" s="663"/>
      <c r="AA44" s="655"/>
      <c r="AB44" s="698"/>
      <c r="AC44" s="663"/>
      <c r="AD44" s="655"/>
      <c r="AE44" s="698"/>
      <c r="AF44" s="663"/>
      <c r="AG44" s="655"/>
      <c r="AH44" s="698"/>
      <c r="AI44" s="663"/>
      <c r="AJ44" s="655">
        <v>10000</v>
      </c>
      <c r="AK44" s="698">
        <v>10000</v>
      </c>
      <c r="AL44" s="663">
        <v>4529.1890000000003</v>
      </c>
      <c r="AM44" s="655"/>
      <c r="AN44" s="698"/>
      <c r="AO44" s="663"/>
      <c r="AP44" s="655"/>
      <c r="AQ44" s="698"/>
      <c r="AR44" s="663"/>
      <c r="AS44" s="655"/>
      <c r="AT44" s="698"/>
      <c r="AU44" s="663"/>
      <c r="AV44" s="655"/>
      <c r="AW44" s="698"/>
      <c r="AX44" s="663"/>
      <c r="AY44" s="655"/>
      <c r="AZ44" s="698"/>
      <c r="BA44" s="663"/>
      <c r="BB44" s="655"/>
      <c r="BC44" s="698"/>
      <c r="BD44" s="663"/>
      <c r="BE44" s="655"/>
      <c r="BF44" s="698"/>
      <c r="BG44" s="663"/>
      <c r="BH44" s="655">
        <f t="shared" ref="BH44:BH45" si="89">C44+F44+I44+L44+O44+R44+U44+X44+AA44+AD44+AG44+AJ44+AM44+AP44+AS44+AV44+AY44+BB44+BE44</f>
        <v>10000</v>
      </c>
      <c r="BI44" s="698">
        <f t="shared" ref="BI44:BI45" si="90">D44+G44+J44+M44+P44+S44+V44+Y44+AB44+AE44+AH44+AK44+AN44+AQ44+AT44+AW44+AZ44+BC44+BF44</f>
        <v>10000</v>
      </c>
      <c r="BJ44" s="663">
        <f t="shared" ref="BJ44:BJ45" si="91">E44+H44+K44+N44+Q44+T44+W44+Z44+AC44+AF44+AI44+AL44+AO44+AR44+AU44+AX44+BA44+BD44+BG44</f>
        <v>4529.1890000000003</v>
      </c>
      <c r="BK44" s="655"/>
      <c r="BL44" s="698"/>
      <c r="BM44" s="663"/>
      <c r="BN44" s="655"/>
      <c r="BO44" s="698"/>
      <c r="BP44" s="663"/>
      <c r="BQ44" s="655"/>
      <c r="BR44" s="698"/>
      <c r="BS44" s="663"/>
      <c r="BT44" s="655"/>
      <c r="BU44" s="698"/>
      <c r="BV44" s="663"/>
      <c r="BW44" s="655"/>
      <c r="BX44" s="698"/>
      <c r="BY44" s="663"/>
      <c r="BZ44" s="655"/>
      <c r="CA44" s="698"/>
      <c r="CB44" s="663"/>
      <c r="CC44" s="655"/>
      <c r="CD44" s="698"/>
      <c r="CE44" s="663"/>
      <c r="CF44" s="655"/>
      <c r="CG44" s="698"/>
      <c r="CH44" s="663"/>
      <c r="CI44" s="655"/>
      <c r="CJ44" s="698"/>
      <c r="CK44" s="1971"/>
      <c r="CL44" s="655"/>
      <c r="CM44" s="698"/>
      <c r="CN44" s="663"/>
      <c r="CO44" s="655"/>
      <c r="CP44" s="698"/>
      <c r="CQ44" s="663"/>
      <c r="CR44" s="655"/>
      <c r="CS44" s="698"/>
      <c r="CT44" s="663"/>
      <c r="CU44" s="656">
        <f t="shared" si="86"/>
        <v>0</v>
      </c>
      <c r="CV44" s="699">
        <f t="shared" si="87"/>
        <v>0</v>
      </c>
      <c r="CW44" s="664">
        <f t="shared" si="88"/>
        <v>0</v>
      </c>
      <c r="CX44" s="656">
        <f t="shared" ref="CX44:CX45" si="92">BH44+CU44</f>
        <v>10000</v>
      </c>
      <c r="CY44" s="699">
        <f t="shared" ref="CY44:CY45" si="93">BI44+CV44</f>
        <v>10000</v>
      </c>
      <c r="CZ44" s="664">
        <f t="shared" ref="CZ44:CZ45" si="94">BJ44+CW44</f>
        <v>4529.1890000000003</v>
      </c>
      <c r="DA44" s="656"/>
      <c r="DB44" s="699"/>
      <c r="DC44" s="664"/>
      <c r="DD44" s="655"/>
      <c r="DE44" s="698"/>
      <c r="DF44" s="663"/>
      <c r="DG44" s="656"/>
      <c r="DH44" s="699"/>
      <c r="DI44" s="664"/>
      <c r="DJ44" s="656">
        <f t="shared" ref="DJ44:DJ45" si="95">DA44+DD44+DG44</f>
        <v>0</v>
      </c>
      <c r="DK44" s="699">
        <f t="shared" ref="DK44:DK45" si="96">DB44+DE44+DH44</f>
        <v>0</v>
      </c>
      <c r="DL44" s="664">
        <f t="shared" ref="DL44:DL45" si="97">DC44+DF44+DI44</f>
        <v>0</v>
      </c>
      <c r="DM44" s="655"/>
      <c r="DN44" s="698"/>
      <c r="DO44" s="663"/>
      <c r="DP44" s="655"/>
      <c r="DQ44" s="698"/>
      <c r="DR44" s="663"/>
      <c r="DS44" s="656">
        <f t="shared" ref="DS44:DS45" si="98">CX44+DJ44+DM44+DP44</f>
        <v>10000</v>
      </c>
      <c r="DT44" s="699">
        <f t="shared" ref="DT44:DT45" si="99">CY44+DK44+DN44+DQ44</f>
        <v>10000</v>
      </c>
      <c r="DU44" s="664">
        <f t="shared" ref="DU44:DU45" si="100">CZ44+DL44+DO44+DR44</f>
        <v>4529.1890000000003</v>
      </c>
      <c r="DV44" s="1779">
        <f t="shared" si="61"/>
        <v>45.291890000000002</v>
      </c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</row>
    <row r="45" spans="1:237" ht="12.75" customHeight="1" x14ac:dyDescent="0.2">
      <c r="A45" s="1683"/>
      <c r="B45" s="1684" t="s">
        <v>1138</v>
      </c>
      <c r="C45" s="655"/>
      <c r="D45" s="698"/>
      <c r="E45" s="663"/>
      <c r="F45" s="655"/>
      <c r="G45" s="698"/>
      <c r="H45" s="663"/>
      <c r="I45" s="655"/>
      <c r="J45" s="698"/>
      <c r="K45" s="663"/>
      <c r="L45" s="655"/>
      <c r="M45" s="698"/>
      <c r="N45" s="663"/>
      <c r="O45" s="655"/>
      <c r="P45" s="698"/>
      <c r="Q45" s="663"/>
      <c r="R45" s="655"/>
      <c r="S45" s="698"/>
      <c r="T45" s="663"/>
      <c r="U45" s="655"/>
      <c r="V45" s="698"/>
      <c r="W45" s="663"/>
      <c r="X45" s="655"/>
      <c r="Y45" s="698"/>
      <c r="Z45" s="663"/>
      <c r="AA45" s="655"/>
      <c r="AB45" s="698"/>
      <c r="AC45" s="663"/>
      <c r="AD45" s="655"/>
      <c r="AE45" s="698"/>
      <c r="AF45" s="663"/>
      <c r="AG45" s="655"/>
      <c r="AH45" s="698"/>
      <c r="AI45" s="663"/>
      <c r="AJ45" s="655"/>
      <c r="AK45" s="698"/>
      <c r="AL45" s="663"/>
      <c r="AM45" s="655"/>
      <c r="AN45" s="698"/>
      <c r="AO45" s="663"/>
      <c r="AP45" s="655"/>
      <c r="AQ45" s="698"/>
      <c r="AR45" s="663"/>
      <c r="AS45" s="655"/>
      <c r="AT45" s="698"/>
      <c r="AU45" s="663"/>
      <c r="AV45" s="655"/>
      <c r="AW45" s="698"/>
      <c r="AX45" s="663"/>
      <c r="AY45" s="655"/>
      <c r="AZ45" s="698"/>
      <c r="BA45" s="663"/>
      <c r="BB45" s="655">
        <v>1000</v>
      </c>
      <c r="BC45" s="698">
        <v>1000</v>
      </c>
      <c r="BD45" s="663">
        <v>431.4</v>
      </c>
      <c r="BE45" s="655"/>
      <c r="BF45" s="698"/>
      <c r="BG45" s="663"/>
      <c r="BH45" s="655">
        <f t="shared" si="89"/>
        <v>1000</v>
      </c>
      <c r="BI45" s="698">
        <f t="shared" si="90"/>
        <v>1000</v>
      </c>
      <c r="BJ45" s="663">
        <f t="shared" si="91"/>
        <v>431.4</v>
      </c>
      <c r="BK45" s="655"/>
      <c r="BL45" s="698"/>
      <c r="BM45" s="663"/>
      <c r="BN45" s="655"/>
      <c r="BO45" s="698"/>
      <c r="BP45" s="663"/>
      <c r="BQ45" s="655"/>
      <c r="BR45" s="698"/>
      <c r="BS45" s="663"/>
      <c r="BT45" s="655"/>
      <c r="BU45" s="698"/>
      <c r="BV45" s="663"/>
      <c r="BW45" s="655"/>
      <c r="BX45" s="698"/>
      <c r="BY45" s="663"/>
      <c r="BZ45" s="655"/>
      <c r="CA45" s="698"/>
      <c r="CB45" s="663"/>
      <c r="CC45" s="655"/>
      <c r="CD45" s="698"/>
      <c r="CE45" s="663"/>
      <c r="CF45" s="655"/>
      <c r="CG45" s="698"/>
      <c r="CH45" s="663"/>
      <c r="CI45" s="655"/>
      <c r="CJ45" s="698"/>
      <c r="CK45" s="1971"/>
      <c r="CL45" s="655"/>
      <c r="CM45" s="698"/>
      <c r="CN45" s="663"/>
      <c r="CO45" s="655"/>
      <c r="CP45" s="698"/>
      <c r="CQ45" s="663"/>
      <c r="CR45" s="655"/>
      <c r="CS45" s="698"/>
      <c r="CT45" s="663"/>
      <c r="CU45" s="656">
        <f t="shared" si="86"/>
        <v>0</v>
      </c>
      <c r="CV45" s="699">
        <f t="shared" si="87"/>
        <v>0</v>
      </c>
      <c r="CW45" s="664">
        <f t="shared" si="88"/>
        <v>0</v>
      </c>
      <c r="CX45" s="656">
        <f t="shared" si="92"/>
        <v>1000</v>
      </c>
      <c r="CY45" s="699">
        <f t="shared" si="93"/>
        <v>1000</v>
      </c>
      <c r="CZ45" s="664">
        <f t="shared" si="94"/>
        <v>431.4</v>
      </c>
      <c r="DA45" s="656"/>
      <c r="DB45" s="699"/>
      <c r="DC45" s="664"/>
      <c r="DD45" s="655"/>
      <c r="DE45" s="698"/>
      <c r="DF45" s="663"/>
      <c r="DG45" s="656"/>
      <c r="DH45" s="699"/>
      <c r="DI45" s="664"/>
      <c r="DJ45" s="656">
        <f t="shared" si="95"/>
        <v>0</v>
      </c>
      <c r="DK45" s="699">
        <f t="shared" si="96"/>
        <v>0</v>
      </c>
      <c r="DL45" s="664">
        <f t="shared" si="97"/>
        <v>0</v>
      </c>
      <c r="DM45" s="655"/>
      <c r="DN45" s="698"/>
      <c r="DO45" s="663"/>
      <c r="DP45" s="655"/>
      <c r="DQ45" s="698"/>
      <c r="DR45" s="663"/>
      <c r="DS45" s="656">
        <f t="shared" si="98"/>
        <v>1000</v>
      </c>
      <c r="DT45" s="699">
        <f t="shared" si="99"/>
        <v>1000</v>
      </c>
      <c r="DU45" s="664">
        <f t="shared" si="100"/>
        <v>431.4</v>
      </c>
      <c r="DV45" s="1779">
        <f t="shared" si="61"/>
        <v>43.139999999999993</v>
      </c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</row>
    <row r="46" spans="1:237" ht="12.75" customHeight="1" x14ac:dyDescent="0.2">
      <c r="A46" s="1683"/>
      <c r="B46" s="1693" t="s">
        <v>1139</v>
      </c>
      <c r="C46" s="1726"/>
      <c r="D46" s="1727"/>
      <c r="E46" s="1728"/>
      <c r="F46" s="1726"/>
      <c r="G46" s="1727"/>
      <c r="H46" s="1728"/>
      <c r="I46" s="1726"/>
      <c r="J46" s="1727"/>
      <c r="K46" s="1728"/>
      <c r="L46" s="1726"/>
      <c r="M46" s="1727"/>
      <c r="N46" s="1728"/>
      <c r="O46" s="1726"/>
      <c r="P46" s="1727"/>
      <c r="Q46" s="1728"/>
      <c r="R46" s="1726"/>
      <c r="S46" s="1727"/>
      <c r="T46" s="1728"/>
      <c r="U46" s="1726"/>
      <c r="V46" s="1727"/>
      <c r="W46" s="1728"/>
      <c r="X46" s="1726"/>
      <c r="Y46" s="1727"/>
      <c r="Z46" s="1728"/>
      <c r="AA46" s="1726"/>
      <c r="AB46" s="1727"/>
      <c r="AC46" s="1728"/>
      <c r="AD46" s="1726"/>
      <c r="AE46" s="1727"/>
      <c r="AF46" s="1728"/>
      <c r="AG46" s="1726"/>
      <c r="AH46" s="1727"/>
      <c r="AI46" s="1728"/>
      <c r="AJ46" s="1753">
        <v>10</v>
      </c>
      <c r="AK46" s="1803">
        <v>10</v>
      </c>
      <c r="AL46" s="1804">
        <v>1</v>
      </c>
      <c r="AM46" s="1726"/>
      <c r="AN46" s="1727"/>
      <c r="AO46" s="1728"/>
      <c r="AP46" s="1726"/>
      <c r="AQ46" s="1727"/>
      <c r="AR46" s="1728"/>
      <c r="AS46" s="1726"/>
      <c r="AT46" s="1727"/>
      <c r="AU46" s="1728"/>
      <c r="AV46" s="1726"/>
      <c r="AW46" s="1727"/>
      <c r="AX46" s="1728"/>
      <c r="AY46" s="1726"/>
      <c r="AZ46" s="1727"/>
      <c r="BA46" s="1728"/>
      <c r="BB46" s="1726"/>
      <c r="BC46" s="1727"/>
      <c r="BD46" s="1728"/>
      <c r="BE46" s="1726"/>
      <c r="BF46" s="1727"/>
      <c r="BG46" s="1728"/>
      <c r="BH46" s="655">
        <f t="shared" si="85"/>
        <v>10</v>
      </c>
      <c r="BI46" s="698">
        <f t="shared" si="85"/>
        <v>10</v>
      </c>
      <c r="BJ46" s="663">
        <f t="shared" si="85"/>
        <v>1</v>
      </c>
      <c r="BK46" s="1726"/>
      <c r="BL46" s="1727"/>
      <c r="BM46" s="1728"/>
      <c r="BN46" s="1726"/>
      <c r="BO46" s="1727"/>
      <c r="BP46" s="1728"/>
      <c r="BQ46" s="1726"/>
      <c r="BR46" s="1727"/>
      <c r="BS46" s="1728"/>
      <c r="BT46" s="1726"/>
      <c r="BU46" s="1727"/>
      <c r="BV46" s="1728"/>
      <c r="BW46" s="1726"/>
      <c r="BX46" s="1727"/>
      <c r="BY46" s="1728"/>
      <c r="BZ46" s="1726"/>
      <c r="CA46" s="1727"/>
      <c r="CB46" s="1728"/>
      <c r="CC46" s="1726"/>
      <c r="CD46" s="1727"/>
      <c r="CE46" s="1728"/>
      <c r="CF46" s="1726"/>
      <c r="CG46" s="1727"/>
      <c r="CH46" s="1728"/>
      <c r="CI46" s="1726"/>
      <c r="CJ46" s="1727"/>
      <c r="CK46" s="1980"/>
      <c r="CL46" s="1993"/>
      <c r="CM46" s="1994"/>
      <c r="CN46" s="1995"/>
      <c r="CO46" s="1993"/>
      <c r="CP46" s="1994"/>
      <c r="CQ46" s="1995"/>
      <c r="CR46" s="1726"/>
      <c r="CS46" s="1727"/>
      <c r="CT46" s="1728"/>
      <c r="CU46" s="656">
        <f t="shared" si="86"/>
        <v>0</v>
      </c>
      <c r="CV46" s="699">
        <f t="shared" si="87"/>
        <v>0</v>
      </c>
      <c r="CW46" s="664">
        <f t="shared" si="88"/>
        <v>0</v>
      </c>
      <c r="CX46" s="656">
        <f t="shared" si="19"/>
        <v>10</v>
      </c>
      <c r="CY46" s="699">
        <f t="shared" si="7"/>
        <v>10</v>
      </c>
      <c r="CZ46" s="664">
        <f t="shared" si="8"/>
        <v>1</v>
      </c>
      <c r="DA46" s="1770"/>
      <c r="DB46" s="1771"/>
      <c r="DC46" s="1772"/>
      <c r="DD46" s="1726"/>
      <c r="DE46" s="1727"/>
      <c r="DF46" s="1728"/>
      <c r="DG46" s="1770"/>
      <c r="DH46" s="1771"/>
      <c r="DI46" s="1772"/>
      <c r="DJ46" s="656">
        <f t="shared" si="34"/>
        <v>0</v>
      </c>
      <c r="DK46" s="699">
        <f t="shared" si="39"/>
        <v>0</v>
      </c>
      <c r="DL46" s="664">
        <f t="shared" si="40"/>
        <v>0</v>
      </c>
      <c r="DM46" s="1726"/>
      <c r="DN46" s="1727"/>
      <c r="DO46" s="1728"/>
      <c r="DP46" s="1726"/>
      <c r="DQ46" s="1727"/>
      <c r="DR46" s="1728"/>
      <c r="DS46" s="656">
        <f t="shared" si="82"/>
        <v>10</v>
      </c>
      <c r="DT46" s="699">
        <f t="shared" si="83"/>
        <v>10</v>
      </c>
      <c r="DU46" s="664">
        <f t="shared" si="84"/>
        <v>1</v>
      </c>
      <c r="DV46" s="1808">
        <f t="shared" si="61"/>
        <v>10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</row>
    <row r="47" spans="1:237" ht="15" customHeight="1" x14ac:dyDescent="0.2">
      <c r="A47" s="1689" t="s">
        <v>117</v>
      </c>
      <c r="B47" s="1690" t="s">
        <v>251</v>
      </c>
      <c r="C47" s="654">
        <f t="shared" ref="C47:AH47" si="101">SUM(C48:C58)</f>
        <v>10795</v>
      </c>
      <c r="D47" s="697">
        <f t="shared" si="101"/>
        <v>10795</v>
      </c>
      <c r="E47" s="662">
        <f t="shared" si="101"/>
        <v>7909.6039999999994</v>
      </c>
      <c r="F47" s="654">
        <f t="shared" si="101"/>
        <v>900881</v>
      </c>
      <c r="G47" s="697">
        <f t="shared" si="101"/>
        <v>939257</v>
      </c>
      <c r="H47" s="662">
        <f>SUM(H48:H58)</f>
        <v>916451.71899999992</v>
      </c>
      <c r="I47" s="654">
        <f t="shared" si="101"/>
        <v>75476</v>
      </c>
      <c r="J47" s="697">
        <f t="shared" si="101"/>
        <v>97557</v>
      </c>
      <c r="K47" s="662">
        <f t="shared" si="101"/>
        <v>139946.25899999999</v>
      </c>
      <c r="L47" s="654">
        <f t="shared" si="101"/>
        <v>0</v>
      </c>
      <c r="M47" s="697">
        <f t="shared" si="101"/>
        <v>0</v>
      </c>
      <c r="N47" s="662">
        <f t="shared" si="101"/>
        <v>0</v>
      </c>
      <c r="O47" s="654">
        <f t="shared" si="101"/>
        <v>0</v>
      </c>
      <c r="P47" s="697">
        <f t="shared" si="101"/>
        <v>0</v>
      </c>
      <c r="Q47" s="662">
        <f t="shared" si="101"/>
        <v>0</v>
      </c>
      <c r="R47" s="654">
        <f t="shared" si="101"/>
        <v>5806</v>
      </c>
      <c r="S47" s="697">
        <f t="shared" si="101"/>
        <v>5806</v>
      </c>
      <c r="T47" s="662">
        <f t="shared" si="101"/>
        <v>4436.4409999999998</v>
      </c>
      <c r="U47" s="654">
        <f t="shared" si="101"/>
        <v>93738</v>
      </c>
      <c r="V47" s="697">
        <f t="shared" si="101"/>
        <v>93738</v>
      </c>
      <c r="W47" s="662">
        <f t="shared" si="101"/>
        <v>103740.406</v>
      </c>
      <c r="X47" s="654">
        <f t="shared" si="101"/>
        <v>2159</v>
      </c>
      <c r="Y47" s="697">
        <f t="shared" si="101"/>
        <v>2653.5299999999997</v>
      </c>
      <c r="Z47" s="662">
        <f t="shared" si="101"/>
        <v>1764.4690000000001</v>
      </c>
      <c r="AA47" s="654">
        <f t="shared" si="101"/>
        <v>0</v>
      </c>
      <c r="AB47" s="697">
        <f t="shared" si="101"/>
        <v>0</v>
      </c>
      <c r="AC47" s="662">
        <f t="shared" si="101"/>
        <v>0</v>
      </c>
      <c r="AD47" s="654">
        <f t="shared" si="101"/>
        <v>0</v>
      </c>
      <c r="AE47" s="697">
        <f t="shared" si="101"/>
        <v>0</v>
      </c>
      <c r="AF47" s="662">
        <f t="shared" si="101"/>
        <v>0</v>
      </c>
      <c r="AG47" s="654">
        <f t="shared" si="101"/>
        <v>471619</v>
      </c>
      <c r="AH47" s="697">
        <f t="shared" si="101"/>
        <v>474881</v>
      </c>
      <c r="AI47" s="662">
        <f t="shared" ref="AI47:BJ47" si="102">SUM(AI48:AI58)</f>
        <v>473590.924</v>
      </c>
      <c r="AJ47" s="654">
        <f t="shared" si="102"/>
        <v>0</v>
      </c>
      <c r="AK47" s="697">
        <f t="shared" si="102"/>
        <v>0</v>
      </c>
      <c r="AL47" s="662">
        <f t="shared" si="102"/>
        <v>0</v>
      </c>
      <c r="AM47" s="654">
        <f t="shared" si="102"/>
        <v>0</v>
      </c>
      <c r="AN47" s="697">
        <f t="shared" si="102"/>
        <v>0</v>
      </c>
      <c r="AO47" s="662">
        <f t="shared" si="102"/>
        <v>0</v>
      </c>
      <c r="AP47" s="654">
        <f t="shared" si="102"/>
        <v>0</v>
      </c>
      <c r="AQ47" s="697">
        <f t="shared" si="102"/>
        <v>0</v>
      </c>
      <c r="AR47" s="662">
        <f t="shared" si="102"/>
        <v>0</v>
      </c>
      <c r="AS47" s="654">
        <f t="shared" si="102"/>
        <v>0</v>
      </c>
      <c r="AT47" s="697">
        <f t="shared" si="102"/>
        <v>0</v>
      </c>
      <c r="AU47" s="662">
        <f t="shared" si="102"/>
        <v>0</v>
      </c>
      <c r="AV47" s="654">
        <f t="shared" si="102"/>
        <v>343607</v>
      </c>
      <c r="AW47" s="697">
        <f t="shared" si="102"/>
        <v>343607</v>
      </c>
      <c r="AX47" s="662">
        <f t="shared" si="102"/>
        <v>341118.46900000004</v>
      </c>
      <c r="AY47" s="654">
        <f t="shared" si="102"/>
        <v>0</v>
      </c>
      <c r="AZ47" s="697">
        <f t="shared" si="102"/>
        <v>267</v>
      </c>
      <c r="BA47" s="662">
        <f t="shared" si="102"/>
        <v>465.24400000000003</v>
      </c>
      <c r="BB47" s="654">
        <f t="shared" si="102"/>
        <v>0</v>
      </c>
      <c r="BC47" s="697">
        <f t="shared" si="102"/>
        <v>0</v>
      </c>
      <c r="BD47" s="662">
        <f t="shared" si="102"/>
        <v>80.490000000000009</v>
      </c>
      <c r="BE47" s="654">
        <f t="shared" si="102"/>
        <v>254529</v>
      </c>
      <c r="BF47" s="697">
        <f t="shared" si="102"/>
        <v>275239.63500000001</v>
      </c>
      <c r="BG47" s="662">
        <f t="shared" si="102"/>
        <v>241496.85500000001</v>
      </c>
      <c r="BH47" s="654">
        <f t="shared" si="102"/>
        <v>2158610</v>
      </c>
      <c r="BI47" s="697">
        <f t="shared" si="102"/>
        <v>2243801.1649999996</v>
      </c>
      <c r="BJ47" s="662">
        <f t="shared" si="102"/>
        <v>2231000.88</v>
      </c>
      <c r="BK47" s="654">
        <f t="shared" ref="BK47:CZ47" si="103">SUM(BK48:BK58)</f>
        <v>0</v>
      </c>
      <c r="BL47" s="697">
        <f t="shared" si="103"/>
        <v>0</v>
      </c>
      <c r="BM47" s="662">
        <f t="shared" si="103"/>
        <v>0</v>
      </c>
      <c r="BN47" s="654">
        <f t="shared" si="103"/>
        <v>0</v>
      </c>
      <c r="BO47" s="697">
        <f t="shared" si="103"/>
        <v>0</v>
      </c>
      <c r="BP47" s="662">
        <f t="shared" si="103"/>
        <v>0</v>
      </c>
      <c r="BQ47" s="654">
        <f t="shared" si="103"/>
        <v>0</v>
      </c>
      <c r="BR47" s="697">
        <f t="shared" si="103"/>
        <v>0</v>
      </c>
      <c r="BS47" s="662">
        <f t="shared" si="103"/>
        <v>0</v>
      </c>
      <c r="BT47" s="654">
        <f t="shared" si="103"/>
        <v>0</v>
      </c>
      <c r="BU47" s="697">
        <f t="shared" si="103"/>
        <v>0</v>
      </c>
      <c r="BV47" s="662">
        <f t="shared" si="103"/>
        <v>0</v>
      </c>
      <c r="BW47" s="654">
        <f t="shared" si="103"/>
        <v>0</v>
      </c>
      <c r="BX47" s="697">
        <f t="shared" si="103"/>
        <v>0</v>
      </c>
      <c r="BY47" s="662">
        <f t="shared" si="103"/>
        <v>0</v>
      </c>
      <c r="BZ47" s="654">
        <f t="shared" si="103"/>
        <v>1270</v>
      </c>
      <c r="CA47" s="697">
        <f t="shared" si="103"/>
        <v>1270</v>
      </c>
      <c r="CB47" s="662">
        <f t="shared" si="103"/>
        <v>7378.085</v>
      </c>
      <c r="CC47" s="654">
        <f t="shared" si="103"/>
        <v>400.31799999999998</v>
      </c>
      <c r="CD47" s="697">
        <f t="shared" si="103"/>
        <v>400.31799999999998</v>
      </c>
      <c r="CE47" s="662">
        <f t="shared" si="103"/>
        <v>1065.663</v>
      </c>
      <c r="CF47" s="654">
        <f t="shared" si="103"/>
        <v>0</v>
      </c>
      <c r="CG47" s="697">
        <f t="shared" si="103"/>
        <v>0</v>
      </c>
      <c r="CH47" s="662">
        <f t="shared" si="103"/>
        <v>0</v>
      </c>
      <c r="CI47" s="654">
        <f t="shared" si="103"/>
        <v>0</v>
      </c>
      <c r="CJ47" s="697">
        <f t="shared" si="103"/>
        <v>0</v>
      </c>
      <c r="CK47" s="1969">
        <f t="shared" si="103"/>
        <v>22.998999999999999</v>
      </c>
      <c r="CL47" s="654">
        <f t="shared" si="103"/>
        <v>179217</v>
      </c>
      <c r="CM47" s="697">
        <f t="shared" si="103"/>
        <v>179217</v>
      </c>
      <c r="CN47" s="662">
        <f t="shared" si="103"/>
        <v>138937.878</v>
      </c>
      <c r="CO47" s="654">
        <f t="shared" si="103"/>
        <v>150245</v>
      </c>
      <c r="CP47" s="697">
        <f t="shared" si="103"/>
        <v>150245</v>
      </c>
      <c r="CQ47" s="662">
        <f t="shared" si="103"/>
        <v>75448.956000000006</v>
      </c>
      <c r="CR47" s="654">
        <f t="shared" ref="CR47:CT47" si="104">SUM(CR48:CR58)</f>
        <v>0</v>
      </c>
      <c r="CS47" s="697">
        <f t="shared" si="104"/>
        <v>0</v>
      </c>
      <c r="CT47" s="662">
        <f t="shared" si="104"/>
        <v>0</v>
      </c>
      <c r="CU47" s="654">
        <f t="shared" si="103"/>
        <v>331132.31800000003</v>
      </c>
      <c r="CV47" s="697">
        <f t="shared" si="103"/>
        <v>331132.31800000003</v>
      </c>
      <c r="CW47" s="662">
        <f t="shared" si="103"/>
        <v>222853.58099999998</v>
      </c>
      <c r="CX47" s="654">
        <f t="shared" si="103"/>
        <v>2489742.318</v>
      </c>
      <c r="CY47" s="697">
        <f t="shared" si="103"/>
        <v>2574933.483</v>
      </c>
      <c r="CZ47" s="662">
        <f t="shared" si="103"/>
        <v>2453854.4610000001</v>
      </c>
      <c r="DA47" s="654">
        <f t="shared" ref="DA47:DI47" si="105">SUM(DA48:DA58)</f>
        <v>1778</v>
      </c>
      <c r="DB47" s="697">
        <f t="shared" si="105"/>
        <v>192</v>
      </c>
      <c r="DC47" s="662">
        <f t="shared" si="105"/>
        <v>191.59300000000002</v>
      </c>
      <c r="DD47" s="654">
        <f t="shared" si="105"/>
        <v>0</v>
      </c>
      <c r="DE47" s="697">
        <f t="shared" si="105"/>
        <v>0</v>
      </c>
      <c r="DF47" s="662">
        <f t="shared" si="105"/>
        <v>0</v>
      </c>
      <c r="DG47" s="654">
        <f t="shared" si="105"/>
        <v>8254</v>
      </c>
      <c r="DH47" s="697">
        <f t="shared" si="105"/>
        <v>9808</v>
      </c>
      <c r="DI47" s="662">
        <f t="shared" si="105"/>
        <v>9808.1609999999982</v>
      </c>
      <c r="DJ47" s="654">
        <f t="shared" si="34"/>
        <v>10032</v>
      </c>
      <c r="DK47" s="697">
        <f t="shared" si="39"/>
        <v>10000</v>
      </c>
      <c r="DL47" s="662">
        <f t="shared" si="40"/>
        <v>9999.753999999999</v>
      </c>
      <c r="DM47" s="654">
        <f t="shared" ref="DM47:DR47" si="106">SUM(DM48:DM58)</f>
        <v>121711</v>
      </c>
      <c r="DN47" s="697">
        <f>SUM(DN48:DN58)</f>
        <v>122321.567</v>
      </c>
      <c r="DO47" s="662">
        <f t="shared" si="106"/>
        <v>131597.71300000002</v>
      </c>
      <c r="DP47" s="654">
        <f t="shared" si="106"/>
        <v>95576.939999999988</v>
      </c>
      <c r="DQ47" s="697">
        <f t="shared" si="106"/>
        <v>106552.86699999998</v>
      </c>
      <c r="DR47" s="662">
        <f t="shared" si="106"/>
        <v>104315.06999999999</v>
      </c>
      <c r="DS47" s="654">
        <f t="shared" si="82"/>
        <v>2717062.2579999999</v>
      </c>
      <c r="DT47" s="697">
        <f t="shared" si="83"/>
        <v>2813807.9169999999</v>
      </c>
      <c r="DU47" s="662">
        <f t="shared" si="84"/>
        <v>2699766.9980000001</v>
      </c>
      <c r="DV47" s="716">
        <f t="shared" si="61"/>
        <v>95.947096519595163</v>
      </c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</row>
    <row r="48" spans="1:237" s="135" customFormat="1" ht="12.75" customHeight="1" x14ac:dyDescent="0.2">
      <c r="A48" s="1691" t="s">
        <v>42</v>
      </c>
      <c r="B48" s="1692" t="s">
        <v>948</v>
      </c>
      <c r="C48" s="655"/>
      <c r="D48" s="701"/>
      <c r="E48" s="666"/>
      <c r="F48" s="655"/>
      <c r="G48" s="701"/>
      <c r="H48" s="666"/>
      <c r="I48" s="655"/>
      <c r="J48" s="701"/>
      <c r="K48" s="666"/>
      <c r="L48" s="655"/>
      <c r="M48" s="701"/>
      <c r="N48" s="666"/>
      <c r="O48" s="655"/>
      <c r="P48" s="701"/>
      <c r="Q48" s="666"/>
      <c r="R48" s="655"/>
      <c r="S48" s="701"/>
      <c r="T48" s="666"/>
      <c r="U48" s="655"/>
      <c r="V48" s="701"/>
      <c r="W48" s="666"/>
      <c r="X48" s="655"/>
      <c r="Y48" s="701"/>
      <c r="Z48" s="666"/>
      <c r="AA48" s="655"/>
      <c r="AB48" s="701"/>
      <c r="AC48" s="666"/>
      <c r="AD48" s="655"/>
      <c r="AE48" s="701"/>
      <c r="AF48" s="666"/>
      <c r="AG48" s="655"/>
      <c r="AH48" s="701"/>
      <c r="AI48" s="666"/>
      <c r="AJ48" s="655"/>
      <c r="AK48" s="701"/>
      <c r="AL48" s="666"/>
      <c r="AM48" s="655"/>
      <c r="AN48" s="701"/>
      <c r="AO48" s="666"/>
      <c r="AP48" s="655"/>
      <c r="AQ48" s="701"/>
      <c r="AR48" s="666"/>
      <c r="AS48" s="655"/>
      <c r="AT48" s="701"/>
      <c r="AU48" s="666"/>
      <c r="AV48" s="655"/>
      <c r="AW48" s="701"/>
      <c r="AX48" s="666"/>
      <c r="AY48" s="655"/>
      <c r="AZ48" s="701"/>
      <c r="BA48" s="666"/>
      <c r="BB48" s="655"/>
      <c r="BC48" s="701"/>
      <c r="BD48" s="666"/>
      <c r="BE48" s="655"/>
      <c r="BF48" s="701"/>
      <c r="BG48" s="666"/>
      <c r="BH48" s="655">
        <f t="shared" ref="BH48:BH58" si="107">C48+F48+I48+L48+O48+R48+U48+X48+AA48+AD48+AG48+AJ48+AM48+AP48+AS48+AV48+AY48+BB48+BE48</f>
        <v>0</v>
      </c>
      <c r="BI48" s="701">
        <f t="shared" ref="BI48:BI58" si="108">D48+G48+J48+M48+P48+S48+V48+Y48+AB48+AE48+AH48+AK48+AN48+AQ48+AT48+AW48+AZ48+BC48+BF48</f>
        <v>0</v>
      </c>
      <c r="BJ48" s="666">
        <f t="shared" ref="BJ48:BJ58" si="109">E48+H48+K48+N48+Q48+T48+W48+Z48+AC48+AF48+AI48+AL48+AO48+AR48+AU48+AX48+BA48+BD48+BG48</f>
        <v>0</v>
      </c>
      <c r="BK48" s="655"/>
      <c r="BL48" s="701"/>
      <c r="BM48" s="666"/>
      <c r="BN48" s="655"/>
      <c r="BO48" s="701"/>
      <c r="BP48" s="666"/>
      <c r="BQ48" s="655"/>
      <c r="BR48" s="701"/>
      <c r="BS48" s="666"/>
      <c r="BT48" s="655"/>
      <c r="BU48" s="701"/>
      <c r="BV48" s="666"/>
      <c r="BW48" s="655"/>
      <c r="BX48" s="701"/>
      <c r="BY48" s="666"/>
      <c r="BZ48" s="655"/>
      <c r="CA48" s="701"/>
      <c r="CB48" s="666"/>
      <c r="CC48" s="655"/>
      <c r="CD48" s="701"/>
      <c r="CE48" s="666"/>
      <c r="CF48" s="655"/>
      <c r="CG48" s="701"/>
      <c r="CH48" s="666"/>
      <c r="CI48" s="655"/>
      <c r="CJ48" s="701"/>
      <c r="CK48" s="1981"/>
      <c r="CL48" s="658"/>
      <c r="CM48" s="701"/>
      <c r="CN48" s="666"/>
      <c r="CO48" s="658"/>
      <c r="CP48" s="701"/>
      <c r="CQ48" s="666"/>
      <c r="CR48" s="655"/>
      <c r="CS48" s="701"/>
      <c r="CT48" s="666"/>
      <c r="CU48" s="658">
        <f t="shared" ref="CU48:CU51" si="110">BK48+BN48+BQ48+BT48+BW48+BZ48+CC48+CF48+CI48+CL48+CO48</f>
        <v>0</v>
      </c>
      <c r="CV48" s="701">
        <f t="shared" ref="CV48:CV51" si="111">BL48+BO48+BR48+BU48+BX48+CA48+CD48+CG48+CJ48+CM48+CP48</f>
        <v>0</v>
      </c>
      <c r="CW48" s="666">
        <f t="shared" ref="CW48:CW51" si="112">BM48+BP48+BS48+BV48+BY48+CB48+CE48+CH48+CK48+CN48+CQ48</f>
        <v>0</v>
      </c>
      <c r="CX48" s="658">
        <f t="shared" ref="CX48:CX73" si="113">BH48+CU48</f>
        <v>0</v>
      </c>
      <c r="CY48" s="701">
        <f t="shared" ref="CY48:CY91" si="114">BI48+CV48</f>
        <v>0</v>
      </c>
      <c r="CZ48" s="666">
        <f t="shared" ref="CZ48:CZ91" si="115">BJ48+CW48</f>
        <v>0</v>
      </c>
      <c r="DA48" s="655"/>
      <c r="DB48" s="701"/>
      <c r="DC48" s="666"/>
      <c r="DD48" s="655"/>
      <c r="DE48" s="701"/>
      <c r="DF48" s="666"/>
      <c r="DG48" s="655"/>
      <c r="DH48" s="701"/>
      <c r="DI48" s="666"/>
      <c r="DJ48" s="658">
        <f t="shared" si="34"/>
        <v>0</v>
      </c>
      <c r="DK48" s="701">
        <f t="shared" si="39"/>
        <v>0</v>
      </c>
      <c r="DL48" s="666">
        <f t="shared" si="40"/>
        <v>0</v>
      </c>
      <c r="DM48" s="655"/>
      <c r="DN48" s="701"/>
      <c r="DO48" s="666">
        <v>480</v>
      </c>
      <c r="DP48" s="655">
        <v>148.84299999999999</v>
      </c>
      <c r="DQ48" s="701">
        <v>358.589</v>
      </c>
      <c r="DR48" s="666">
        <v>358.589</v>
      </c>
      <c r="DS48" s="658">
        <f t="shared" si="82"/>
        <v>148.84299999999999</v>
      </c>
      <c r="DT48" s="701">
        <f t="shared" si="83"/>
        <v>358.589</v>
      </c>
      <c r="DU48" s="666">
        <f t="shared" si="84"/>
        <v>838.58899999999994</v>
      </c>
      <c r="DV48" s="717">
        <f t="shared" ref="DV48:DV62" si="116">DU48/DT48*100</f>
        <v>233.85798225823993</v>
      </c>
      <c r="DW48" s="599"/>
      <c r="DX48" s="599"/>
      <c r="DY48" s="599"/>
      <c r="DZ48" s="599"/>
      <c r="EA48" s="599"/>
      <c r="EB48" s="599"/>
      <c r="EC48" s="599"/>
      <c r="ED48" s="599"/>
      <c r="EE48" s="599"/>
      <c r="EF48" s="599"/>
      <c r="EG48" s="599"/>
      <c r="EH48" s="599"/>
      <c r="EI48" s="599"/>
      <c r="EJ48" s="599"/>
      <c r="EK48" s="599"/>
      <c r="EL48" s="599"/>
      <c r="EM48" s="599"/>
      <c r="EN48" s="599"/>
      <c r="EO48" s="599"/>
      <c r="EP48" s="599"/>
      <c r="EQ48" s="599"/>
      <c r="ER48" s="599"/>
      <c r="ES48" s="599"/>
      <c r="ET48" s="599"/>
      <c r="EU48" s="599"/>
      <c r="EV48" s="599"/>
      <c r="EW48" s="599"/>
      <c r="EX48" s="599"/>
      <c r="EY48" s="599"/>
      <c r="EZ48" s="599"/>
      <c r="FA48" s="599"/>
      <c r="FB48" s="599"/>
      <c r="FC48" s="599"/>
      <c r="FD48" s="599"/>
      <c r="FE48" s="599"/>
      <c r="FF48" s="599"/>
      <c r="FG48" s="599"/>
      <c r="FH48" s="599"/>
      <c r="FI48" s="599"/>
      <c r="FJ48" s="599"/>
      <c r="FK48" s="599"/>
      <c r="FL48" s="599"/>
      <c r="FM48" s="599"/>
      <c r="FN48" s="599"/>
      <c r="FO48" s="599"/>
      <c r="FP48" s="599"/>
      <c r="FQ48" s="599"/>
      <c r="FR48" s="599"/>
      <c r="FS48" s="599"/>
      <c r="FT48" s="599"/>
      <c r="FU48" s="599"/>
      <c r="FV48" s="599"/>
      <c r="FW48" s="599"/>
      <c r="FX48" s="599"/>
      <c r="FY48" s="599"/>
      <c r="FZ48" s="599"/>
      <c r="GA48" s="599"/>
      <c r="GB48" s="599"/>
      <c r="GC48" s="599"/>
      <c r="GD48" s="599"/>
      <c r="GE48" s="599"/>
      <c r="GF48" s="599"/>
      <c r="GG48" s="599"/>
      <c r="GH48" s="599"/>
      <c r="GI48" s="599"/>
      <c r="GJ48" s="599"/>
      <c r="GK48" s="599"/>
      <c r="GL48" s="599"/>
      <c r="GM48" s="599"/>
      <c r="GN48" s="599"/>
      <c r="GO48" s="599"/>
      <c r="GP48" s="599"/>
      <c r="GQ48" s="599"/>
      <c r="GR48" s="599"/>
      <c r="GS48" s="599"/>
      <c r="GT48" s="599"/>
      <c r="GU48" s="599"/>
      <c r="GV48" s="599"/>
      <c r="GW48" s="599"/>
      <c r="GX48" s="599"/>
      <c r="GY48" s="599"/>
      <c r="GZ48" s="599"/>
      <c r="HA48" s="599"/>
      <c r="HB48" s="599"/>
      <c r="HC48" s="599"/>
      <c r="HD48" s="599"/>
      <c r="HE48" s="599"/>
      <c r="HF48" s="599"/>
      <c r="HG48" s="599"/>
      <c r="HH48" s="599"/>
      <c r="HI48" s="599"/>
      <c r="HJ48" s="599"/>
      <c r="HK48" s="599"/>
      <c r="HL48" s="599"/>
      <c r="HM48" s="599"/>
      <c r="HN48" s="599"/>
      <c r="HO48" s="599"/>
      <c r="HP48" s="599"/>
      <c r="HQ48" s="599"/>
      <c r="HR48" s="599"/>
      <c r="HS48" s="599"/>
      <c r="HT48" s="599"/>
      <c r="HU48" s="599"/>
      <c r="HV48" s="599"/>
      <c r="HW48" s="599"/>
      <c r="HX48" s="599"/>
      <c r="HY48" s="599"/>
      <c r="HZ48" s="599"/>
      <c r="IA48" s="599"/>
      <c r="IB48" s="599"/>
      <c r="IC48" s="599"/>
    </row>
    <row r="49" spans="1:237" s="133" customFormat="1" ht="12.75" customHeight="1" x14ac:dyDescent="0.2">
      <c r="A49" s="1691" t="s">
        <v>652</v>
      </c>
      <c r="B49" s="1692" t="s">
        <v>949</v>
      </c>
      <c r="C49" s="658">
        <v>7000</v>
      </c>
      <c r="D49" s="701">
        <v>7000</v>
      </c>
      <c r="E49" s="666">
        <v>6228.0349999999999</v>
      </c>
      <c r="F49" s="658">
        <v>732499</v>
      </c>
      <c r="G49" s="701">
        <v>770780</v>
      </c>
      <c r="H49" s="666">
        <v>740767.97499999998</v>
      </c>
      <c r="I49" s="658">
        <v>59430</v>
      </c>
      <c r="J49" s="701">
        <v>76817</v>
      </c>
      <c r="K49" s="666">
        <v>110193.923</v>
      </c>
      <c r="L49" s="658"/>
      <c r="M49" s="701"/>
      <c r="N49" s="666"/>
      <c r="O49" s="658"/>
      <c r="P49" s="701"/>
      <c r="Q49" s="666"/>
      <c r="R49" s="658"/>
      <c r="S49" s="701"/>
      <c r="T49" s="666"/>
      <c r="U49" s="658"/>
      <c r="V49" s="701"/>
      <c r="W49" s="666"/>
      <c r="X49" s="658"/>
      <c r="Y49" s="701"/>
      <c r="Z49" s="666"/>
      <c r="AA49" s="658"/>
      <c r="AB49" s="701"/>
      <c r="AC49" s="666"/>
      <c r="AD49" s="658"/>
      <c r="AE49" s="701"/>
      <c r="AF49" s="666"/>
      <c r="AG49" s="658">
        <v>316662</v>
      </c>
      <c r="AH49" s="701">
        <v>318260</v>
      </c>
      <c r="AI49" s="666">
        <v>315701.53899999999</v>
      </c>
      <c r="AJ49" s="658"/>
      <c r="AK49" s="701"/>
      <c r="AL49" s="666"/>
      <c r="AM49" s="658"/>
      <c r="AN49" s="701"/>
      <c r="AO49" s="666"/>
      <c r="AP49" s="658"/>
      <c r="AQ49" s="701"/>
      <c r="AR49" s="666"/>
      <c r="AS49" s="658"/>
      <c r="AT49" s="701"/>
      <c r="AU49" s="666"/>
      <c r="AV49" s="658">
        <v>2070</v>
      </c>
      <c r="AW49" s="701">
        <v>2070</v>
      </c>
      <c r="AX49" s="666">
        <v>2070</v>
      </c>
      <c r="AY49" s="658"/>
      <c r="AZ49" s="701"/>
      <c r="BA49" s="666">
        <v>175.44200000000001</v>
      </c>
      <c r="BB49" s="658"/>
      <c r="BC49" s="701"/>
      <c r="BD49" s="666"/>
      <c r="BE49" s="658">
        <v>14778</v>
      </c>
      <c r="BF49" s="701">
        <v>20878</v>
      </c>
      <c r="BG49" s="666">
        <v>21607.423999999999</v>
      </c>
      <c r="BH49" s="658">
        <f>C49+F49+I49+L49+O49+R49+U49+X49+AA49+AD49+AG49+AJ49+AM49+AP49+AS49+AV49+AY49+BB49+BE49</f>
        <v>1132439</v>
      </c>
      <c r="BI49" s="701">
        <f t="shared" si="108"/>
        <v>1195805</v>
      </c>
      <c r="BJ49" s="666">
        <f t="shared" si="109"/>
        <v>1196744.338</v>
      </c>
      <c r="BK49" s="658"/>
      <c r="BL49" s="701"/>
      <c r="BM49" s="666"/>
      <c r="BN49" s="658"/>
      <c r="BO49" s="701"/>
      <c r="BP49" s="666"/>
      <c r="BQ49" s="658"/>
      <c r="BR49" s="701"/>
      <c r="BS49" s="666"/>
      <c r="BT49" s="658"/>
      <c r="BU49" s="701"/>
      <c r="BV49" s="666"/>
      <c r="BW49" s="658"/>
      <c r="BX49" s="701"/>
      <c r="BY49" s="666"/>
      <c r="BZ49" s="658"/>
      <c r="CA49" s="701"/>
      <c r="CB49" s="666"/>
      <c r="CC49" s="658"/>
      <c r="CD49" s="701"/>
      <c r="CE49" s="666"/>
      <c r="CF49" s="658"/>
      <c r="CG49" s="701"/>
      <c r="CH49" s="666"/>
      <c r="CI49" s="658"/>
      <c r="CJ49" s="701"/>
      <c r="CK49" s="1981">
        <v>22.998999999999999</v>
      </c>
      <c r="CL49" s="658">
        <v>141116</v>
      </c>
      <c r="CM49" s="701">
        <v>141116</v>
      </c>
      <c r="CN49" s="666">
        <v>109399.905</v>
      </c>
      <c r="CO49" s="658"/>
      <c r="CP49" s="701"/>
      <c r="CQ49" s="666">
        <v>7833.62</v>
      </c>
      <c r="CR49" s="658"/>
      <c r="CS49" s="701"/>
      <c r="CT49" s="666"/>
      <c r="CU49" s="658">
        <f t="shared" si="110"/>
        <v>141116</v>
      </c>
      <c r="CV49" s="701">
        <f t="shared" si="111"/>
        <v>141116</v>
      </c>
      <c r="CW49" s="666">
        <f t="shared" si="112"/>
        <v>117256.52399999999</v>
      </c>
      <c r="CX49" s="658">
        <f t="shared" si="113"/>
        <v>1273555</v>
      </c>
      <c r="CY49" s="701">
        <f t="shared" si="114"/>
        <v>1336921</v>
      </c>
      <c r="CZ49" s="666">
        <f t="shared" si="115"/>
        <v>1314000.862</v>
      </c>
      <c r="DA49" s="658"/>
      <c r="DB49" s="701"/>
      <c r="DC49" s="666"/>
      <c r="DD49" s="658"/>
      <c r="DE49" s="701"/>
      <c r="DF49" s="666"/>
      <c r="DG49" s="658">
        <v>5600</v>
      </c>
      <c r="DH49" s="701">
        <v>6165</v>
      </c>
      <c r="DI49" s="666">
        <v>6165</v>
      </c>
      <c r="DJ49" s="655">
        <f t="shared" si="34"/>
        <v>5600</v>
      </c>
      <c r="DK49" s="698">
        <f t="shared" si="39"/>
        <v>6165</v>
      </c>
      <c r="DL49" s="663">
        <f t="shared" si="40"/>
        <v>6165</v>
      </c>
      <c r="DM49" s="658">
        <v>16900</v>
      </c>
      <c r="DN49" s="701">
        <v>16900</v>
      </c>
      <c r="DO49" s="666">
        <v>18650.659</v>
      </c>
      <c r="DP49" s="658">
        <v>63171.355000000003</v>
      </c>
      <c r="DQ49" s="701">
        <v>60719.008999999998</v>
      </c>
      <c r="DR49" s="666">
        <v>60105.205000000002</v>
      </c>
      <c r="DS49" s="658">
        <f t="shared" si="82"/>
        <v>1359226.355</v>
      </c>
      <c r="DT49" s="701">
        <f t="shared" si="83"/>
        <v>1420705.0090000001</v>
      </c>
      <c r="DU49" s="666">
        <f t="shared" si="84"/>
        <v>1398921.726</v>
      </c>
      <c r="DV49" s="717">
        <f t="shared" si="116"/>
        <v>98.466727233169067</v>
      </c>
      <c r="DW49" s="598"/>
      <c r="DX49" s="598"/>
      <c r="DY49" s="598"/>
      <c r="DZ49" s="598"/>
      <c r="EA49" s="598"/>
      <c r="EB49" s="598"/>
      <c r="EC49" s="598"/>
      <c r="ED49" s="598"/>
      <c r="EE49" s="598"/>
      <c r="EF49" s="598"/>
      <c r="EG49" s="598"/>
      <c r="EH49" s="598"/>
      <c r="EI49" s="598"/>
      <c r="EJ49" s="598"/>
      <c r="EK49" s="598"/>
      <c r="EL49" s="598"/>
      <c r="EM49" s="598"/>
      <c r="EN49" s="598"/>
      <c r="EO49" s="598"/>
      <c r="EP49" s="598"/>
      <c r="EQ49" s="598"/>
      <c r="ER49" s="598"/>
      <c r="ES49" s="598"/>
      <c r="ET49" s="598"/>
      <c r="EU49" s="598"/>
      <c r="EV49" s="598"/>
      <c r="EW49" s="598"/>
      <c r="EX49" s="598"/>
      <c r="EY49" s="598"/>
      <c r="EZ49" s="598"/>
      <c r="FA49" s="598"/>
      <c r="FB49" s="598"/>
      <c r="FC49" s="598"/>
      <c r="FD49" s="598"/>
      <c r="FE49" s="598"/>
      <c r="FF49" s="598"/>
      <c r="FG49" s="598"/>
      <c r="FH49" s="598"/>
      <c r="FI49" s="598"/>
      <c r="FJ49" s="598"/>
      <c r="FK49" s="598"/>
      <c r="FL49" s="598"/>
      <c r="FM49" s="598"/>
      <c r="FN49" s="598"/>
      <c r="FO49" s="598"/>
      <c r="FP49" s="598"/>
      <c r="FQ49" s="598"/>
      <c r="FR49" s="598"/>
      <c r="FS49" s="598"/>
      <c r="FT49" s="598"/>
      <c r="FU49" s="598"/>
      <c r="FV49" s="598"/>
      <c r="FW49" s="598"/>
      <c r="FX49" s="598"/>
      <c r="FY49" s="598"/>
      <c r="FZ49" s="598"/>
      <c r="GA49" s="598"/>
      <c r="GB49" s="598"/>
      <c r="GC49" s="598"/>
      <c r="GD49" s="598"/>
      <c r="GE49" s="598"/>
      <c r="GF49" s="598"/>
      <c r="GG49" s="598"/>
      <c r="GH49" s="598"/>
      <c r="GI49" s="598"/>
      <c r="GJ49" s="598"/>
      <c r="GK49" s="598"/>
      <c r="GL49" s="598"/>
      <c r="GM49" s="598"/>
      <c r="GN49" s="598"/>
      <c r="GO49" s="598"/>
      <c r="GP49" s="598"/>
      <c r="GQ49" s="598"/>
      <c r="GR49" s="598"/>
      <c r="GS49" s="598"/>
      <c r="GT49" s="598"/>
      <c r="GU49" s="598"/>
      <c r="GV49" s="598"/>
      <c r="GW49" s="598"/>
      <c r="GX49" s="598"/>
      <c r="GY49" s="598"/>
      <c r="GZ49" s="598"/>
      <c r="HA49" s="598"/>
      <c r="HB49" s="598"/>
      <c r="HC49" s="598"/>
      <c r="HD49" s="598"/>
      <c r="HE49" s="598"/>
      <c r="HF49" s="598"/>
      <c r="HG49" s="598"/>
      <c r="HH49" s="598"/>
      <c r="HI49" s="598"/>
      <c r="HJ49" s="598"/>
      <c r="HK49" s="598"/>
      <c r="HL49" s="598"/>
      <c r="HM49" s="598"/>
      <c r="HN49" s="598"/>
      <c r="HO49" s="598"/>
      <c r="HP49" s="598"/>
      <c r="HQ49" s="598"/>
      <c r="HR49" s="598"/>
      <c r="HS49" s="598"/>
      <c r="HT49" s="598"/>
      <c r="HU49" s="598"/>
      <c r="HV49" s="598"/>
      <c r="HW49" s="598"/>
      <c r="HX49" s="598"/>
      <c r="HY49" s="598"/>
      <c r="HZ49" s="598"/>
      <c r="IA49" s="598"/>
      <c r="IB49" s="598"/>
      <c r="IC49" s="598"/>
    </row>
    <row r="50" spans="1:237" ht="12.75" customHeight="1" x14ac:dyDescent="0.2">
      <c r="A50" s="1691" t="s">
        <v>868</v>
      </c>
      <c r="B50" s="1692" t="s">
        <v>950</v>
      </c>
      <c r="C50" s="656"/>
      <c r="D50" s="702"/>
      <c r="E50" s="667"/>
      <c r="F50" s="656"/>
      <c r="G50" s="702"/>
      <c r="H50" s="667"/>
      <c r="I50" s="656"/>
      <c r="J50" s="702"/>
      <c r="K50" s="667"/>
      <c r="L50" s="656"/>
      <c r="M50" s="702"/>
      <c r="N50" s="667"/>
      <c r="O50" s="656"/>
      <c r="P50" s="702"/>
      <c r="Q50" s="667"/>
      <c r="R50" s="655">
        <v>4572</v>
      </c>
      <c r="S50" s="701">
        <v>4572</v>
      </c>
      <c r="T50" s="666">
        <v>3531.4839999999999</v>
      </c>
      <c r="U50" s="656"/>
      <c r="V50" s="702"/>
      <c r="W50" s="667"/>
      <c r="X50" s="655">
        <v>1700</v>
      </c>
      <c r="Y50" s="701">
        <v>1700</v>
      </c>
      <c r="Z50" s="666">
        <v>1321.633</v>
      </c>
      <c r="AA50" s="656"/>
      <c r="AB50" s="702"/>
      <c r="AC50" s="667"/>
      <c r="AD50" s="656"/>
      <c r="AE50" s="702"/>
      <c r="AF50" s="667"/>
      <c r="AG50" s="655">
        <v>40100</v>
      </c>
      <c r="AH50" s="701">
        <v>40434</v>
      </c>
      <c r="AI50" s="666">
        <v>40016.684999999998</v>
      </c>
      <c r="AJ50" s="656"/>
      <c r="AK50" s="702"/>
      <c r="AL50" s="667"/>
      <c r="AM50" s="656"/>
      <c r="AN50" s="702"/>
      <c r="AO50" s="667"/>
      <c r="AP50" s="656"/>
      <c r="AQ50" s="702"/>
      <c r="AR50" s="667"/>
      <c r="AS50" s="656"/>
      <c r="AT50" s="702"/>
      <c r="AU50" s="667"/>
      <c r="AV50" s="655">
        <v>958</v>
      </c>
      <c r="AW50" s="701">
        <v>958</v>
      </c>
      <c r="AX50" s="666">
        <v>79.878</v>
      </c>
      <c r="AY50" s="656"/>
      <c r="AZ50" s="702"/>
      <c r="BA50" s="667"/>
      <c r="BB50" s="656"/>
      <c r="BC50" s="702"/>
      <c r="BD50" s="667"/>
      <c r="BE50" s="656"/>
      <c r="BF50" s="702"/>
      <c r="BG50" s="667"/>
      <c r="BH50" s="655">
        <f t="shared" si="107"/>
        <v>47330</v>
      </c>
      <c r="BI50" s="701">
        <f t="shared" si="108"/>
        <v>47664</v>
      </c>
      <c r="BJ50" s="666">
        <f t="shared" si="109"/>
        <v>44949.679999999993</v>
      </c>
      <c r="BK50" s="656"/>
      <c r="BL50" s="702"/>
      <c r="BM50" s="667"/>
      <c r="BN50" s="656"/>
      <c r="BO50" s="702"/>
      <c r="BP50" s="667"/>
      <c r="BQ50" s="656"/>
      <c r="BR50" s="702"/>
      <c r="BS50" s="667"/>
      <c r="BT50" s="656"/>
      <c r="BU50" s="702"/>
      <c r="BV50" s="667"/>
      <c r="BW50" s="656"/>
      <c r="BX50" s="702"/>
      <c r="BY50" s="667"/>
      <c r="BZ50" s="656"/>
      <c r="CA50" s="702"/>
      <c r="CB50" s="667"/>
      <c r="CC50" s="656"/>
      <c r="CD50" s="701"/>
      <c r="CE50" s="666"/>
      <c r="CF50" s="656"/>
      <c r="CG50" s="702"/>
      <c r="CH50" s="667"/>
      <c r="CI50" s="656"/>
      <c r="CJ50" s="702"/>
      <c r="CK50" s="1982"/>
      <c r="CL50" s="659"/>
      <c r="CM50" s="702"/>
      <c r="CN50" s="667"/>
      <c r="CO50" s="658">
        <v>118812</v>
      </c>
      <c r="CP50" s="701">
        <v>118812</v>
      </c>
      <c r="CQ50" s="666">
        <v>50416.580999999998</v>
      </c>
      <c r="CR50" s="656"/>
      <c r="CS50" s="702"/>
      <c r="CT50" s="667"/>
      <c r="CU50" s="658">
        <f t="shared" si="110"/>
        <v>118812</v>
      </c>
      <c r="CV50" s="701">
        <f t="shared" si="111"/>
        <v>118812</v>
      </c>
      <c r="CW50" s="666">
        <f t="shared" si="112"/>
        <v>50416.580999999998</v>
      </c>
      <c r="CX50" s="658">
        <f t="shared" si="113"/>
        <v>166142</v>
      </c>
      <c r="CY50" s="701">
        <f t="shared" si="114"/>
        <v>166476</v>
      </c>
      <c r="CZ50" s="666">
        <f t="shared" si="115"/>
        <v>95366.260999999999</v>
      </c>
      <c r="DA50" s="655">
        <v>1400</v>
      </c>
      <c r="DB50" s="701">
        <v>151</v>
      </c>
      <c r="DC50" s="666">
        <v>150.86000000000001</v>
      </c>
      <c r="DD50" s="656"/>
      <c r="DE50" s="702"/>
      <c r="DF50" s="667"/>
      <c r="DG50" s="655">
        <v>450</v>
      </c>
      <c r="DH50" s="701">
        <v>257</v>
      </c>
      <c r="DI50" s="666">
        <v>257.01600000000002</v>
      </c>
      <c r="DJ50" s="658">
        <f t="shared" si="34"/>
        <v>1850</v>
      </c>
      <c r="DK50" s="701">
        <f t="shared" si="39"/>
        <v>408</v>
      </c>
      <c r="DL50" s="666">
        <f t="shared" si="40"/>
        <v>407.87600000000003</v>
      </c>
      <c r="DM50" s="655">
        <v>240</v>
      </c>
      <c r="DN50" s="701">
        <v>240</v>
      </c>
      <c r="DO50" s="666">
        <v>281.54500000000002</v>
      </c>
      <c r="DP50" s="655">
        <v>21575.593000000001</v>
      </c>
      <c r="DQ50" s="701">
        <v>22743.393</v>
      </c>
      <c r="DR50" s="666">
        <v>21526.187000000002</v>
      </c>
      <c r="DS50" s="658">
        <f t="shared" si="82"/>
        <v>189807.59299999999</v>
      </c>
      <c r="DT50" s="701">
        <f t="shared" si="83"/>
        <v>189867.39300000001</v>
      </c>
      <c r="DU50" s="666">
        <f t="shared" si="84"/>
        <v>117581.86900000001</v>
      </c>
      <c r="DV50" s="717">
        <f t="shared" si="116"/>
        <v>61.928416007692277</v>
      </c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</row>
    <row r="51" spans="1:237" ht="12.75" customHeight="1" x14ac:dyDescent="0.2">
      <c r="A51" s="1691" t="s">
        <v>951</v>
      </c>
      <c r="B51" s="1692" t="s">
        <v>987</v>
      </c>
      <c r="C51" s="656"/>
      <c r="D51" s="702"/>
      <c r="E51" s="667"/>
      <c r="F51" s="656"/>
      <c r="G51" s="702"/>
      <c r="H51" s="667"/>
      <c r="I51" s="656"/>
      <c r="J51" s="702"/>
      <c r="K51" s="667"/>
      <c r="L51" s="656"/>
      <c r="M51" s="702"/>
      <c r="N51" s="667"/>
      <c r="O51" s="656"/>
      <c r="P51" s="702"/>
      <c r="Q51" s="667"/>
      <c r="R51" s="656"/>
      <c r="S51" s="702"/>
      <c r="T51" s="667"/>
      <c r="U51" s="656"/>
      <c r="V51" s="702"/>
      <c r="W51" s="667"/>
      <c r="X51" s="656"/>
      <c r="Y51" s="702"/>
      <c r="Z51" s="667"/>
      <c r="AA51" s="656"/>
      <c r="AB51" s="702"/>
      <c r="AC51" s="667"/>
      <c r="AD51" s="656"/>
      <c r="AE51" s="702"/>
      <c r="AF51" s="667"/>
      <c r="AG51" s="656"/>
      <c r="AH51" s="702"/>
      <c r="AI51" s="667"/>
      <c r="AJ51" s="656"/>
      <c r="AK51" s="702"/>
      <c r="AL51" s="667"/>
      <c r="AM51" s="656"/>
      <c r="AN51" s="702"/>
      <c r="AO51" s="667"/>
      <c r="AP51" s="656"/>
      <c r="AQ51" s="702"/>
      <c r="AR51" s="667"/>
      <c r="AS51" s="656"/>
      <c r="AT51" s="702"/>
      <c r="AU51" s="667"/>
      <c r="AV51" s="656"/>
      <c r="AW51" s="702"/>
      <c r="AX51" s="667"/>
      <c r="AY51" s="656"/>
      <c r="AZ51" s="702"/>
      <c r="BA51" s="667"/>
      <c r="BB51" s="656"/>
      <c r="BC51" s="702"/>
      <c r="BD51" s="667"/>
      <c r="BE51" s="655">
        <v>41000</v>
      </c>
      <c r="BF51" s="701">
        <v>41000</v>
      </c>
      <c r="BG51" s="666">
        <v>41357.5</v>
      </c>
      <c r="BH51" s="655">
        <f t="shared" si="107"/>
        <v>41000</v>
      </c>
      <c r="BI51" s="701">
        <f t="shared" si="108"/>
        <v>41000</v>
      </c>
      <c r="BJ51" s="666">
        <f t="shared" si="109"/>
        <v>41357.5</v>
      </c>
      <c r="BK51" s="656"/>
      <c r="BL51" s="702"/>
      <c r="BM51" s="667"/>
      <c r="BN51" s="656"/>
      <c r="BO51" s="702"/>
      <c r="BP51" s="667"/>
      <c r="BQ51" s="656"/>
      <c r="BR51" s="702"/>
      <c r="BS51" s="667"/>
      <c r="BT51" s="656"/>
      <c r="BU51" s="702"/>
      <c r="BV51" s="667"/>
      <c r="BW51" s="656"/>
      <c r="BX51" s="702"/>
      <c r="BY51" s="667"/>
      <c r="BZ51" s="656"/>
      <c r="CA51" s="702"/>
      <c r="CB51" s="667"/>
      <c r="CC51" s="656"/>
      <c r="CD51" s="701"/>
      <c r="CE51" s="667"/>
      <c r="CF51" s="656"/>
      <c r="CG51" s="702"/>
      <c r="CH51" s="667"/>
      <c r="CI51" s="656"/>
      <c r="CJ51" s="702"/>
      <c r="CK51" s="1982"/>
      <c r="CL51" s="659"/>
      <c r="CM51" s="702"/>
      <c r="CN51" s="667"/>
      <c r="CO51" s="659"/>
      <c r="CP51" s="702"/>
      <c r="CQ51" s="667"/>
      <c r="CR51" s="656"/>
      <c r="CS51" s="702"/>
      <c r="CT51" s="667"/>
      <c r="CU51" s="658">
        <f t="shared" si="110"/>
        <v>0</v>
      </c>
      <c r="CV51" s="701">
        <f t="shared" si="111"/>
        <v>0</v>
      </c>
      <c r="CW51" s="666">
        <f t="shared" si="112"/>
        <v>0</v>
      </c>
      <c r="CX51" s="658">
        <f t="shared" si="113"/>
        <v>41000</v>
      </c>
      <c r="CY51" s="701">
        <f t="shared" si="114"/>
        <v>41000</v>
      </c>
      <c r="CZ51" s="666">
        <f t="shared" si="115"/>
        <v>41357.5</v>
      </c>
      <c r="DA51" s="655"/>
      <c r="DB51" s="701"/>
      <c r="DC51" s="666"/>
      <c r="DD51" s="656"/>
      <c r="DE51" s="702"/>
      <c r="DF51" s="667"/>
      <c r="DG51" s="656"/>
      <c r="DH51" s="702"/>
      <c r="DI51" s="667"/>
      <c r="DJ51" s="658">
        <f t="shared" si="34"/>
        <v>0</v>
      </c>
      <c r="DK51" s="701">
        <f t="shared" si="39"/>
        <v>0</v>
      </c>
      <c r="DL51" s="666">
        <f t="shared" si="40"/>
        <v>0</v>
      </c>
      <c r="DM51" s="656"/>
      <c r="DN51" s="702"/>
      <c r="DO51" s="667"/>
      <c r="DP51" s="656"/>
      <c r="DQ51" s="702"/>
      <c r="DR51" s="667"/>
      <c r="DS51" s="658">
        <f t="shared" si="82"/>
        <v>41000</v>
      </c>
      <c r="DT51" s="701">
        <f t="shared" si="83"/>
        <v>41000</v>
      </c>
      <c r="DU51" s="666">
        <f t="shared" si="84"/>
        <v>41357.5</v>
      </c>
      <c r="DV51" s="717">
        <f t="shared" si="116"/>
        <v>100.8719512195122</v>
      </c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</row>
    <row r="52" spans="1:237" ht="12.75" customHeight="1" x14ac:dyDescent="0.2">
      <c r="A52" s="1691" t="s">
        <v>952</v>
      </c>
      <c r="B52" s="1692" t="s">
        <v>953</v>
      </c>
      <c r="C52" s="655"/>
      <c r="D52" s="701"/>
      <c r="E52" s="666"/>
      <c r="F52" s="655"/>
      <c r="G52" s="701"/>
      <c r="H52" s="666"/>
      <c r="I52" s="655"/>
      <c r="J52" s="701"/>
      <c r="K52" s="666"/>
      <c r="L52" s="655"/>
      <c r="M52" s="701"/>
      <c r="N52" s="666"/>
      <c r="O52" s="655"/>
      <c r="P52" s="701"/>
      <c r="Q52" s="666"/>
      <c r="R52" s="655"/>
      <c r="S52" s="701"/>
      <c r="T52" s="666"/>
      <c r="U52" s="655">
        <v>73810</v>
      </c>
      <c r="V52" s="701">
        <v>73810</v>
      </c>
      <c r="W52" s="666">
        <v>81685.373000000007</v>
      </c>
      <c r="X52" s="655"/>
      <c r="Y52" s="701"/>
      <c r="Z52" s="666"/>
      <c r="AA52" s="655"/>
      <c r="AB52" s="701"/>
      <c r="AC52" s="666"/>
      <c r="AD52" s="655"/>
      <c r="AE52" s="701"/>
      <c r="AF52" s="666"/>
      <c r="AG52" s="655"/>
      <c r="AH52" s="701"/>
      <c r="AI52" s="666"/>
      <c r="AJ52" s="655"/>
      <c r="AK52" s="701"/>
      <c r="AL52" s="666"/>
      <c r="AM52" s="655"/>
      <c r="AN52" s="701"/>
      <c r="AO52" s="666"/>
      <c r="AP52" s="655"/>
      <c r="AQ52" s="701"/>
      <c r="AR52" s="666"/>
      <c r="AS52" s="655"/>
      <c r="AT52" s="701"/>
      <c r="AU52" s="666"/>
      <c r="AV52" s="655">
        <v>267528</v>
      </c>
      <c r="AW52" s="701">
        <v>267528</v>
      </c>
      <c r="AX52" s="666">
        <v>266447.35600000003</v>
      </c>
      <c r="AY52" s="655"/>
      <c r="AZ52" s="701"/>
      <c r="BA52" s="666"/>
      <c r="BB52" s="655"/>
      <c r="BC52" s="701"/>
      <c r="BD52" s="666"/>
      <c r="BE52" s="655"/>
      <c r="BF52" s="701"/>
      <c r="BG52" s="666"/>
      <c r="BH52" s="655">
        <f t="shared" si="107"/>
        <v>341338</v>
      </c>
      <c r="BI52" s="701">
        <f t="shared" si="108"/>
        <v>341338</v>
      </c>
      <c r="BJ52" s="666">
        <f t="shared" si="109"/>
        <v>348132.72900000005</v>
      </c>
      <c r="BK52" s="655"/>
      <c r="BL52" s="701"/>
      <c r="BM52" s="666"/>
      <c r="BN52" s="655"/>
      <c r="BO52" s="701"/>
      <c r="BP52" s="666"/>
      <c r="BQ52" s="655"/>
      <c r="BR52" s="701"/>
      <c r="BS52" s="666"/>
      <c r="BT52" s="655"/>
      <c r="BU52" s="701"/>
      <c r="BV52" s="666"/>
      <c r="BW52" s="655"/>
      <c r="BX52" s="701"/>
      <c r="BY52" s="666"/>
      <c r="BZ52" s="655"/>
      <c r="CA52" s="701"/>
      <c r="CB52" s="666"/>
      <c r="CC52" s="655"/>
      <c r="CD52" s="701"/>
      <c r="CE52" s="666"/>
      <c r="CF52" s="655"/>
      <c r="CG52" s="701"/>
      <c r="CH52" s="666"/>
      <c r="CI52" s="655"/>
      <c r="CJ52" s="701"/>
      <c r="CK52" s="1981"/>
      <c r="CL52" s="658"/>
      <c r="CM52" s="701"/>
      <c r="CN52" s="666"/>
      <c r="CO52" s="658">
        <v>3500</v>
      </c>
      <c r="CP52" s="701">
        <v>3500</v>
      </c>
      <c r="CQ52" s="666">
        <v>3346.107</v>
      </c>
      <c r="CR52" s="655"/>
      <c r="CS52" s="701"/>
      <c r="CT52" s="666"/>
      <c r="CU52" s="658">
        <f>BK52+BN52+BQ52+BT52+BW52+BZ52+CC52+CF52+CI52+CL52+CO52</f>
        <v>3500</v>
      </c>
      <c r="CV52" s="701">
        <f>BL52+BO52+BR52+BU52+BX52+CA52+CD52+CG52+CJ52+CM52+CP52</f>
        <v>3500</v>
      </c>
      <c r="CW52" s="666">
        <f>BM52+BP52+BS52+BV52+BY52+CB52+CE52+CH52+CK52+CN52+CQ52</f>
        <v>3346.107</v>
      </c>
      <c r="CX52" s="658">
        <f t="shared" si="113"/>
        <v>344838</v>
      </c>
      <c r="CY52" s="701">
        <f t="shared" si="114"/>
        <v>344838</v>
      </c>
      <c r="CZ52" s="666">
        <f t="shared" si="115"/>
        <v>351478.83600000007</v>
      </c>
      <c r="DA52" s="655"/>
      <c r="DB52" s="701"/>
      <c r="DC52" s="666"/>
      <c r="DD52" s="655"/>
      <c r="DE52" s="701"/>
      <c r="DF52" s="666"/>
      <c r="DG52" s="655"/>
      <c r="DH52" s="701"/>
      <c r="DI52" s="666"/>
      <c r="DJ52" s="658">
        <f t="shared" si="34"/>
        <v>0</v>
      </c>
      <c r="DK52" s="701">
        <f t="shared" si="39"/>
        <v>0</v>
      </c>
      <c r="DL52" s="666">
        <f t="shared" si="40"/>
        <v>0</v>
      </c>
      <c r="DM52" s="655">
        <v>86966</v>
      </c>
      <c r="DN52" s="701">
        <v>86966</v>
      </c>
      <c r="DO52" s="666">
        <v>92838.47</v>
      </c>
      <c r="DP52" s="655"/>
      <c r="DQ52" s="701"/>
      <c r="DR52" s="666"/>
      <c r="DS52" s="658">
        <f t="shared" si="82"/>
        <v>431804</v>
      </c>
      <c r="DT52" s="701">
        <f t="shared" si="83"/>
        <v>431804</v>
      </c>
      <c r="DU52" s="666">
        <f t="shared" si="84"/>
        <v>444317.3060000001</v>
      </c>
      <c r="DV52" s="717">
        <f t="shared" si="116"/>
        <v>102.89791340515606</v>
      </c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</row>
    <row r="53" spans="1:237" ht="12.75" customHeight="1" x14ac:dyDescent="0.2">
      <c r="A53" s="1691" t="s">
        <v>954</v>
      </c>
      <c r="B53" s="1692" t="s">
        <v>955</v>
      </c>
      <c r="C53" s="658">
        <v>2295</v>
      </c>
      <c r="D53" s="701">
        <v>2295</v>
      </c>
      <c r="E53" s="666">
        <v>1681.569</v>
      </c>
      <c r="F53" s="658">
        <v>168202</v>
      </c>
      <c r="G53" s="701">
        <v>168297</v>
      </c>
      <c r="H53" s="666">
        <v>175484.948</v>
      </c>
      <c r="I53" s="658">
        <v>16046</v>
      </c>
      <c r="J53" s="701">
        <v>20740</v>
      </c>
      <c r="K53" s="666">
        <v>29752.335999999999</v>
      </c>
      <c r="L53" s="658"/>
      <c r="M53" s="701"/>
      <c r="N53" s="666"/>
      <c r="O53" s="658"/>
      <c r="P53" s="701"/>
      <c r="Q53" s="666"/>
      <c r="R53" s="658">
        <v>1234</v>
      </c>
      <c r="S53" s="701">
        <v>1234</v>
      </c>
      <c r="T53" s="666">
        <v>904.95699999999999</v>
      </c>
      <c r="U53" s="658">
        <v>19928</v>
      </c>
      <c r="V53" s="701">
        <v>19928</v>
      </c>
      <c r="W53" s="666">
        <v>22055.032999999999</v>
      </c>
      <c r="X53" s="658">
        <v>459</v>
      </c>
      <c r="Y53" s="701">
        <v>459</v>
      </c>
      <c r="Z53" s="666">
        <v>356.83600000000001</v>
      </c>
      <c r="AA53" s="658"/>
      <c r="AB53" s="701"/>
      <c r="AC53" s="666"/>
      <c r="AD53" s="658"/>
      <c r="AE53" s="701"/>
      <c r="AF53" s="666"/>
      <c r="AG53" s="658">
        <v>88457</v>
      </c>
      <c r="AH53" s="701">
        <v>88457</v>
      </c>
      <c r="AI53" s="666">
        <v>92256.913</v>
      </c>
      <c r="AJ53" s="658"/>
      <c r="AK53" s="701"/>
      <c r="AL53" s="666"/>
      <c r="AM53" s="658"/>
      <c r="AN53" s="701"/>
      <c r="AO53" s="666"/>
      <c r="AP53" s="658"/>
      <c r="AQ53" s="701"/>
      <c r="AR53" s="666"/>
      <c r="AS53" s="658"/>
      <c r="AT53" s="701"/>
      <c r="AU53" s="666"/>
      <c r="AV53" s="658">
        <v>73051</v>
      </c>
      <c r="AW53" s="701">
        <v>73051</v>
      </c>
      <c r="AX53" s="666">
        <v>72521.235000000001</v>
      </c>
      <c r="AY53" s="658"/>
      <c r="AZ53" s="701"/>
      <c r="BA53" s="666"/>
      <c r="BB53" s="658"/>
      <c r="BC53" s="701"/>
      <c r="BD53" s="666"/>
      <c r="BE53" s="658">
        <v>98490</v>
      </c>
      <c r="BF53" s="701">
        <v>100137</v>
      </c>
      <c r="BG53" s="666">
        <v>24869.597000000002</v>
      </c>
      <c r="BH53" s="658">
        <f t="shared" si="107"/>
        <v>468162</v>
      </c>
      <c r="BI53" s="701">
        <f t="shared" si="108"/>
        <v>474598</v>
      </c>
      <c r="BJ53" s="666">
        <f t="shared" si="109"/>
        <v>419883.424</v>
      </c>
      <c r="BK53" s="658"/>
      <c r="BL53" s="701"/>
      <c r="BM53" s="666"/>
      <c r="BN53" s="658"/>
      <c r="BO53" s="701"/>
      <c r="BP53" s="666"/>
      <c r="BQ53" s="658"/>
      <c r="BR53" s="701"/>
      <c r="BS53" s="666"/>
      <c r="BT53" s="658"/>
      <c r="BU53" s="701"/>
      <c r="BV53" s="666"/>
      <c r="BW53" s="658"/>
      <c r="BX53" s="701"/>
      <c r="BY53" s="666"/>
      <c r="BZ53" s="658">
        <v>270</v>
      </c>
      <c r="CA53" s="701">
        <v>270</v>
      </c>
      <c r="CB53" s="666">
        <v>1537.92</v>
      </c>
      <c r="CC53" s="658">
        <v>85</v>
      </c>
      <c r="CD53" s="701">
        <v>85</v>
      </c>
      <c r="CE53" s="666">
        <v>79.403999999999996</v>
      </c>
      <c r="CF53" s="658"/>
      <c r="CG53" s="701"/>
      <c r="CH53" s="666"/>
      <c r="CI53" s="658"/>
      <c r="CJ53" s="701"/>
      <c r="CK53" s="1981"/>
      <c r="CL53" s="658">
        <v>38101</v>
      </c>
      <c r="CM53" s="701">
        <v>38101</v>
      </c>
      <c r="CN53" s="666">
        <v>29537.973000000002</v>
      </c>
      <c r="CO53" s="658">
        <v>27933</v>
      </c>
      <c r="CP53" s="701">
        <v>27933</v>
      </c>
      <c r="CQ53" s="666">
        <v>13852.647999999999</v>
      </c>
      <c r="CR53" s="658"/>
      <c r="CS53" s="701"/>
      <c r="CT53" s="666"/>
      <c r="CU53" s="658">
        <f t="shared" ref="CU53:CU59" si="117">BK53+BN53+BQ53+BT53+BW53+BZ53+CC53+CF53+CI53+CL53+CO53</f>
        <v>66389</v>
      </c>
      <c r="CV53" s="701">
        <f t="shared" ref="CV53:CW59" si="118">BL53+BO53+BR53+BU53+BX53+CA53+CD53+CG53+CJ53+CM53+CP53</f>
        <v>66389</v>
      </c>
      <c r="CW53" s="666">
        <f t="shared" si="118"/>
        <v>45007.945</v>
      </c>
      <c r="CX53" s="658">
        <f t="shared" si="113"/>
        <v>534551</v>
      </c>
      <c r="CY53" s="701">
        <f t="shared" si="114"/>
        <v>540987</v>
      </c>
      <c r="CZ53" s="666">
        <f t="shared" si="115"/>
        <v>464891.36900000001</v>
      </c>
      <c r="DA53" s="658">
        <v>378</v>
      </c>
      <c r="DB53" s="701">
        <v>41</v>
      </c>
      <c r="DC53" s="666">
        <v>40.732999999999997</v>
      </c>
      <c r="DD53" s="658"/>
      <c r="DE53" s="701"/>
      <c r="DF53" s="666"/>
      <c r="DG53" s="658">
        <v>1634</v>
      </c>
      <c r="DH53" s="701">
        <v>1851</v>
      </c>
      <c r="DI53" s="666">
        <v>1850.8779999999999</v>
      </c>
      <c r="DJ53" s="658">
        <f t="shared" si="34"/>
        <v>2012</v>
      </c>
      <c r="DK53" s="701">
        <f t="shared" si="39"/>
        <v>1892</v>
      </c>
      <c r="DL53" s="666">
        <f t="shared" si="40"/>
        <v>1891.6109999999999</v>
      </c>
      <c r="DM53" s="658">
        <v>12605</v>
      </c>
      <c r="DN53" s="701">
        <v>12605</v>
      </c>
      <c r="DO53" s="666">
        <v>12065.625</v>
      </c>
      <c r="DP53" s="658">
        <v>9198.4459999999999</v>
      </c>
      <c r="DQ53" s="701">
        <v>9185.7219999999998</v>
      </c>
      <c r="DR53" s="666">
        <v>8778.9349999999995</v>
      </c>
      <c r="DS53" s="658">
        <f t="shared" si="82"/>
        <v>558366.446</v>
      </c>
      <c r="DT53" s="701">
        <f t="shared" si="83"/>
        <v>564669.72199999995</v>
      </c>
      <c r="DU53" s="666">
        <f t="shared" si="84"/>
        <v>487627.54</v>
      </c>
      <c r="DV53" s="717">
        <f t="shared" si="116"/>
        <v>86.356239940203494</v>
      </c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</row>
    <row r="54" spans="1:237" ht="12.75" customHeight="1" x14ac:dyDescent="0.2">
      <c r="A54" s="1691" t="s">
        <v>956</v>
      </c>
      <c r="B54" s="1692" t="s">
        <v>957</v>
      </c>
      <c r="C54" s="658"/>
      <c r="D54" s="701"/>
      <c r="E54" s="666"/>
      <c r="F54" s="658"/>
      <c r="G54" s="701"/>
      <c r="H54" s="666"/>
      <c r="I54" s="658"/>
      <c r="J54" s="701"/>
      <c r="K54" s="666"/>
      <c r="L54" s="658"/>
      <c r="M54" s="701"/>
      <c r="N54" s="666"/>
      <c r="O54" s="658"/>
      <c r="P54" s="701"/>
      <c r="Q54" s="666"/>
      <c r="R54" s="658"/>
      <c r="S54" s="701"/>
      <c r="T54" s="666"/>
      <c r="U54" s="658"/>
      <c r="V54" s="701"/>
      <c r="W54" s="666"/>
      <c r="X54" s="658"/>
      <c r="Y54" s="701"/>
      <c r="Z54" s="666"/>
      <c r="AA54" s="658"/>
      <c r="AB54" s="701"/>
      <c r="AC54" s="666"/>
      <c r="AD54" s="658"/>
      <c r="AE54" s="701"/>
      <c r="AF54" s="666"/>
      <c r="AG54" s="658"/>
      <c r="AH54" s="701"/>
      <c r="AI54" s="666"/>
      <c r="AJ54" s="658"/>
      <c r="AK54" s="701"/>
      <c r="AL54" s="666"/>
      <c r="AM54" s="658"/>
      <c r="AN54" s="701"/>
      <c r="AO54" s="666"/>
      <c r="AP54" s="658"/>
      <c r="AQ54" s="701"/>
      <c r="AR54" s="666"/>
      <c r="AS54" s="658"/>
      <c r="AT54" s="701"/>
      <c r="AU54" s="666"/>
      <c r="AV54" s="658"/>
      <c r="AW54" s="701"/>
      <c r="AX54" s="666"/>
      <c r="AY54" s="658"/>
      <c r="AZ54" s="701"/>
      <c r="BA54" s="666"/>
      <c r="BB54" s="658"/>
      <c r="BC54" s="701"/>
      <c r="BD54" s="666"/>
      <c r="BE54" s="658"/>
      <c r="BF54" s="701"/>
      <c r="BG54" s="666"/>
      <c r="BH54" s="658">
        <f t="shared" si="107"/>
        <v>0</v>
      </c>
      <c r="BI54" s="701">
        <f t="shared" si="108"/>
        <v>0</v>
      </c>
      <c r="BJ54" s="666">
        <f t="shared" si="109"/>
        <v>0</v>
      </c>
      <c r="BK54" s="658"/>
      <c r="BL54" s="701"/>
      <c r="BM54" s="666"/>
      <c r="BN54" s="658"/>
      <c r="BO54" s="701"/>
      <c r="BP54" s="666"/>
      <c r="BQ54" s="658"/>
      <c r="BR54" s="701"/>
      <c r="BS54" s="666"/>
      <c r="BT54" s="658"/>
      <c r="BU54" s="701"/>
      <c r="BV54" s="666"/>
      <c r="BW54" s="658"/>
      <c r="BX54" s="701"/>
      <c r="BY54" s="666"/>
      <c r="BZ54" s="658"/>
      <c r="CA54" s="701"/>
      <c r="CB54" s="666"/>
      <c r="CC54" s="658"/>
      <c r="CD54" s="701"/>
      <c r="CE54" s="666"/>
      <c r="CF54" s="658"/>
      <c r="CG54" s="701"/>
      <c r="CH54" s="666"/>
      <c r="CI54" s="658"/>
      <c r="CJ54" s="701"/>
      <c r="CK54" s="1981"/>
      <c r="CL54" s="658"/>
      <c r="CM54" s="701"/>
      <c r="CN54" s="666"/>
      <c r="CO54" s="658"/>
      <c r="CP54" s="701"/>
      <c r="CQ54" s="666"/>
      <c r="CR54" s="658"/>
      <c r="CS54" s="701"/>
      <c r="CT54" s="666"/>
      <c r="CU54" s="658">
        <f t="shared" si="117"/>
        <v>0</v>
      </c>
      <c r="CV54" s="701">
        <f t="shared" si="118"/>
        <v>0</v>
      </c>
      <c r="CW54" s="666">
        <f t="shared" si="118"/>
        <v>0</v>
      </c>
      <c r="CX54" s="658">
        <f t="shared" si="113"/>
        <v>0</v>
      </c>
      <c r="CY54" s="701">
        <f t="shared" si="114"/>
        <v>0</v>
      </c>
      <c r="CZ54" s="666">
        <f t="shared" si="115"/>
        <v>0</v>
      </c>
      <c r="DA54" s="658"/>
      <c r="DB54" s="701"/>
      <c r="DC54" s="666"/>
      <c r="DD54" s="658"/>
      <c r="DE54" s="701"/>
      <c r="DF54" s="666"/>
      <c r="DG54" s="658"/>
      <c r="DH54" s="701"/>
      <c r="DI54" s="666"/>
      <c r="DJ54" s="658">
        <f t="shared" si="34"/>
        <v>0</v>
      </c>
      <c r="DK54" s="701">
        <f t="shared" si="39"/>
        <v>0</v>
      </c>
      <c r="DL54" s="666">
        <f t="shared" si="40"/>
        <v>0</v>
      </c>
      <c r="DM54" s="658">
        <v>5000</v>
      </c>
      <c r="DN54" s="701">
        <v>5000</v>
      </c>
      <c r="DO54" s="666">
        <v>3079</v>
      </c>
      <c r="DP54" s="658"/>
      <c r="DQ54" s="701"/>
      <c r="DR54" s="666"/>
      <c r="DS54" s="658">
        <f t="shared" si="82"/>
        <v>5000</v>
      </c>
      <c r="DT54" s="701">
        <f t="shared" si="83"/>
        <v>5000</v>
      </c>
      <c r="DU54" s="666">
        <f t="shared" si="84"/>
        <v>3079</v>
      </c>
      <c r="DV54" s="717">
        <f t="shared" si="116"/>
        <v>61.58</v>
      </c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</row>
    <row r="55" spans="1:237" ht="12.75" customHeight="1" x14ac:dyDescent="0.2">
      <c r="A55" s="1691" t="s">
        <v>958</v>
      </c>
      <c r="B55" s="1692" t="s">
        <v>959</v>
      </c>
      <c r="C55" s="658"/>
      <c r="D55" s="701"/>
      <c r="E55" s="666"/>
      <c r="F55" s="658">
        <v>180</v>
      </c>
      <c r="G55" s="701">
        <v>180</v>
      </c>
      <c r="H55" s="666">
        <v>187.98099999999999</v>
      </c>
      <c r="I55" s="658"/>
      <c r="J55" s="701"/>
      <c r="K55" s="666"/>
      <c r="L55" s="658"/>
      <c r="M55" s="701"/>
      <c r="N55" s="666"/>
      <c r="O55" s="658"/>
      <c r="P55" s="701"/>
      <c r="Q55" s="666"/>
      <c r="R55" s="658"/>
      <c r="S55" s="701"/>
      <c r="T55" s="666"/>
      <c r="U55" s="658"/>
      <c r="V55" s="701"/>
      <c r="W55" s="666"/>
      <c r="X55" s="658"/>
      <c r="Y55" s="701"/>
      <c r="Z55" s="666"/>
      <c r="AA55" s="658"/>
      <c r="AB55" s="701"/>
      <c r="AC55" s="666"/>
      <c r="AD55" s="658"/>
      <c r="AE55" s="701"/>
      <c r="AF55" s="666"/>
      <c r="AG55" s="658">
        <v>16100</v>
      </c>
      <c r="AH55" s="701">
        <v>16100</v>
      </c>
      <c r="AI55" s="666">
        <v>12329.857</v>
      </c>
      <c r="AJ55" s="658"/>
      <c r="AK55" s="701"/>
      <c r="AL55" s="666"/>
      <c r="AM55" s="658"/>
      <c r="AN55" s="701"/>
      <c r="AO55" s="666"/>
      <c r="AP55" s="658"/>
      <c r="AQ55" s="701"/>
      <c r="AR55" s="666"/>
      <c r="AS55" s="658"/>
      <c r="AT55" s="701"/>
      <c r="AU55" s="666"/>
      <c r="AV55" s="658"/>
      <c r="AW55" s="701"/>
      <c r="AX55" s="666"/>
      <c r="AY55" s="658"/>
      <c r="AZ55" s="701"/>
      <c r="BA55" s="666"/>
      <c r="BB55" s="658"/>
      <c r="BC55" s="701"/>
      <c r="BD55" s="666">
        <v>80.45</v>
      </c>
      <c r="BE55" s="658">
        <v>99600</v>
      </c>
      <c r="BF55" s="701">
        <v>104548</v>
      </c>
      <c r="BG55" s="666">
        <v>135723.82500000001</v>
      </c>
      <c r="BH55" s="658">
        <f t="shared" si="107"/>
        <v>115880</v>
      </c>
      <c r="BI55" s="701">
        <f t="shared" si="108"/>
        <v>120828</v>
      </c>
      <c r="BJ55" s="666">
        <f t="shared" si="109"/>
        <v>148322.11300000001</v>
      </c>
      <c r="BK55" s="658"/>
      <c r="BL55" s="701"/>
      <c r="BM55" s="666"/>
      <c r="BN55" s="658"/>
      <c r="BO55" s="701"/>
      <c r="BP55" s="666"/>
      <c r="BQ55" s="658"/>
      <c r="BR55" s="701"/>
      <c r="BS55" s="666"/>
      <c r="BT55" s="658"/>
      <c r="BU55" s="701"/>
      <c r="BV55" s="666"/>
      <c r="BW55" s="658"/>
      <c r="BX55" s="701"/>
      <c r="BY55" s="666"/>
      <c r="BZ55" s="658"/>
      <c r="CA55" s="701"/>
      <c r="CB55" s="666"/>
      <c r="CC55" s="658"/>
      <c r="CD55" s="701"/>
      <c r="CE55" s="666"/>
      <c r="CF55" s="658"/>
      <c r="CG55" s="701"/>
      <c r="CH55" s="666"/>
      <c r="CI55" s="658"/>
      <c r="CJ55" s="701"/>
      <c r="CK55" s="1981"/>
      <c r="CL55" s="658"/>
      <c r="CM55" s="701"/>
      <c r="CN55" s="666"/>
      <c r="CO55" s="658"/>
      <c r="CP55" s="701"/>
      <c r="CQ55" s="666"/>
      <c r="CR55" s="658"/>
      <c r="CS55" s="701"/>
      <c r="CT55" s="666"/>
      <c r="CU55" s="658">
        <f t="shared" si="117"/>
        <v>0</v>
      </c>
      <c r="CV55" s="701">
        <f t="shared" si="118"/>
        <v>0</v>
      </c>
      <c r="CW55" s="666">
        <f t="shared" si="118"/>
        <v>0</v>
      </c>
      <c r="CX55" s="658">
        <f t="shared" si="113"/>
        <v>115880</v>
      </c>
      <c r="CY55" s="701">
        <f t="shared" si="114"/>
        <v>120828</v>
      </c>
      <c r="CZ55" s="666">
        <f t="shared" si="115"/>
        <v>148322.11300000001</v>
      </c>
      <c r="DA55" s="658"/>
      <c r="DB55" s="701"/>
      <c r="DC55" s="666"/>
      <c r="DD55" s="658"/>
      <c r="DE55" s="701"/>
      <c r="DF55" s="666"/>
      <c r="DG55" s="658">
        <v>50</v>
      </c>
      <c r="DH55" s="701">
        <v>73</v>
      </c>
      <c r="DI55" s="666">
        <v>73.709999999999994</v>
      </c>
      <c r="DJ55" s="658">
        <f t="shared" si="34"/>
        <v>50</v>
      </c>
      <c r="DK55" s="701">
        <f t="shared" si="39"/>
        <v>73</v>
      </c>
      <c r="DL55" s="666">
        <f t="shared" si="40"/>
        <v>73.709999999999994</v>
      </c>
      <c r="DM55" s="658"/>
      <c r="DN55" s="701">
        <v>1.4650000000000001</v>
      </c>
      <c r="DO55" s="666">
        <v>31.273</v>
      </c>
      <c r="DP55" s="658"/>
      <c r="DQ55" s="701">
        <v>31.768000000000001</v>
      </c>
      <c r="DR55" s="666">
        <v>31.768000000000001</v>
      </c>
      <c r="DS55" s="658">
        <f t="shared" si="82"/>
        <v>115930</v>
      </c>
      <c r="DT55" s="701">
        <f t="shared" si="83"/>
        <v>120934.23299999999</v>
      </c>
      <c r="DU55" s="666">
        <f t="shared" si="84"/>
        <v>148458.864</v>
      </c>
      <c r="DV55" s="717">
        <f t="shared" si="116"/>
        <v>122.75999964377333</v>
      </c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</row>
    <row r="56" spans="1:237" ht="12.75" customHeight="1" x14ac:dyDescent="0.2">
      <c r="A56" s="1691" t="s">
        <v>960</v>
      </c>
      <c r="B56" s="1692" t="s">
        <v>961</v>
      </c>
      <c r="C56" s="658"/>
      <c r="D56" s="701"/>
      <c r="E56" s="666"/>
      <c r="F56" s="658"/>
      <c r="G56" s="701"/>
      <c r="H56" s="666"/>
      <c r="I56" s="658"/>
      <c r="J56" s="701"/>
      <c r="K56" s="666"/>
      <c r="L56" s="658"/>
      <c r="M56" s="701"/>
      <c r="N56" s="666"/>
      <c r="O56" s="658"/>
      <c r="P56" s="701"/>
      <c r="Q56" s="666"/>
      <c r="R56" s="658"/>
      <c r="S56" s="701"/>
      <c r="T56" s="666"/>
      <c r="U56" s="658"/>
      <c r="V56" s="701"/>
      <c r="W56" s="666"/>
      <c r="X56" s="658"/>
      <c r="Y56" s="701"/>
      <c r="Z56" s="666"/>
      <c r="AA56" s="658"/>
      <c r="AB56" s="701"/>
      <c r="AC56" s="666"/>
      <c r="AD56" s="658"/>
      <c r="AE56" s="701"/>
      <c r="AF56" s="666"/>
      <c r="AG56" s="658"/>
      <c r="AH56" s="701"/>
      <c r="AI56" s="666"/>
      <c r="AJ56" s="658"/>
      <c r="AK56" s="701"/>
      <c r="AL56" s="666"/>
      <c r="AM56" s="658"/>
      <c r="AN56" s="701"/>
      <c r="AO56" s="666"/>
      <c r="AP56" s="658"/>
      <c r="AQ56" s="701"/>
      <c r="AR56" s="666"/>
      <c r="AS56" s="658"/>
      <c r="AT56" s="701"/>
      <c r="AU56" s="666"/>
      <c r="AV56" s="658"/>
      <c r="AW56" s="701"/>
      <c r="AX56" s="666"/>
      <c r="AY56" s="658"/>
      <c r="AZ56" s="701"/>
      <c r="BA56" s="666"/>
      <c r="BB56" s="658"/>
      <c r="BC56" s="701"/>
      <c r="BD56" s="666"/>
      <c r="BE56" s="658"/>
      <c r="BF56" s="701"/>
      <c r="BG56" s="666"/>
      <c r="BH56" s="658">
        <f t="shared" si="107"/>
        <v>0</v>
      </c>
      <c r="BI56" s="701">
        <f t="shared" si="108"/>
        <v>0</v>
      </c>
      <c r="BJ56" s="666">
        <f t="shared" si="109"/>
        <v>0</v>
      </c>
      <c r="BK56" s="658"/>
      <c r="BL56" s="701"/>
      <c r="BM56" s="666"/>
      <c r="BN56" s="658"/>
      <c r="BO56" s="701"/>
      <c r="BP56" s="666"/>
      <c r="BQ56" s="658"/>
      <c r="BR56" s="701"/>
      <c r="BS56" s="666"/>
      <c r="BT56" s="658"/>
      <c r="BU56" s="701"/>
      <c r="BV56" s="666"/>
      <c r="BW56" s="658"/>
      <c r="BX56" s="701"/>
      <c r="BY56" s="666"/>
      <c r="BZ56" s="658"/>
      <c r="CA56" s="701"/>
      <c r="CB56" s="666"/>
      <c r="CC56" s="658"/>
      <c r="CD56" s="701"/>
      <c r="CE56" s="666"/>
      <c r="CF56" s="658"/>
      <c r="CG56" s="701"/>
      <c r="CH56" s="666"/>
      <c r="CI56" s="658"/>
      <c r="CJ56" s="701"/>
      <c r="CK56" s="1981"/>
      <c r="CL56" s="658"/>
      <c r="CM56" s="701"/>
      <c r="CN56" s="666"/>
      <c r="CO56" s="658"/>
      <c r="CP56" s="701"/>
      <c r="CQ56" s="666"/>
      <c r="CR56" s="658"/>
      <c r="CS56" s="701"/>
      <c r="CT56" s="666"/>
      <c r="CU56" s="658">
        <f t="shared" si="117"/>
        <v>0</v>
      </c>
      <c r="CV56" s="701">
        <f t="shared" si="118"/>
        <v>0</v>
      </c>
      <c r="CW56" s="666">
        <f t="shared" si="118"/>
        <v>0</v>
      </c>
      <c r="CX56" s="658">
        <f t="shared" si="113"/>
        <v>0</v>
      </c>
      <c r="CY56" s="701">
        <f t="shared" si="114"/>
        <v>0</v>
      </c>
      <c r="CZ56" s="666">
        <f t="shared" si="115"/>
        <v>0</v>
      </c>
      <c r="DA56" s="658"/>
      <c r="DB56" s="701"/>
      <c r="DC56" s="666"/>
      <c r="DD56" s="658"/>
      <c r="DE56" s="701"/>
      <c r="DF56" s="666"/>
      <c r="DG56" s="1805"/>
      <c r="DH56" s="701"/>
      <c r="DI56" s="666"/>
      <c r="DJ56" s="658">
        <f t="shared" si="34"/>
        <v>0</v>
      </c>
      <c r="DK56" s="701">
        <f t="shared" si="39"/>
        <v>0</v>
      </c>
      <c r="DL56" s="666">
        <f t="shared" si="40"/>
        <v>0</v>
      </c>
      <c r="DM56" s="658"/>
      <c r="DN56" s="701"/>
      <c r="DO56" s="666"/>
      <c r="DP56" s="658"/>
      <c r="DQ56" s="701"/>
      <c r="DR56" s="666"/>
      <c r="DS56" s="658">
        <f t="shared" si="82"/>
        <v>0</v>
      </c>
      <c r="DT56" s="701">
        <f t="shared" si="83"/>
        <v>0</v>
      </c>
      <c r="DU56" s="666">
        <f t="shared" si="84"/>
        <v>0</v>
      </c>
      <c r="DV56" s="717">
        <v>0</v>
      </c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</row>
    <row r="57" spans="1:237" ht="12.75" customHeight="1" x14ac:dyDescent="0.2">
      <c r="A57" s="1691" t="s">
        <v>962</v>
      </c>
      <c r="B57" s="1692" t="s">
        <v>1094</v>
      </c>
      <c r="C57" s="658"/>
      <c r="D57" s="701"/>
      <c r="E57" s="666"/>
      <c r="F57" s="658"/>
      <c r="G57" s="701"/>
      <c r="H57" s="666"/>
      <c r="I57" s="658"/>
      <c r="J57" s="701"/>
      <c r="K57" s="666"/>
      <c r="L57" s="658"/>
      <c r="M57" s="701"/>
      <c r="N57" s="666"/>
      <c r="O57" s="658"/>
      <c r="P57" s="701"/>
      <c r="Q57" s="666"/>
      <c r="R57" s="658"/>
      <c r="S57" s="701"/>
      <c r="T57" s="666"/>
      <c r="U57" s="658"/>
      <c r="V57" s="701"/>
      <c r="W57" s="666"/>
      <c r="X57" s="658"/>
      <c r="Y57" s="701"/>
      <c r="Z57" s="666"/>
      <c r="AA57" s="658"/>
      <c r="AB57" s="701"/>
      <c r="AC57" s="666"/>
      <c r="AD57" s="658"/>
      <c r="AE57" s="701"/>
      <c r="AF57" s="666"/>
      <c r="AG57" s="658"/>
      <c r="AH57" s="701"/>
      <c r="AI57" s="666"/>
      <c r="AJ57" s="658"/>
      <c r="AK57" s="701"/>
      <c r="AL57" s="666"/>
      <c r="AM57" s="658"/>
      <c r="AN57" s="701"/>
      <c r="AO57" s="666"/>
      <c r="AP57" s="658"/>
      <c r="AQ57" s="701"/>
      <c r="AR57" s="666"/>
      <c r="AS57" s="658"/>
      <c r="AT57" s="701"/>
      <c r="AU57" s="666"/>
      <c r="AV57" s="658"/>
      <c r="AW57" s="701"/>
      <c r="AX57" s="666"/>
      <c r="AY57" s="658"/>
      <c r="AZ57" s="701"/>
      <c r="BA57" s="666"/>
      <c r="BB57" s="658"/>
      <c r="BC57" s="701"/>
      <c r="BD57" s="666"/>
      <c r="BE57" s="658">
        <v>661</v>
      </c>
      <c r="BF57" s="701">
        <v>4416.6350000000002</v>
      </c>
      <c r="BG57" s="666">
        <v>9141.009</v>
      </c>
      <c r="BH57" s="658">
        <f t="shared" si="107"/>
        <v>661</v>
      </c>
      <c r="BI57" s="701">
        <f t="shared" si="108"/>
        <v>4416.6350000000002</v>
      </c>
      <c r="BJ57" s="666">
        <f t="shared" si="109"/>
        <v>9141.009</v>
      </c>
      <c r="BK57" s="658"/>
      <c r="BL57" s="701"/>
      <c r="BM57" s="666"/>
      <c r="BN57" s="658"/>
      <c r="BO57" s="701"/>
      <c r="BP57" s="666"/>
      <c r="BQ57" s="658"/>
      <c r="BR57" s="701"/>
      <c r="BS57" s="666"/>
      <c r="BT57" s="658"/>
      <c r="BU57" s="701"/>
      <c r="BV57" s="666"/>
      <c r="BW57" s="658"/>
      <c r="BX57" s="701"/>
      <c r="BY57" s="666"/>
      <c r="BZ57" s="658"/>
      <c r="CA57" s="701"/>
      <c r="CB57" s="666"/>
      <c r="CC57" s="658"/>
      <c r="CD57" s="701"/>
      <c r="CE57" s="666"/>
      <c r="CF57" s="658"/>
      <c r="CG57" s="701"/>
      <c r="CH57" s="666"/>
      <c r="CI57" s="658"/>
      <c r="CJ57" s="701"/>
      <c r="CK57" s="1981"/>
      <c r="CL57" s="658"/>
      <c r="CM57" s="701"/>
      <c r="CN57" s="666"/>
      <c r="CO57" s="658"/>
      <c r="CP57" s="701"/>
      <c r="CQ57" s="666"/>
      <c r="CR57" s="658"/>
      <c r="CS57" s="701"/>
      <c r="CT57" s="666"/>
      <c r="CU57" s="658">
        <f t="shared" si="117"/>
        <v>0</v>
      </c>
      <c r="CV57" s="701">
        <f t="shared" si="118"/>
        <v>0</v>
      </c>
      <c r="CW57" s="666">
        <f t="shared" si="118"/>
        <v>0</v>
      </c>
      <c r="CX57" s="658">
        <f t="shared" si="113"/>
        <v>661</v>
      </c>
      <c r="CY57" s="701">
        <f>BI57+CV57</f>
        <v>4416.6350000000002</v>
      </c>
      <c r="CZ57" s="666">
        <f>BJ57+CW57</f>
        <v>9141.009</v>
      </c>
      <c r="DA57" s="658"/>
      <c r="DB57" s="701"/>
      <c r="DC57" s="666"/>
      <c r="DD57" s="658"/>
      <c r="DE57" s="701"/>
      <c r="DF57" s="666"/>
      <c r="DG57" s="1805"/>
      <c r="DH57" s="701">
        <v>200</v>
      </c>
      <c r="DI57" s="666">
        <v>200.184</v>
      </c>
      <c r="DJ57" s="658">
        <f t="shared" si="34"/>
        <v>0</v>
      </c>
      <c r="DK57" s="701">
        <f t="shared" si="39"/>
        <v>200</v>
      </c>
      <c r="DL57" s="666">
        <f t="shared" si="40"/>
        <v>200.184</v>
      </c>
      <c r="DM57" s="658"/>
      <c r="DN57" s="701">
        <v>339.5</v>
      </c>
      <c r="DO57" s="666">
        <v>1029.835</v>
      </c>
      <c r="DP57" s="658"/>
      <c r="DQ57" s="701"/>
      <c r="DR57" s="666"/>
      <c r="DS57" s="658">
        <f t="shared" si="82"/>
        <v>661</v>
      </c>
      <c r="DT57" s="701">
        <f t="shared" si="83"/>
        <v>4956.1350000000002</v>
      </c>
      <c r="DU57" s="666">
        <f t="shared" si="84"/>
        <v>10371.027999999998</v>
      </c>
      <c r="DV57" s="717">
        <f t="shared" si="116"/>
        <v>209.25636609979344</v>
      </c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</row>
    <row r="58" spans="1:237" ht="12.75" customHeight="1" x14ac:dyDescent="0.2">
      <c r="A58" s="1691" t="s">
        <v>1095</v>
      </c>
      <c r="B58" s="1692" t="s">
        <v>963</v>
      </c>
      <c r="C58" s="1406">
        <v>1500</v>
      </c>
      <c r="D58" s="1750">
        <v>1500</v>
      </c>
      <c r="E58" s="1751"/>
      <c r="F58" s="1717"/>
      <c r="G58" s="1718"/>
      <c r="H58" s="1751">
        <v>10.815</v>
      </c>
      <c r="I58" s="1717"/>
      <c r="J58" s="1718"/>
      <c r="K58" s="1719"/>
      <c r="L58" s="1717"/>
      <c r="M58" s="1718"/>
      <c r="N58" s="1719"/>
      <c r="O58" s="1717"/>
      <c r="P58" s="1718"/>
      <c r="Q58" s="1719"/>
      <c r="R58" s="1717"/>
      <c r="S58" s="1718"/>
      <c r="T58" s="1719"/>
      <c r="U58" s="1717"/>
      <c r="V58" s="1718"/>
      <c r="W58" s="1719"/>
      <c r="X58" s="1717"/>
      <c r="Y58" s="1750">
        <v>494.53</v>
      </c>
      <c r="Z58" s="1751">
        <v>86</v>
      </c>
      <c r="AA58" s="1717"/>
      <c r="AB58" s="1718"/>
      <c r="AC58" s="1719"/>
      <c r="AD58" s="1717"/>
      <c r="AE58" s="1750"/>
      <c r="AF58" s="1751"/>
      <c r="AG58" s="1406">
        <v>10300</v>
      </c>
      <c r="AH58" s="1750">
        <v>11630</v>
      </c>
      <c r="AI58" s="1751">
        <v>13285.93</v>
      </c>
      <c r="AJ58" s="1406"/>
      <c r="AK58" s="1750"/>
      <c r="AL58" s="1751"/>
      <c r="AM58" s="1406"/>
      <c r="AN58" s="1750"/>
      <c r="AO58" s="1751"/>
      <c r="AP58" s="1406"/>
      <c r="AQ58" s="1750"/>
      <c r="AR58" s="1719"/>
      <c r="AS58" s="1717"/>
      <c r="AT58" s="1718"/>
      <c r="AU58" s="1719"/>
      <c r="AV58" s="1717"/>
      <c r="AW58" s="1718"/>
      <c r="AX58" s="1751"/>
      <c r="AY58" s="1717"/>
      <c r="AZ58" s="1750">
        <v>267</v>
      </c>
      <c r="BA58" s="1751">
        <v>289.80200000000002</v>
      </c>
      <c r="BB58" s="1717"/>
      <c r="BC58" s="1750"/>
      <c r="BD58" s="1751">
        <v>0.04</v>
      </c>
      <c r="BE58" s="1406"/>
      <c r="BF58" s="1750">
        <v>4260</v>
      </c>
      <c r="BG58" s="1751">
        <v>8797.5</v>
      </c>
      <c r="BH58" s="1753">
        <f t="shared" si="107"/>
        <v>11800</v>
      </c>
      <c r="BI58" s="698">
        <f t="shared" si="108"/>
        <v>18151.53</v>
      </c>
      <c r="BJ58" s="663">
        <f t="shared" si="109"/>
        <v>22470.087</v>
      </c>
      <c r="BK58" s="1717"/>
      <c r="BL58" s="1718"/>
      <c r="BM58" s="1719"/>
      <c r="BN58" s="1717"/>
      <c r="BO58" s="1718"/>
      <c r="BP58" s="1719"/>
      <c r="BQ58" s="1717"/>
      <c r="BR58" s="1718"/>
      <c r="BS58" s="1719"/>
      <c r="BT58" s="1717"/>
      <c r="BU58" s="1718"/>
      <c r="BV58" s="1719"/>
      <c r="BW58" s="1717"/>
      <c r="BX58" s="1718"/>
      <c r="BY58" s="1719"/>
      <c r="BZ58" s="1406">
        <v>1000</v>
      </c>
      <c r="CA58" s="1750">
        <v>1000</v>
      </c>
      <c r="CB58" s="1751">
        <v>5840.165</v>
      </c>
      <c r="CC58" s="1406">
        <v>315.31799999999998</v>
      </c>
      <c r="CD58" s="1750">
        <v>315.31799999999998</v>
      </c>
      <c r="CE58" s="1751">
        <v>986.25900000000001</v>
      </c>
      <c r="CF58" s="1717"/>
      <c r="CG58" s="1718"/>
      <c r="CH58" s="1719"/>
      <c r="CI58" s="1717"/>
      <c r="CJ58" s="1718"/>
      <c r="CK58" s="1983"/>
      <c r="CL58" s="1717"/>
      <c r="CM58" s="1718"/>
      <c r="CN58" s="1719"/>
      <c r="CO58" s="1717"/>
      <c r="CP58" s="1718"/>
      <c r="CQ58" s="1719"/>
      <c r="CR58" s="1717"/>
      <c r="CS58" s="1718"/>
      <c r="CT58" s="1719"/>
      <c r="CU58" s="1406">
        <f t="shared" si="117"/>
        <v>1315.318</v>
      </c>
      <c r="CV58" s="1750">
        <f t="shared" si="118"/>
        <v>1315.318</v>
      </c>
      <c r="CW58" s="1751">
        <f t="shared" si="118"/>
        <v>6826.424</v>
      </c>
      <c r="CX58" s="1406">
        <f t="shared" si="113"/>
        <v>13115.317999999999</v>
      </c>
      <c r="CY58" s="1750">
        <f t="shared" si="114"/>
        <v>19466.847999999998</v>
      </c>
      <c r="CZ58" s="1751">
        <f t="shared" si="115"/>
        <v>29296.510999999999</v>
      </c>
      <c r="DA58" s="1773"/>
      <c r="DB58" s="1750"/>
      <c r="DC58" s="1751"/>
      <c r="DD58" s="1717"/>
      <c r="DE58" s="1718"/>
      <c r="DF58" s="1719"/>
      <c r="DG58" s="1406">
        <v>520</v>
      </c>
      <c r="DH58" s="1750">
        <v>1262</v>
      </c>
      <c r="DI58" s="1751">
        <v>1261.373</v>
      </c>
      <c r="DJ58" s="1406">
        <f t="shared" si="34"/>
        <v>520</v>
      </c>
      <c r="DK58" s="1750">
        <f t="shared" si="39"/>
        <v>1262</v>
      </c>
      <c r="DL58" s="1751">
        <f t="shared" si="40"/>
        <v>1261.373</v>
      </c>
      <c r="DM58" s="1406"/>
      <c r="DN58" s="1750">
        <v>269.60199999999998</v>
      </c>
      <c r="DO58" s="1751">
        <v>3141.306</v>
      </c>
      <c r="DP58" s="1406">
        <v>1482.703</v>
      </c>
      <c r="DQ58" s="1750">
        <v>13514.386</v>
      </c>
      <c r="DR58" s="1751">
        <v>13514.386</v>
      </c>
      <c r="DS58" s="1406">
        <f t="shared" si="82"/>
        <v>15118.020999999999</v>
      </c>
      <c r="DT58" s="1750">
        <f t="shared" si="83"/>
        <v>34512.835999999996</v>
      </c>
      <c r="DU58" s="1751">
        <f t="shared" si="84"/>
        <v>47213.575999999994</v>
      </c>
      <c r="DV58" s="1814">
        <f>DU58/DT58*100</f>
        <v>136.80004737947354</v>
      </c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</row>
    <row r="59" spans="1:237" ht="15" customHeight="1" x14ac:dyDescent="0.2">
      <c r="A59" s="1689" t="s">
        <v>118</v>
      </c>
      <c r="B59" s="1690" t="s">
        <v>981</v>
      </c>
      <c r="C59" s="654"/>
      <c r="D59" s="697"/>
      <c r="E59" s="662"/>
      <c r="F59" s="654"/>
      <c r="G59" s="697"/>
      <c r="H59" s="662"/>
      <c r="I59" s="654"/>
      <c r="J59" s="697"/>
      <c r="K59" s="662"/>
      <c r="L59" s="654"/>
      <c r="M59" s="697"/>
      <c r="N59" s="662"/>
      <c r="O59" s="654"/>
      <c r="P59" s="697"/>
      <c r="Q59" s="662"/>
      <c r="R59" s="654"/>
      <c r="S59" s="697"/>
      <c r="T59" s="662"/>
      <c r="U59" s="654"/>
      <c r="V59" s="697"/>
      <c r="W59" s="662"/>
      <c r="X59" s="654"/>
      <c r="Y59" s="697"/>
      <c r="Z59" s="662"/>
      <c r="AA59" s="654"/>
      <c r="AB59" s="697"/>
      <c r="AC59" s="662"/>
      <c r="AD59" s="654"/>
      <c r="AE59" s="697"/>
      <c r="AF59" s="662"/>
      <c r="AG59" s="654"/>
      <c r="AH59" s="697">
        <v>478</v>
      </c>
      <c r="AI59" s="662">
        <v>477.5</v>
      </c>
      <c r="AJ59" s="654"/>
      <c r="AK59" s="697"/>
      <c r="AL59" s="662"/>
      <c r="AM59" s="654"/>
      <c r="AN59" s="697"/>
      <c r="AO59" s="662"/>
      <c r="AP59" s="654"/>
      <c r="AQ59" s="697"/>
      <c r="AR59" s="662"/>
      <c r="AS59" s="654"/>
      <c r="AT59" s="697"/>
      <c r="AU59" s="662"/>
      <c r="AV59" s="654"/>
      <c r="AW59" s="697"/>
      <c r="AX59" s="662"/>
      <c r="AY59" s="654"/>
      <c r="AZ59" s="697"/>
      <c r="BA59" s="662"/>
      <c r="BB59" s="654"/>
      <c r="BC59" s="697"/>
      <c r="BD59" s="662"/>
      <c r="BE59" s="654"/>
      <c r="BF59" s="697"/>
      <c r="BG59" s="662"/>
      <c r="BH59" s="654">
        <f>C59+F59+I59+L59+O59+R59+U59+X59+AA59+AD59+AG59+AJ59+AM59+AP59+AS59+AV59+AY59+BB59+BE59</f>
        <v>0</v>
      </c>
      <c r="BI59" s="697">
        <f>D59+G59+J59+M59+P59+S59+V59+Y59+AB59+AE59+AH59+AK59+AN59+AQ59+AT59+AW59+AZ59+BC59+BF59</f>
        <v>478</v>
      </c>
      <c r="BJ59" s="662">
        <f>E59+H59+K59+N59+Q59+T59+W59+Z59+AC59+AF59+AI59+AL59+AO59+AR59+AU59+AX59+BA59+BD59+BG59</f>
        <v>477.5</v>
      </c>
      <c r="BK59" s="654"/>
      <c r="BL59" s="697"/>
      <c r="BM59" s="662"/>
      <c r="BN59" s="654"/>
      <c r="BO59" s="697"/>
      <c r="BP59" s="662"/>
      <c r="BQ59" s="654"/>
      <c r="BR59" s="697"/>
      <c r="BS59" s="662"/>
      <c r="BT59" s="654"/>
      <c r="BU59" s="697"/>
      <c r="BV59" s="662"/>
      <c r="BW59" s="654"/>
      <c r="BX59" s="697"/>
      <c r="BY59" s="662"/>
      <c r="BZ59" s="654"/>
      <c r="CA59" s="697"/>
      <c r="CB59" s="662"/>
      <c r="CC59" s="654"/>
      <c r="CD59" s="697"/>
      <c r="CE59" s="662"/>
      <c r="CF59" s="654"/>
      <c r="CG59" s="697"/>
      <c r="CH59" s="662"/>
      <c r="CI59" s="654"/>
      <c r="CJ59" s="697">
        <v>2800</v>
      </c>
      <c r="CK59" s="1969">
        <v>2800</v>
      </c>
      <c r="CL59" s="1996"/>
      <c r="CM59" s="1997"/>
      <c r="CN59" s="1998"/>
      <c r="CO59" s="1996"/>
      <c r="CP59" s="1997"/>
      <c r="CQ59" s="1998"/>
      <c r="CR59" s="654"/>
      <c r="CS59" s="697"/>
      <c r="CT59" s="662"/>
      <c r="CU59" s="1708">
        <f t="shared" si="117"/>
        <v>0</v>
      </c>
      <c r="CV59" s="1709">
        <f t="shared" si="118"/>
        <v>2800</v>
      </c>
      <c r="CW59" s="1710">
        <f t="shared" si="118"/>
        <v>2800</v>
      </c>
      <c r="CX59" s="1708">
        <f t="shared" si="113"/>
        <v>0</v>
      </c>
      <c r="CY59" s="1709">
        <f t="shared" si="114"/>
        <v>3278</v>
      </c>
      <c r="CZ59" s="1710">
        <f t="shared" si="115"/>
        <v>3277.5</v>
      </c>
      <c r="DA59" s="654"/>
      <c r="DB59" s="697"/>
      <c r="DC59" s="662"/>
      <c r="DD59" s="654"/>
      <c r="DE59" s="697"/>
      <c r="DF59" s="662"/>
      <c r="DG59" s="654"/>
      <c r="DH59" s="697"/>
      <c r="DI59" s="662"/>
      <c r="DJ59" s="1708">
        <f t="shared" si="34"/>
        <v>0</v>
      </c>
      <c r="DK59" s="1709">
        <f t="shared" si="39"/>
        <v>0</v>
      </c>
      <c r="DL59" s="1710">
        <f t="shared" si="40"/>
        <v>0</v>
      </c>
      <c r="DM59" s="654"/>
      <c r="DN59" s="697"/>
      <c r="DO59" s="662"/>
      <c r="DP59" s="654"/>
      <c r="DQ59" s="697"/>
      <c r="DR59" s="662"/>
      <c r="DS59" s="1708">
        <f t="shared" si="82"/>
        <v>0</v>
      </c>
      <c r="DT59" s="1709">
        <f t="shared" si="83"/>
        <v>3278</v>
      </c>
      <c r="DU59" s="2071">
        <f t="shared" si="84"/>
        <v>3277.5</v>
      </c>
      <c r="DV59" s="716">
        <f>DU59/DT59*100</f>
        <v>99.984746796827324</v>
      </c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</row>
    <row r="60" spans="1:237" ht="20.100000000000001" customHeight="1" x14ac:dyDescent="0.2">
      <c r="A60" s="1677" t="s">
        <v>306</v>
      </c>
      <c r="B60" s="1678" t="s">
        <v>964</v>
      </c>
      <c r="C60" s="1732">
        <f t="shared" ref="C60:AH60" si="119">C61+C67+C82</f>
        <v>0</v>
      </c>
      <c r="D60" s="1733">
        <f t="shared" si="119"/>
        <v>216342</v>
      </c>
      <c r="E60" s="1734">
        <f t="shared" si="119"/>
        <v>216342</v>
      </c>
      <c r="F60" s="1732">
        <f t="shared" si="119"/>
        <v>0</v>
      </c>
      <c r="G60" s="1733">
        <f t="shared" si="119"/>
        <v>352</v>
      </c>
      <c r="H60" s="1734">
        <f t="shared" si="119"/>
        <v>352</v>
      </c>
      <c r="I60" s="1732">
        <f t="shared" si="119"/>
        <v>0</v>
      </c>
      <c r="J60" s="1733">
        <f t="shared" si="119"/>
        <v>0</v>
      </c>
      <c r="K60" s="1734">
        <f t="shared" si="119"/>
        <v>0</v>
      </c>
      <c r="L60" s="1732">
        <f t="shared" si="119"/>
        <v>0</v>
      </c>
      <c r="M60" s="1733">
        <f t="shared" si="119"/>
        <v>0</v>
      </c>
      <c r="N60" s="1734">
        <f t="shared" si="119"/>
        <v>0</v>
      </c>
      <c r="O60" s="1732">
        <f t="shared" si="119"/>
        <v>0</v>
      </c>
      <c r="P60" s="1733">
        <f t="shared" si="119"/>
        <v>0</v>
      </c>
      <c r="Q60" s="1734">
        <f t="shared" si="119"/>
        <v>0</v>
      </c>
      <c r="R60" s="1732">
        <f t="shared" si="119"/>
        <v>0</v>
      </c>
      <c r="S60" s="1733">
        <f t="shared" si="119"/>
        <v>0</v>
      </c>
      <c r="T60" s="1734">
        <f t="shared" si="119"/>
        <v>0</v>
      </c>
      <c r="U60" s="1732">
        <f t="shared" si="119"/>
        <v>0</v>
      </c>
      <c r="V60" s="1733">
        <f t="shared" si="119"/>
        <v>71422.611000000004</v>
      </c>
      <c r="W60" s="1734">
        <f t="shared" si="119"/>
        <v>71422.611000000004</v>
      </c>
      <c r="X60" s="1732">
        <f t="shared" si="119"/>
        <v>0</v>
      </c>
      <c r="Y60" s="1733">
        <f t="shared" si="119"/>
        <v>0</v>
      </c>
      <c r="Z60" s="1734">
        <f t="shared" si="119"/>
        <v>0</v>
      </c>
      <c r="AA60" s="1732">
        <f t="shared" si="119"/>
        <v>0</v>
      </c>
      <c r="AB60" s="1733">
        <f t="shared" si="119"/>
        <v>0</v>
      </c>
      <c r="AC60" s="1734">
        <f t="shared" si="119"/>
        <v>0</v>
      </c>
      <c r="AD60" s="1732">
        <f t="shared" si="119"/>
        <v>0</v>
      </c>
      <c r="AE60" s="1733">
        <f t="shared" si="119"/>
        <v>0</v>
      </c>
      <c r="AF60" s="1734">
        <f t="shared" si="119"/>
        <v>0</v>
      </c>
      <c r="AG60" s="1732">
        <f t="shared" si="119"/>
        <v>355000</v>
      </c>
      <c r="AH60" s="1733">
        <f t="shared" si="119"/>
        <v>355000</v>
      </c>
      <c r="AI60" s="1734">
        <f t="shared" ref="AI60:BJ60" si="120">AI61+AI67+AI82</f>
        <v>483984.89</v>
      </c>
      <c r="AJ60" s="1732">
        <f t="shared" si="120"/>
        <v>0</v>
      </c>
      <c r="AK60" s="1733">
        <f t="shared" si="120"/>
        <v>0</v>
      </c>
      <c r="AL60" s="1734">
        <f t="shared" si="120"/>
        <v>0</v>
      </c>
      <c r="AM60" s="1732">
        <f t="shared" si="120"/>
        <v>0</v>
      </c>
      <c r="AN60" s="1733">
        <f t="shared" si="120"/>
        <v>31900.55</v>
      </c>
      <c r="AO60" s="1734">
        <f t="shared" si="120"/>
        <v>31900.55</v>
      </c>
      <c r="AP60" s="1732">
        <f t="shared" si="120"/>
        <v>0</v>
      </c>
      <c r="AQ60" s="1733">
        <f t="shared" si="120"/>
        <v>0</v>
      </c>
      <c r="AR60" s="1734">
        <f t="shared" si="120"/>
        <v>0</v>
      </c>
      <c r="AS60" s="1732">
        <f t="shared" si="120"/>
        <v>0</v>
      </c>
      <c r="AT60" s="1733">
        <f t="shared" si="120"/>
        <v>0</v>
      </c>
      <c r="AU60" s="1734">
        <f t="shared" si="120"/>
        <v>0</v>
      </c>
      <c r="AV60" s="1732">
        <f t="shared" si="120"/>
        <v>0</v>
      </c>
      <c r="AW60" s="1733">
        <f t="shared" si="120"/>
        <v>0</v>
      </c>
      <c r="AX60" s="1734">
        <f t="shared" si="120"/>
        <v>0</v>
      </c>
      <c r="AY60" s="1732">
        <f t="shared" si="120"/>
        <v>0</v>
      </c>
      <c r="AZ60" s="1733">
        <f t="shared" si="120"/>
        <v>0</v>
      </c>
      <c r="BA60" s="1734">
        <f t="shared" si="120"/>
        <v>0</v>
      </c>
      <c r="BB60" s="1732">
        <f t="shared" si="120"/>
        <v>200000</v>
      </c>
      <c r="BC60" s="1733">
        <f t="shared" si="120"/>
        <v>200000</v>
      </c>
      <c r="BD60" s="1734">
        <f t="shared" si="120"/>
        <v>0</v>
      </c>
      <c r="BE60" s="1732">
        <f t="shared" si="120"/>
        <v>1001500</v>
      </c>
      <c r="BF60" s="1733">
        <f t="shared" si="120"/>
        <v>1009801</v>
      </c>
      <c r="BG60" s="1734">
        <f t="shared" si="120"/>
        <v>346203.913</v>
      </c>
      <c r="BH60" s="1732">
        <f t="shared" si="120"/>
        <v>1556500</v>
      </c>
      <c r="BI60" s="1733">
        <f t="shared" si="120"/>
        <v>1884818.1610000001</v>
      </c>
      <c r="BJ60" s="1734">
        <f t="shared" si="120"/>
        <v>1150205.9640000002</v>
      </c>
      <c r="BK60" s="1732">
        <f t="shared" ref="BK60:CK60" si="121">BK61+BK67+BK82</f>
        <v>0</v>
      </c>
      <c r="BL60" s="1733">
        <f t="shared" si="121"/>
        <v>0</v>
      </c>
      <c r="BM60" s="1734">
        <f t="shared" si="121"/>
        <v>0</v>
      </c>
      <c r="BN60" s="1732">
        <f t="shared" si="121"/>
        <v>0</v>
      </c>
      <c r="BO60" s="1733">
        <f t="shared" si="121"/>
        <v>0</v>
      </c>
      <c r="BP60" s="1734">
        <f t="shared" si="121"/>
        <v>0</v>
      </c>
      <c r="BQ60" s="1732">
        <f t="shared" si="121"/>
        <v>0</v>
      </c>
      <c r="BR60" s="1733">
        <f t="shared" si="121"/>
        <v>0</v>
      </c>
      <c r="BS60" s="1734">
        <f t="shared" si="121"/>
        <v>0</v>
      </c>
      <c r="BT60" s="1732">
        <f t="shared" si="121"/>
        <v>0</v>
      </c>
      <c r="BU60" s="1733">
        <f t="shared" si="121"/>
        <v>0</v>
      </c>
      <c r="BV60" s="1734">
        <f t="shared" si="121"/>
        <v>0</v>
      </c>
      <c r="BW60" s="1732">
        <f t="shared" si="121"/>
        <v>0</v>
      </c>
      <c r="BX60" s="1733">
        <f t="shared" si="121"/>
        <v>0</v>
      </c>
      <c r="BY60" s="1734">
        <f t="shared" si="121"/>
        <v>0</v>
      </c>
      <c r="BZ60" s="1732">
        <f t="shared" si="121"/>
        <v>0</v>
      </c>
      <c r="CA60" s="1733">
        <f t="shared" si="121"/>
        <v>0</v>
      </c>
      <c r="CB60" s="1734">
        <f t="shared" si="121"/>
        <v>0</v>
      </c>
      <c r="CC60" s="1732">
        <f t="shared" si="121"/>
        <v>0</v>
      </c>
      <c r="CD60" s="1733">
        <f t="shared" si="121"/>
        <v>0</v>
      </c>
      <c r="CE60" s="1734">
        <f t="shared" si="121"/>
        <v>0</v>
      </c>
      <c r="CF60" s="1732">
        <f t="shared" si="121"/>
        <v>0</v>
      </c>
      <c r="CG60" s="1733">
        <f t="shared" si="121"/>
        <v>0</v>
      </c>
      <c r="CH60" s="1734">
        <f t="shared" si="121"/>
        <v>0</v>
      </c>
      <c r="CI60" s="1732">
        <f t="shared" si="121"/>
        <v>16300</v>
      </c>
      <c r="CJ60" s="1733">
        <f t="shared" si="121"/>
        <v>32984.593999999997</v>
      </c>
      <c r="CK60" s="1984">
        <f t="shared" si="121"/>
        <v>27624.264999999999</v>
      </c>
      <c r="CL60" s="1732">
        <f t="shared" ref="CL60:CN60" si="122">CL61+CL67+CL82</f>
        <v>0</v>
      </c>
      <c r="CM60" s="1733">
        <f t="shared" si="122"/>
        <v>0</v>
      </c>
      <c r="CN60" s="1734">
        <f t="shared" si="122"/>
        <v>0</v>
      </c>
      <c r="CO60" s="1732">
        <f t="shared" ref="CO60:CT60" si="123">CO61+CO67+CO82</f>
        <v>0</v>
      </c>
      <c r="CP60" s="1733">
        <f t="shared" si="123"/>
        <v>0</v>
      </c>
      <c r="CQ60" s="1734">
        <f t="shared" si="123"/>
        <v>0</v>
      </c>
      <c r="CR60" s="1732">
        <f t="shared" si="123"/>
        <v>0</v>
      </c>
      <c r="CS60" s="1733">
        <f t="shared" si="123"/>
        <v>0</v>
      </c>
      <c r="CT60" s="1734">
        <f t="shared" si="123"/>
        <v>0</v>
      </c>
      <c r="CU60" s="1732">
        <f>CU61+CU67+CU82</f>
        <v>16300</v>
      </c>
      <c r="CV60" s="1733">
        <f>CV61+CV67+CV82</f>
        <v>32984.593999999997</v>
      </c>
      <c r="CW60" s="1734">
        <f>CW61+CW67+CW82</f>
        <v>27624.264999999999</v>
      </c>
      <c r="CX60" s="1732">
        <f t="shared" si="113"/>
        <v>1572800</v>
      </c>
      <c r="CY60" s="1733">
        <f t="shared" si="114"/>
        <v>1917802.7550000001</v>
      </c>
      <c r="CZ60" s="1734">
        <f t="shared" si="115"/>
        <v>1177830.2290000001</v>
      </c>
      <c r="DA60" s="1732">
        <f t="shared" ref="DA60:DI60" si="124">DA61+DA67+DA82</f>
        <v>0</v>
      </c>
      <c r="DB60" s="1733">
        <f t="shared" si="124"/>
        <v>0</v>
      </c>
      <c r="DC60" s="1734">
        <f t="shared" si="124"/>
        <v>0</v>
      </c>
      <c r="DD60" s="1732">
        <f t="shared" si="124"/>
        <v>0</v>
      </c>
      <c r="DE60" s="1733">
        <f t="shared" si="124"/>
        <v>0</v>
      </c>
      <c r="DF60" s="1734">
        <f t="shared" si="124"/>
        <v>0</v>
      </c>
      <c r="DG60" s="1732">
        <f t="shared" si="124"/>
        <v>1350</v>
      </c>
      <c r="DH60" s="1733">
        <f t="shared" si="124"/>
        <v>3208</v>
      </c>
      <c r="DI60" s="1734">
        <f t="shared" si="124"/>
        <v>3207.4409999999998</v>
      </c>
      <c r="DJ60" s="1732">
        <f t="shared" si="34"/>
        <v>1350</v>
      </c>
      <c r="DK60" s="1733">
        <f t="shared" si="39"/>
        <v>3208</v>
      </c>
      <c r="DL60" s="1734">
        <f t="shared" si="40"/>
        <v>3207.4409999999998</v>
      </c>
      <c r="DM60" s="1732">
        <f t="shared" ref="DM60:DR60" si="125">DM61+DM67+DM82</f>
        <v>0</v>
      </c>
      <c r="DN60" s="1733">
        <f t="shared" si="125"/>
        <v>0</v>
      </c>
      <c r="DO60" s="1734">
        <f t="shared" si="125"/>
        <v>0</v>
      </c>
      <c r="DP60" s="1732">
        <f t="shared" si="125"/>
        <v>0</v>
      </c>
      <c r="DQ60" s="1733">
        <f t="shared" si="125"/>
        <v>700</v>
      </c>
      <c r="DR60" s="1734">
        <f t="shared" si="125"/>
        <v>700</v>
      </c>
      <c r="DS60" s="1732">
        <f t="shared" si="82"/>
        <v>1574150</v>
      </c>
      <c r="DT60" s="1733">
        <f t="shared" si="83"/>
        <v>1921710.7550000001</v>
      </c>
      <c r="DU60" s="1734">
        <f t="shared" si="84"/>
        <v>1181737.6700000002</v>
      </c>
      <c r="DV60" s="1781">
        <f t="shared" si="116"/>
        <v>61.49404466438552</v>
      </c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</row>
    <row r="61" spans="1:237" ht="15" customHeight="1" x14ac:dyDescent="0.2">
      <c r="A61" s="1679" t="s">
        <v>327</v>
      </c>
      <c r="B61" s="1680" t="s">
        <v>965</v>
      </c>
      <c r="C61" s="1735">
        <f t="shared" ref="C61:AH61" si="126">SUM(C62:C66)</f>
        <v>0</v>
      </c>
      <c r="D61" s="1730">
        <f t="shared" si="126"/>
        <v>216342</v>
      </c>
      <c r="E61" s="1731">
        <f t="shared" si="126"/>
        <v>216342</v>
      </c>
      <c r="F61" s="1735">
        <f t="shared" si="126"/>
        <v>0</v>
      </c>
      <c r="G61" s="1730">
        <f t="shared" si="126"/>
        <v>0</v>
      </c>
      <c r="H61" s="1731">
        <f t="shared" si="126"/>
        <v>0</v>
      </c>
      <c r="I61" s="1735">
        <f t="shared" si="126"/>
        <v>0</v>
      </c>
      <c r="J61" s="1730">
        <f t="shared" si="126"/>
        <v>0</v>
      </c>
      <c r="K61" s="1731">
        <f t="shared" si="126"/>
        <v>0</v>
      </c>
      <c r="L61" s="1735">
        <f t="shared" si="126"/>
        <v>0</v>
      </c>
      <c r="M61" s="1730">
        <f t="shared" si="126"/>
        <v>0</v>
      </c>
      <c r="N61" s="1731">
        <f t="shared" si="126"/>
        <v>0</v>
      </c>
      <c r="O61" s="1735">
        <f t="shared" si="126"/>
        <v>0</v>
      </c>
      <c r="P61" s="1730">
        <f t="shared" si="126"/>
        <v>0</v>
      </c>
      <c r="Q61" s="1731">
        <f t="shared" si="126"/>
        <v>0</v>
      </c>
      <c r="R61" s="1735">
        <f t="shared" si="126"/>
        <v>0</v>
      </c>
      <c r="S61" s="1730">
        <f t="shared" si="126"/>
        <v>0</v>
      </c>
      <c r="T61" s="1731">
        <f t="shared" si="126"/>
        <v>0</v>
      </c>
      <c r="U61" s="1735">
        <f t="shared" si="126"/>
        <v>0</v>
      </c>
      <c r="V61" s="1730">
        <f t="shared" si="126"/>
        <v>71422.611000000004</v>
      </c>
      <c r="W61" s="1731">
        <f t="shared" si="126"/>
        <v>71422.611000000004</v>
      </c>
      <c r="X61" s="1735">
        <f t="shared" si="126"/>
        <v>0</v>
      </c>
      <c r="Y61" s="1730">
        <f t="shared" si="126"/>
        <v>0</v>
      </c>
      <c r="Z61" s="1731">
        <f t="shared" si="126"/>
        <v>0</v>
      </c>
      <c r="AA61" s="1735">
        <f t="shared" si="126"/>
        <v>0</v>
      </c>
      <c r="AB61" s="1730">
        <f t="shared" si="126"/>
        <v>0</v>
      </c>
      <c r="AC61" s="1731">
        <f t="shared" si="126"/>
        <v>0</v>
      </c>
      <c r="AD61" s="1735">
        <f t="shared" si="126"/>
        <v>0</v>
      </c>
      <c r="AE61" s="1730">
        <f t="shared" si="126"/>
        <v>0</v>
      </c>
      <c r="AF61" s="1731">
        <f t="shared" si="126"/>
        <v>0</v>
      </c>
      <c r="AG61" s="1735">
        <f t="shared" si="126"/>
        <v>0</v>
      </c>
      <c r="AH61" s="1730">
        <f t="shared" si="126"/>
        <v>0</v>
      </c>
      <c r="AI61" s="1731">
        <f t="shared" ref="AI61:BJ61" si="127">SUM(AI62:AI66)</f>
        <v>0</v>
      </c>
      <c r="AJ61" s="1735">
        <f t="shared" si="127"/>
        <v>0</v>
      </c>
      <c r="AK61" s="1730">
        <f t="shared" si="127"/>
        <v>0</v>
      </c>
      <c r="AL61" s="1731">
        <f t="shared" si="127"/>
        <v>0</v>
      </c>
      <c r="AM61" s="1735">
        <f t="shared" si="127"/>
        <v>0</v>
      </c>
      <c r="AN61" s="1730">
        <f t="shared" si="127"/>
        <v>0</v>
      </c>
      <c r="AO61" s="1731">
        <f t="shared" si="127"/>
        <v>0</v>
      </c>
      <c r="AP61" s="1735">
        <f t="shared" si="127"/>
        <v>0</v>
      </c>
      <c r="AQ61" s="1730">
        <f t="shared" si="127"/>
        <v>0</v>
      </c>
      <c r="AR61" s="1731">
        <f t="shared" si="127"/>
        <v>0</v>
      </c>
      <c r="AS61" s="1735">
        <f t="shared" si="127"/>
        <v>0</v>
      </c>
      <c r="AT61" s="1730">
        <f t="shared" si="127"/>
        <v>0</v>
      </c>
      <c r="AU61" s="1731">
        <f t="shared" si="127"/>
        <v>0</v>
      </c>
      <c r="AV61" s="1735">
        <f t="shared" si="127"/>
        <v>0</v>
      </c>
      <c r="AW61" s="1730">
        <f t="shared" si="127"/>
        <v>0</v>
      </c>
      <c r="AX61" s="1731">
        <f t="shared" si="127"/>
        <v>0</v>
      </c>
      <c r="AY61" s="1735">
        <f t="shared" si="127"/>
        <v>0</v>
      </c>
      <c r="AZ61" s="1730">
        <f t="shared" si="127"/>
        <v>0</v>
      </c>
      <c r="BA61" s="1731">
        <f t="shared" si="127"/>
        <v>0</v>
      </c>
      <c r="BB61" s="1735">
        <f t="shared" si="127"/>
        <v>200000</v>
      </c>
      <c r="BC61" s="1730">
        <f t="shared" si="127"/>
        <v>200000</v>
      </c>
      <c r="BD61" s="1731">
        <f t="shared" si="127"/>
        <v>0</v>
      </c>
      <c r="BE61" s="1735">
        <f t="shared" si="127"/>
        <v>0</v>
      </c>
      <c r="BF61" s="1730">
        <f t="shared" si="127"/>
        <v>0</v>
      </c>
      <c r="BG61" s="1731">
        <f t="shared" si="127"/>
        <v>0</v>
      </c>
      <c r="BH61" s="1735">
        <f t="shared" si="127"/>
        <v>200000</v>
      </c>
      <c r="BI61" s="1730">
        <f t="shared" si="127"/>
        <v>487764.61100000003</v>
      </c>
      <c r="BJ61" s="1731">
        <f t="shared" si="127"/>
        <v>287764.61100000003</v>
      </c>
      <c r="BK61" s="1735">
        <f t="shared" ref="BK61:CK61" si="128">SUM(BK62:BK66)</f>
        <v>0</v>
      </c>
      <c r="BL61" s="1730">
        <f t="shared" si="128"/>
        <v>0</v>
      </c>
      <c r="BM61" s="1731">
        <f t="shared" si="128"/>
        <v>0</v>
      </c>
      <c r="BN61" s="1735">
        <f t="shared" si="128"/>
        <v>0</v>
      </c>
      <c r="BO61" s="1730">
        <f t="shared" si="128"/>
        <v>0</v>
      </c>
      <c r="BP61" s="1731">
        <f t="shared" si="128"/>
        <v>0</v>
      </c>
      <c r="BQ61" s="1735">
        <f t="shared" si="128"/>
        <v>0</v>
      </c>
      <c r="BR61" s="1730">
        <f t="shared" si="128"/>
        <v>0</v>
      </c>
      <c r="BS61" s="1731">
        <f t="shared" si="128"/>
        <v>0</v>
      </c>
      <c r="BT61" s="1735">
        <f t="shared" si="128"/>
        <v>0</v>
      </c>
      <c r="BU61" s="1730">
        <f t="shared" si="128"/>
        <v>0</v>
      </c>
      <c r="BV61" s="1731">
        <f t="shared" si="128"/>
        <v>0</v>
      </c>
      <c r="BW61" s="1735">
        <f t="shared" si="128"/>
        <v>0</v>
      </c>
      <c r="BX61" s="1730">
        <f t="shared" si="128"/>
        <v>0</v>
      </c>
      <c r="BY61" s="1731">
        <f t="shared" si="128"/>
        <v>0</v>
      </c>
      <c r="BZ61" s="1735">
        <f t="shared" si="128"/>
        <v>0</v>
      </c>
      <c r="CA61" s="1730">
        <f t="shared" si="128"/>
        <v>0</v>
      </c>
      <c r="CB61" s="1731">
        <f t="shared" si="128"/>
        <v>0</v>
      </c>
      <c r="CC61" s="1735">
        <f t="shared" si="128"/>
        <v>0</v>
      </c>
      <c r="CD61" s="1730">
        <f t="shared" si="128"/>
        <v>0</v>
      </c>
      <c r="CE61" s="1731">
        <f t="shared" si="128"/>
        <v>0</v>
      </c>
      <c r="CF61" s="1735">
        <f t="shared" si="128"/>
        <v>0</v>
      </c>
      <c r="CG61" s="1730">
        <f t="shared" si="128"/>
        <v>0</v>
      </c>
      <c r="CH61" s="1731">
        <f t="shared" si="128"/>
        <v>0</v>
      </c>
      <c r="CI61" s="1735">
        <f t="shared" si="128"/>
        <v>0</v>
      </c>
      <c r="CJ61" s="1730">
        <f t="shared" si="128"/>
        <v>16684.594000000001</v>
      </c>
      <c r="CK61" s="1975">
        <f t="shared" si="128"/>
        <v>16684.594000000001</v>
      </c>
      <c r="CL61" s="1735">
        <f t="shared" ref="CL61:CN61" si="129">SUM(CL62:CL66)</f>
        <v>0</v>
      </c>
      <c r="CM61" s="1730">
        <f t="shared" si="129"/>
        <v>0</v>
      </c>
      <c r="CN61" s="1731">
        <f t="shared" si="129"/>
        <v>0</v>
      </c>
      <c r="CO61" s="1735">
        <f t="shared" ref="CO61:CT61" si="130">SUM(CO62:CO66)</f>
        <v>0</v>
      </c>
      <c r="CP61" s="1730">
        <f t="shared" si="130"/>
        <v>0</v>
      </c>
      <c r="CQ61" s="1731">
        <f t="shared" si="130"/>
        <v>0</v>
      </c>
      <c r="CR61" s="1735">
        <f t="shared" si="130"/>
        <v>0</v>
      </c>
      <c r="CS61" s="1730">
        <f t="shared" si="130"/>
        <v>0</v>
      </c>
      <c r="CT61" s="1731">
        <f t="shared" si="130"/>
        <v>0</v>
      </c>
      <c r="CU61" s="1735">
        <f>SUM(CU62:CU66)</f>
        <v>0</v>
      </c>
      <c r="CV61" s="1730">
        <f>SUM(CV62:CV66)</f>
        <v>16684.594000000001</v>
      </c>
      <c r="CW61" s="1731">
        <f>SUM(CW62:CW66)</f>
        <v>16684.594000000001</v>
      </c>
      <c r="CX61" s="1735">
        <f t="shared" si="113"/>
        <v>200000</v>
      </c>
      <c r="CY61" s="1730">
        <f t="shared" si="114"/>
        <v>504449.20500000002</v>
      </c>
      <c r="CZ61" s="1731">
        <f t="shared" si="115"/>
        <v>304449.20500000002</v>
      </c>
      <c r="DA61" s="1735">
        <f t="shared" ref="DA61:DI61" si="131">SUM(DA62:DA66)</f>
        <v>0</v>
      </c>
      <c r="DB61" s="1730">
        <f t="shared" si="131"/>
        <v>0</v>
      </c>
      <c r="DC61" s="1731">
        <f t="shared" si="131"/>
        <v>0</v>
      </c>
      <c r="DD61" s="1735">
        <f t="shared" si="131"/>
        <v>0</v>
      </c>
      <c r="DE61" s="1730">
        <f t="shared" si="131"/>
        <v>0</v>
      </c>
      <c r="DF61" s="1731">
        <f t="shared" si="131"/>
        <v>0</v>
      </c>
      <c r="DG61" s="1735">
        <f t="shared" si="131"/>
        <v>0</v>
      </c>
      <c r="DH61" s="1730">
        <f t="shared" si="131"/>
        <v>0</v>
      </c>
      <c r="DI61" s="1731">
        <f t="shared" si="131"/>
        <v>0</v>
      </c>
      <c r="DJ61" s="1735">
        <f t="shared" si="34"/>
        <v>0</v>
      </c>
      <c r="DK61" s="1730">
        <f t="shared" si="39"/>
        <v>0</v>
      </c>
      <c r="DL61" s="1731">
        <f t="shared" si="40"/>
        <v>0</v>
      </c>
      <c r="DM61" s="1735">
        <f t="shared" ref="DM61:DR61" si="132">SUM(DM62:DM66)</f>
        <v>0</v>
      </c>
      <c r="DN61" s="1730">
        <f t="shared" si="132"/>
        <v>0</v>
      </c>
      <c r="DO61" s="1731">
        <f t="shared" si="132"/>
        <v>0</v>
      </c>
      <c r="DP61" s="1735">
        <f t="shared" si="132"/>
        <v>0</v>
      </c>
      <c r="DQ61" s="1730">
        <f t="shared" si="132"/>
        <v>0</v>
      </c>
      <c r="DR61" s="1731">
        <f t="shared" si="132"/>
        <v>0</v>
      </c>
      <c r="DS61" s="1735">
        <f t="shared" si="82"/>
        <v>200000</v>
      </c>
      <c r="DT61" s="1730">
        <f t="shared" si="83"/>
        <v>504449.20500000002</v>
      </c>
      <c r="DU61" s="1731">
        <f t="shared" si="84"/>
        <v>304449.20500000002</v>
      </c>
      <c r="DV61" s="721">
        <f t="shared" si="116"/>
        <v>60.352797067050588</v>
      </c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</row>
    <row r="62" spans="1:237" ht="12.75" customHeight="1" x14ac:dyDescent="0.2">
      <c r="A62" s="1681" t="s">
        <v>592</v>
      </c>
      <c r="B62" s="1682" t="s">
        <v>982</v>
      </c>
      <c r="C62" s="1407"/>
      <c r="D62" s="699"/>
      <c r="E62" s="664"/>
      <c r="F62" s="1407"/>
      <c r="G62" s="699"/>
      <c r="H62" s="664"/>
      <c r="I62" s="1407"/>
      <c r="J62" s="699"/>
      <c r="K62" s="664"/>
      <c r="L62" s="1407"/>
      <c r="M62" s="699"/>
      <c r="N62" s="664"/>
      <c r="O62" s="1407"/>
      <c r="P62" s="699"/>
      <c r="Q62" s="664"/>
      <c r="R62" s="1407"/>
      <c r="S62" s="699"/>
      <c r="T62" s="664"/>
      <c r="U62" s="1407"/>
      <c r="V62" s="699"/>
      <c r="W62" s="664"/>
      <c r="X62" s="1407"/>
      <c r="Y62" s="699"/>
      <c r="Z62" s="664"/>
      <c r="AA62" s="1407"/>
      <c r="AB62" s="699"/>
      <c r="AC62" s="664"/>
      <c r="AD62" s="1407"/>
      <c r="AE62" s="699"/>
      <c r="AF62" s="664"/>
      <c r="AG62" s="1407"/>
      <c r="AH62" s="699"/>
      <c r="AI62" s="664"/>
      <c r="AJ62" s="1407"/>
      <c r="AK62" s="699"/>
      <c r="AL62" s="664"/>
      <c r="AM62" s="1407"/>
      <c r="AN62" s="699"/>
      <c r="AO62" s="664"/>
      <c r="AP62" s="1407"/>
      <c r="AQ62" s="699"/>
      <c r="AR62" s="664"/>
      <c r="AS62" s="1407"/>
      <c r="AT62" s="699"/>
      <c r="AU62" s="664"/>
      <c r="AV62" s="1407"/>
      <c r="AW62" s="699"/>
      <c r="AX62" s="664"/>
      <c r="AY62" s="1407"/>
      <c r="AZ62" s="699"/>
      <c r="BA62" s="664"/>
      <c r="BB62" s="1739">
        <v>200000</v>
      </c>
      <c r="BC62" s="698">
        <v>200000</v>
      </c>
      <c r="BD62" s="663"/>
      <c r="BE62" s="1407"/>
      <c r="BF62" s="698"/>
      <c r="BG62" s="663"/>
      <c r="BH62" s="1739">
        <f t="shared" ref="BH62:BJ66" si="133">C62+F62+I62+L62+O62+R62+U62+X62+AA62+AD62+AG62+AJ62+AM62+AP62+AS62+AV62+AY62+BB62+BE62</f>
        <v>200000</v>
      </c>
      <c r="BI62" s="698">
        <f t="shared" si="133"/>
        <v>200000</v>
      </c>
      <c r="BJ62" s="663">
        <f t="shared" si="133"/>
        <v>0</v>
      </c>
      <c r="BK62" s="1407"/>
      <c r="BL62" s="699"/>
      <c r="BM62" s="664"/>
      <c r="BN62" s="1407"/>
      <c r="BO62" s="699"/>
      <c r="BP62" s="664"/>
      <c r="BQ62" s="1407"/>
      <c r="BR62" s="699"/>
      <c r="BS62" s="664"/>
      <c r="BT62" s="1407"/>
      <c r="BU62" s="699"/>
      <c r="BV62" s="664"/>
      <c r="BW62" s="1407"/>
      <c r="BX62" s="699"/>
      <c r="BY62" s="664"/>
      <c r="BZ62" s="1407"/>
      <c r="CA62" s="699"/>
      <c r="CB62" s="664"/>
      <c r="CC62" s="1407"/>
      <c r="CD62" s="699"/>
      <c r="CE62" s="664"/>
      <c r="CF62" s="1407"/>
      <c r="CG62" s="699"/>
      <c r="CH62" s="664"/>
      <c r="CI62" s="1739"/>
      <c r="CJ62" s="698"/>
      <c r="CK62" s="1971"/>
      <c r="CL62" s="655"/>
      <c r="CM62" s="698"/>
      <c r="CN62" s="663"/>
      <c r="CO62" s="655"/>
      <c r="CP62" s="698"/>
      <c r="CQ62" s="663"/>
      <c r="CR62" s="1407"/>
      <c r="CS62" s="699"/>
      <c r="CT62" s="664"/>
      <c r="CU62" s="658">
        <f t="shared" ref="CU62:CU66" si="134">BK62+BN62+BQ62+BT62+BW62+BZ62+CC62+CF62+CI62+CL62+CO62</f>
        <v>0</v>
      </c>
      <c r="CV62" s="701">
        <f t="shared" ref="CV62:CV66" si="135">BL62+BO62+BR62+BU62+BX62+CA62+CD62+CG62+CJ62+CM62+CP62</f>
        <v>0</v>
      </c>
      <c r="CW62" s="666">
        <f t="shared" ref="CW62:CW66" si="136">BM62+BP62+BS62+BV62+BY62+CB62+CE62+CH62+CK62+CN62+CQ62</f>
        <v>0</v>
      </c>
      <c r="CX62" s="658">
        <f t="shared" si="113"/>
        <v>200000</v>
      </c>
      <c r="CY62" s="701">
        <f t="shared" si="114"/>
        <v>200000</v>
      </c>
      <c r="CZ62" s="666">
        <f t="shared" si="115"/>
        <v>0</v>
      </c>
      <c r="DA62" s="1407"/>
      <c r="DB62" s="699"/>
      <c r="DC62" s="664"/>
      <c r="DD62" s="1407"/>
      <c r="DE62" s="699"/>
      <c r="DF62" s="664"/>
      <c r="DG62" s="1407"/>
      <c r="DH62" s="699"/>
      <c r="DI62" s="664"/>
      <c r="DJ62" s="658">
        <f t="shared" si="34"/>
        <v>0</v>
      </c>
      <c r="DK62" s="701">
        <f t="shared" si="39"/>
        <v>0</v>
      </c>
      <c r="DL62" s="666">
        <f t="shared" si="40"/>
        <v>0</v>
      </c>
      <c r="DM62" s="1407"/>
      <c r="DN62" s="699"/>
      <c r="DO62" s="664"/>
      <c r="DP62" s="1407"/>
      <c r="DQ62" s="699"/>
      <c r="DR62" s="664"/>
      <c r="DS62" s="658">
        <f t="shared" si="82"/>
        <v>200000</v>
      </c>
      <c r="DT62" s="701">
        <f t="shared" si="83"/>
        <v>200000</v>
      </c>
      <c r="DU62" s="666">
        <f t="shared" si="84"/>
        <v>0</v>
      </c>
      <c r="DV62" s="1777">
        <f t="shared" si="116"/>
        <v>0</v>
      </c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</row>
    <row r="63" spans="1:237" ht="12.75" customHeight="1" x14ac:dyDescent="0.2">
      <c r="A63" s="1681" t="s">
        <v>593</v>
      </c>
      <c r="B63" s="1687" t="s">
        <v>983</v>
      </c>
      <c r="C63" s="1407"/>
      <c r="D63" s="699"/>
      <c r="E63" s="664"/>
      <c r="F63" s="1407"/>
      <c r="G63" s="699"/>
      <c r="H63" s="664"/>
      <c r="I63" s="1407"/>
      <c r="J63" s="699"/>
      <c r="K63" s="664"/>
      <c r="L63" s="1407"/>
      <c r="M63" s="699"/>
      <c r="N63" s="664"/>
      <c r="O63" s="1407"/>
      <c r="P63" s="699"/>
      <c r="Q63" s="664"/>
      <c r="R63" s="1407"/>
      <c r="S63" s="699"/>
      <c r="T63" s="664"/>
      <c r="U63" s="1407"/>
      <c r="V63" s="699"/>
      <c r="W63" s="664"/>
      <c r="X63" s="1407"/>
      <c r="Y63" s="699"/>
      <c r="Z63" s="664"/>
      <c r="AA63" s="1407"/>
      <c r="AB63" s="699"/>
      <c r="AC63" s="664"/>
      <c r="AD63" s="1407"/>
      <c r="AE63" s="699"/>
      <c r="AF63" s="664"/>
      <c r="AG63" s="1407"/>
      <c r="AH63" s="699"/>
      <c r="AI63" s="664"/>
      <c r="AJ63" s="1407"/>
      <c r="AK63" s="699"/>
      <c r="AL63" s="664"/>
      <c r="AM63" s="1407"/>
      <c r="AN63" s="699"/>
      <c r="AO63" s="664"/>
      <c r="AP63" s="1407"/>
      <c r="AQ63" s="699"/>
      <c r="AR63" s="664"/>
      <c r="AS63" s="1407"/>
      <c r="AT63" s="699"/>
      <c r="AU63" s="664"/>
      <c r="AV63" s="1407"/>
      <c r="AW63" s="699"/>
      <c r="AX63" s="664"/>
      <c r="AY63" s="1407"/>
      <c r="AZ63" s="699"/>
      <c r="BA63" s="664"/>
      <c r="BB63" s="1739"/>
      <c r="BC63" s="698"/>
      <c r="BD63" s="663"/>
      <c r="BE63" s="1407"/>
      <c r="BF63" s="699"/>
      <c r="BG63" s="664"/>
      <c r="BH63" s="1739">
        <f t="shared" si="133"/>
        <v>0</v>
      </c>
      <c r="BI63" s="698">
        <f t="shared" si="133"/>
        <v>0</v>
      </c>
      <c r="BJ63" s="663">
        <f t="shared" si="133"/>
        <v>0</v>
      </c>
      <c r="BK63" s="1407"/>
      <c r="BL63" s="699"/>
      <c r="BM63" s="664"/>
      <c r="BN63" s="1407"/>
      <c r="BO63" s="699"/>
      <c r="BP63" s="664"/>
      <c r="BQ63" s="1407"/>
      <c r="BR63" s="699"/>
      <c r="BS63" s="664"/>
      <c r="BT63" s="1407"/>
      <c r="BU63" s="699"/>
      <c r="BV63" s="664"/>
      <c r="BW63" s="1407"/>
      <c r="BX63" s="699"/>
      <c r="BY63" s="664"/>
      <c r="BZ63" s="1407"/>
      <c r="CA63" s="699"/>
      <c r="CB63" s="664"/>
      <c r="CC63" s="1407"/>
      <c r="CD63" s="699"/>
      <c r="CE63" s="664"/>
      <c r="CF63" s="1407"/>
      <c r="CG63" s="699"/>
      <c r="CH63" s="664"/>
      <c r="CI63" s="1739"/>
      <c r="CJ63" s="698"/>
      <c r="CK63" s="1971"/>
      <c r="CL63" s="655"/>
      <c r="CM63" s="698"/>
      <c r="CN63" s="663"/>
      <c r="CO63" s="655"/>
      <c r="CP63" s="698"/>
      <c r="CQ63" s="663"/>
      <c r="CR63" s="1407"/>
      <c r="CS63" s="699"/>
      <c r="CT63" s="664"/>
      <c r="CU63" s="658">
        <f t="shared" si="134"/>
        <v>0</v>
      </c>
      <c r="CV63" s="701">
        <f t="shared" si="135"/>
        <v>0</v>
      </c>
      <c r="CW63" s="666">
        <f t="shared" si="136"/>
        <v>0</v>
      </c>
      <c r="CX63" s="658">
        <f t="shared" si="113"/>
        <v>0</v>
      </c>
      <c r="CY63" s="701">
        <f t="shared" si="114"/>
        <v>0</v>
      </c>
      <c r="CZ63" s="666">
        <f t="shared" si="115"/>
        <v>0</v>
      </c>
      <c r="DA63" s="1407"/>
      <c r="DB63" s="699"/>
      <c r="DC63" s="664"/>
      <c r="DD63" s="1407"/>
      <c r="DE63" s="699"/>
      <c r="DF63" s="664"/>
      <c r="DG63" s="1407"/>
      <c r="DH63" s="699"/>
      <c r="DI63" s="664"/>
      <c r="DJ63" s="658">
        <f t="shared" si="34"/>
        <v>0</v>
      </c>
      <c r="DK63" s="701">
        <f t="shared" si="39"/>
        <v>0</v>
      </c>
      <c r="DL63" s="666">
        <f t="shared" si="40"/>
        <v>0</v>
      </c>
      <c r="DM63" s="1407"/>
      <c r="DN63" s="699"/>
      <c r="DO63" s="664"/>
      <c r="DP63" s="1407"/>
      <c r="DQ63" s="699"/>
      <c r="DR63" s="664"/>
      <c r="DS63" s="658">
        <f t="shared" si="82"/>
        <v>0</v>
      </c>
      <c r="DT63" s="701">
        <f t="shared" si="83"/>
        <v>0</v>
      </c>
      <c r="DU63" s="666">
        <f t="shared" si="84"/>
        <v>0</v>
      </c>
      <c r="DV63" s="1776">
        <v>0</v>
      </c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</row>
    <row r="64" spans="1:237" ht="12.75" customHeight="1" x14ac:dyDescent="0.2">
      <c r="A64" s="1681" t="s">
        <v>594</v>
      </c>
      <c r="B64" s="1687" t="s">
        <v>984</v>
      </c>
      <c r="C64" s="1407"/>
      <c r="D64" s="699"/>
      <c r="E64" s="664"/>
      <c r="F64" s="1407"/>
      <c r="G64" s="699"/>
      <c r="H64" s="664"/>
      <c r="I64" s="1407"/>
      <c r="J64" s="699"/>
      <c r="K64" s="664"/>
      <c r="L64" s="1407"/>
      <c r="M64" s="699"/>
      <c r="N64" s="664"/>
      <c r="O64" s="1407"/>
      <c r="P64" s="699"/>
      <c r="Q64" s="664"/>
      <c r="R64" s="1407"/>
      <c r="S64" s="699"/>
      <c r="T64" s="664"/>
      <c r="U64" s="1407"/>
      <c r="V64" s="699"/>
      <c r="W64" s="664"/>
      <c r="X64" s="1407"/>
      <c r="Y64" s="699"/>
      <c r="Z64" s="664"/>
      <c r="AA64" s="1407"/>
      <c r="AB64" s="699"/>
      <c r="AC64" s="664"/>
      <c r="AD64" s="1407"/>
      <c r="AE64" s="699"/>
      <c r="AF64" s="664"/>
      <c r="AG64" s="1407"/>
      <c r="AH64" s="699"/>
      <c r="AI64" s="664"/>
      <c r="AJ64" s="1407"/>
      <c r="AK64" s="699"/>
      <c r="AL64" s="664"/>
      <c r="AM64" s="1407"/>
      <c r="AN64" s="699"/>
      <c r="AO64" s="664"/>
      <c r="AP64" s="1407"/>
      <c r="AQ64" s="699"/>
      <c r="AR64" s="664"/>
      <c r="AS64" s="1407"/>
      <c r="AT64" s="699"/>
      <c r="AU64" s="664"/>
      <c r="AV64" s="1407"/>
      <c r="AW64" s="699"/>
      <c r="AX64" s="664"/>
      <c r="AY64" s="1407"/>
      <c r="AZ64" s="699"/>
      <c r="BA64" s="664"/>
      <c r="BB64" s="1739"/>
      <c r="BC64" s="698"/>
      <c r="BD64" s="663"/>
      <c r="BE64" s="1407"/>
      <c r="BF64" s="699"/>
      <c r="BG64" s="664"/>
      <c r="BH64" s="1739">
        <f t="shared" si="133"/>
        <v>0</v>
      </c>
      <c r="BI64" s="698">
        <f t="shared" si="133"/>
        <v>0</v>
      </c>
      <c r="BJ64" s="663">
        <f t="shared" si="133"/>
        <v>0</v>
      </c>
      <c r="BK64" s="1407"/>
      <c r="BL64" s="699"/>
      <c r="BM64" s="664"/>
      <c r="BN64" s="1407"/>
      <c r="BO64" s="699"/>
      <c r="BP64" s="664"/>
      <c r="BQ64" s="1407"/>
      <c r="BR64" s="699"/>
      <c r="BS64" s="664"/>
      <c r="BT64" s="1407"/>
      <c r="BU64" s="699"/>
      <c r="BV64" s="664"/>
      <c r="BW64" s="1407"/>
      <c r="BX64" s="699"/>
      <c r="BY64" s="664"/>
      <c r="BZ64" s="1407"/>
      <c r="CA64" s="699"/>
      <c r="CB64" s="664"/>
      <c r="CC64" s="1407"/>
      <c r="CD64" s="699"/>
      <c r="CE64" s="664"/>
      <c r="CF64" s="1407"/>
      <c r="CG64" s="699"/>
      <c r="CH64" s="664"/>
      <c r="CI64" s="1739"/>
      <c r="CJ64" s="698"/>
      <c r="CK64" s="1971"/>
      <c r="CL64" s="655"/>
      <c r="CM64" s="698"/>
      <c r="CN64" s="663"/>
      <c r="CO64" s="655"/>
      <c r="CP64" s="698"/>
      <c r="CQ64" s="663"/>
      <c r="CR64" s="1407"/>
      <c r="CS64" s="699"/>
      <c r="CT64" s="664"/>
      <c r="CU64" s="658">
        <f t="shared" si="134"/>
        <v>0</v>
      </c>
      <c r="CV64" s="701">
        <f t="shared" si="135"/>
        <v>0</v>
      </c>
      <c r="CW64" s="666">
        <f t="shared" si="136"/>
        <v>0</v>
      </c>
      <c r="CX64" s="658">
        <f t="shared" si="113"/>
        <v>0</v>
      </c>
      <c r="CY64" s="701">
        <f t="shared" si="114"/>
        <v>0</v>
      </c>
      <c r="CZ64" s="666">
        <f t="shared" si="115"/>
        <v>0</v>
      </c>
      <c r="DA64" s="1407"/>
      <c r="DB64" s="699"/>
      <c r="DC64" s="664"/>
      <c r="DD64" s="1407"/>
      <c r="DE64" s="699"/>
      <c r="DF64" s="664"/>
      <c r="DG64" s="1407"/>
      <c r="DH64" s="699"/>
      <c r="DI64" s="664"/>
      <c r="DJ64" s="658">
        <f t="shared" si="34"/>
        <v>0</v>
      </c>
      <c r="DK64" s="701">
        <f t="shared" si="39"/>
        <v>0</v>
      </c>
      <c r="DL64" s="666">
        <f t="shared" si="40"/>
        <v>0</v>
      </c>
      <c r="DM64" s="1407"/>
      <c r="DN64" s="699"/>
      <c r="DO64" s="664"/>
      <c r="DP64" s="1407"/>
      <c r="DQ64" s="699"/>
      <c r="DR64" s="664"/>
      <c r="DS64" s="658">
        <f t="shared" si="82"/>
        <v>0</v>
      </c>
      <c r="DT64" s="701">
        <f t="shared" si="83"/>
        <v>0</v>
      </c>
      <c r="DU64" s="666">
        <f t="shared" si="84"/>
        <v>0</v>
      </c>
      <c r="DV64" s="1776">
        <v>0</v>
      </c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</row>
    <row r="65" spans="1:237" ht="12.75" customHeight="1" x14ac:dyDescent="0.2">
      <c r="A65" s="1681" t="s">
        <v>595</v>
      </c>
      <c r="B65" s="1687" t="s">
        <v>988</v>
      </c>
      <c r="C65" s="1407"/>
      <c r="D65" s="699"/>
      <c r="E65" s="664"/>
      <c r="F65" s="1407"/>
      <c r="G65" s="699"/>
      <c r="H65" s="664"/>
      <c r="I65" s="1407"/>
      <c r="J65" s="699"/>
      <c r="K65" s="664"/>
      <c r="L65" s="1407"/>
      <c r="M65" s="699"/>
      <c r="N65" s="664"/>
      <c r="O65" s="1407"/>
      <c r="P65" s="699"/>
      <c r="Q65" s="664"/>
      <c r="R65" s="1407"/>
      <c r="S65" s="699"/>
      <c r="T65" s="664"/>
      <c r="U65" s="1407"/>
      <c r="V65" s="699"/>
      <c r="W65" s="664"/>
      <c r="X65" s="1407"/>
      <c r="Y65" s="699"/>
      <c r="Z65" s="664"/>
      <c r="AA65" s="1407"/>
      <c r="AB65" s="699"/>
      <c r="AC65" s="664"/>
      <c r="AD65" s="1407"/>
      <c r="AE65" s="699"/>
      <c r="AF65" s="664"/>
      <c r="AG65" s="1407"/>
      <c r="AH65" s="699"/>
      <c r="AI65" s="664"/>
      <c r="AJ65" s="1407"/>
      <c r="AK65" s="699"/>
      <c r="AL65" s="664"/>
      <c r="AM65" s="1407"/>
      <c r="AN65" s="699"/>
      <c r="AO65" s="664"/>
      <c r="AP65" s="1407"/>
      <c r="AQ65" s="699"/>
      <c r="AR65" s="664"/>
      <c r="AS65" s="1407"/>
      <c r="AT65" s="699"/>
      <c r="AU65" s="664"/>
      <c r="AV65" s="1407"/>
      <c r="AW65" s="699"/>
      <c r="AX65" s="664"/>
      <c r="AY65" s="1407"/>
      <c r="AZ65" s="699"/>
      <c r="BA65" s="664"/>
      <c r="BB65" s="1739"/>
      <c r="BC65" s="698"/>
      <c r="BD65" s="663"/>
      <c r="BE65" s="1407"/>
      <c r="BF65" s="699"/>
      <c r="BG65" s="664"/>
      <c r="BH65" s="1739">
        <f t="shared" si="133"/>
        <v>0</v>
      </c>
      <c r="BI65" s="698">
        <f t="shared" si="133"/>
        <v>0</v>
      </c>
      <c r="BJ65" s="663">
        <f t="shared" si="133"/>
        <v>0</v>
      </c>
      <c r="BK65" s="1407"/>
      <c r="BL65" s="699"/>
      <c r="BM65" s="664"/>
      <c r="BN65" s="1407"/>
      <c r="BO65" s="699"/>
      <c r="BP65" s="664"/>
      <c r="BQ65" s="1407"/>
      <c r="BR65" s="699"/>
      <c r="BS65" s="664"/>
      <c r="BT65" s="1407"/>
      <c r="BU65" s="699"/>
      <c r="BV65" s="664"/>
      <c r="BW65" s="1407"/>
      <c r="BX65" s="699"/>
      <c r="BY65" s="664"/>
      <c r="BZ65" s="1407"/>
      <c r="CA65" s="699"/>
      <c r="CB65" s="664"/>
      <c r="CC65" s="1407"/>
      <c r="CD65" s="699"/>
      <c r="CE65" s="664"/>
      <c r="CF65" s="1407"/>
      <c r="CG65" s="699"/>
      <c r="CH65" s="664"/>
      <c r="CI65" s="1739"/>
      <c r="CJ65" s="698"/>
      <c r="CK65" s="1971"/>
      <c r="CL65" s="655"/>
      <c r="CM65" s="698"/>
      <c r="CN65" s="663"/>
      <c r="CO65" s="655"/>
      <c r="CP65" s="698"/>
      <c r="CQ65" s="663"/>
      <c r="CR65" s="1407"/>
      <c r="CS65" s="699"/>
      <c r="CT65" s="664"/>
      <c r="CU65" s="658">
        <f t="shared" si="134"/>
        <v>0</v>
      </c>
      <c r="CV65" s="701">
        <f t="shared" si="135"/>
        <v>0</v>
      </c>
      <c r="CW65" s="666">
        <f t="shared" si="136"/>
        <v>0</v>
      </c>
      <c r="CX65" s="658">
        <f t="shared" si="113"/>
        <v>0</v>
      </c>
      <c r="CY65" s="701">
        <f t="shared" si="114"/>
        <v>0</v>
      </c>
      <c r="CZ65" s="666">
        <f t="shared" si="115"/>
        <v>0</v>
      </c>
      <c r="DA65" s="1407"/>
      <c r="DB65" s="699"/>
      <c r="DC65" s="664"/>
      <c r="DD65" s="1407"/>
      <c r="DE65" s="699"/>
      <c r="DF65" s="664"/>
      <c r="DG65" s="1407"/>
      <c r="DH65" s="699"/>
      <c r="DI65" s="664"/>
      <c r="DJ65" s="658">
        <f t="shared" si="34"/>
        <v>0</v>
      </c>
      <c r="DK65" s="701">
        <f t="shared" si="39"/>
        <v>0</v>
      </c>
      <c r="DL65" s="666">
        <f t="shared" si="40"/>
        <v>0</v>
      </c>
      <c r="DM65" s="1407"/>
      <c r="DN65" s="699"/>
      <c r="DO65" s="664"/>
      <c r="DP65" s="1407"/>
      <c r="DQ65" s="699"/>
      <c r="DR65" s="664"/>
      <c r="DS65" s="658">
        <f t="shared" si="82"/>
        <v>0</v>
      </c>
      <c r="DT65" s="701">
        <f t="shared" si="83"/>
        <v>0</v>
      </c>
      <c r="DU65" s="666">
        <f t="shared" si="84"/>
        <v>0</v>
      </c>
      <c r="DV65" s="1776">
        <v>0</v>
      </c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</row>
    <row r="66" spans="1:237" ht="12.75" customHeight="1" x14ac:dyDescent="0.2">
      <c r="A66" s="1681" t="s">
        <v>39</v>
      </c>
      <c r="B66" s="1688" t="s">
        <v>990</v>
      </c>
      <c r="C66" s="1407"/>
      <c r="D66" s="698">
        <v>216342</v>
      </c>
      <c r="E66" s="663">
        <v>216342</v>
      </c>
      <c r="F66" s="1407"/>
      <c r="G66" s="699"/>
      <c r="H66" s="664"/>
      <c r="I66" s="1407"/>
      <c r="J66" s="699"/>
      <c r="K66" s="664"/>
      <c r="L66" s="1407"/>
      <c r="M66" s="699"/>
      <c r="N66" s="664"/>
      <c r="O66" s="1407"/>
      <c r="P66" s="699"/>
      <c r="Q66" s="664"/>
      <c r="R66" s="1407"/>
      <c r="S66" s="699"/>
      <c r="T66" s="664"/>
      <c r="U66" s="1739"/>
      <c r="V66" s="698">
        <v>71422.611000000004</v>
      </c>
      <c r="W66" s="663">
        <v>71422.611000000004</v>
      </c>
      <c r="X66" s="1739"/>
      <c r="Y66" s="698"/>
      <c r="Z66" s="663"/>
      <c r="AA66" s="1407"/>
      <c r="AB66" s="699"/>
      <c r="AC66" s="664"/>
      <c r="AD66" s="1407"/>
      <c r="AE66" s="699"/>
      <c r="AF66" s="664"/>
      <c r="AG66" s="1407"/>
      <c r="AH66" s="699"/>
      <c r="AI66" s="664"/>
      <c r="AJ66" s="1407"/>
      <c r="AK66" s="699"/>
      <c r="AL66" s="664"/>
      <c r="AM66" s="1407"/>
      <c r="AN66" s="698"/>
      <c r="AO66" s="663"/>
      <c r="AP66" s="1407"/>
      <c r="AQ66" s="699"/>
      <c r="AR66" s="664"/>
      <c r="AS66" s="1407"/>
      <c r="AT66" s="699"/>
      <c r="AU66" s="664"/>
      <c r="AV66" s="1407"/>
      <c r="AW66" s="699"/>
      <c r="AX66" s="664"/>
      <c r="AY66" s="1407"/>
      <c r="AZ66" s="699"/>
      <c r="BA66" s="664"/>
      <c r="BB66" s="1739"/>
      <c r="BC66" s="698"/>
      <c r="BD66" s="663"/>
      <c r="BE66" s="1407"/>
      <c r="BF66" s="699"/>
      <c r="BG66" s="664"/>
      <c r="BH66" s="1739">
        <f t="shared" si="133"/>
        <v>0</v>
      </c>
      <c r="BI66" s="698">
        <f t="shared" si="133"/>
        <v>287764.61100000003</v>
      </c>
      <c r="BJ66" s="663">
        <f t="shared" si="133"/>
        <v>287764.61100000003</v>
      </c>
      <c r="BK66" s="1407"/>
      <c r="BL66" s="699"/>
      <c r="BM66" s="664"/>
      <c r="BN66" s="1407"/>
      <c r="BO66" s="699"/>
      <c r="BP66" s="664"/>
      <c r="BQ66" s="1407"/>
      <c r="BR66" s="699"/>
      <c r="BS66" s="664"/>
      <c r="BT66" s="1407"/>
      <c r="BU66" s="699"/>
      <c r="BV66" s="664"/>
      <c r="BW66" s="1407"/>
      <c r="BX66" s="699"/>
      <c r="BY66" s="664"/>
      <c r="BZ66" s="1407"/>
      <c r="CA66" s="699"/>
      <c r="CB66" s="664"/>
      <c r="CC66" s="1407"/>
      <c r="CD66" s="699"/>
      <c r="CE66" s="664"/>
      <c r="CF66" s="1407"/>
      <c r="CG66" s="699"/>
      <c r="CH66" s="664"/>
      <c r="CI66" s="1739"/>
      <c r="CJ66" s="698">
        <v>16684.594000000001</v>
      </c>
      <c r="CK66" s="1971">
        <v>16684.594000000001</v>
      </c>
      <c r="CL66" s="655"/>
      <c r="CM66" s="698"/>
      <c r="CN66" s="663"/>
      <c r="CO66" s="655"/>
      <c r="CP66" s="698"/>
      <c r="CQ66" s="663"/>
      <c r="CR66" s="1407"/>
      <c r="CS66" s="699"/>
      <c r="CT66" s="664"/>
      <c r="CU66" s="658">
        <f t="shared" si="134"/>
        <v>0</v>
      </c>
      <c r="CV66" s="701">
        <f t="shared" si="135"/>
        <v>16684.594000000001</v>
      </c>
      <c r="CW66" s="666">
        <f t="shared" si="136"/>
        <v>16684.594000000001</v>
      </c>
      <c r="CX66" s="658">
        <f t="shared" si="113"/>
        <v>0</v>
      </c>
      <c r="CY66" s="701">
        <f t="shared" si="114"/>
        <v>304449.20500000002</v>
      </c>
      <c r="CZ66" s="666">
        <f t="shared" si="115"/>
        <v>304449.20500000002</v>
      </c>
      <c r="DA66" s="1407"/>
      <c r="DB66" s="699"/>
      <c r="DC66" s="664"/>
      <c r="DD66" s="1407"/>
      <c r="DE66" s="699"/>
      <c r="DF66" s="664"/>
      <c r="DG66" s="1407"/>
      <c r="DH66" s="699"/>
      <c r="DI66" s="664"/>
      <c r="DJ66" s="658">
        <f t="shared" si="34"/>
        <v>0</v>
      </c>
      <c r="DK66" s="701">
        <f t="shared" si="39"/>
        <v>0</v>
      </c>
      <c r="DL66" s="666">
        <f t="shared" si="40"/>
        <v>0</v>
      </c>
      <c r="DM66" s="1407"/>
      <c r="DN66" s="699"/>
      <c r="DO66" s="666"/>
      <c r="DP66" s="1407"/>
      <c r="DQ66" s="699"/>
      <c r="DR66" s="664"/>
      <c r="DS66" s="658">
        <f t="shared" si="82"/>
        <v>0</v>
      </c>
      <c r="DT66" s="701">
        <f t="shared" si="83"/>
        <v>304449.20500000002</v>
      </c>
      <c r="DU66" s="666">
        <f t="shared" si="84"/>
        <v>304449.20500000002</v>
      </c>
      <c r="DV66" s="1814">
        <f>DU66/DT66*100</f>
        <v>100</v>
      </c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</row>
    <row r="67" spans="1:237" s="133" customFormat="1" ht="15" customHeight="1" x14ac:dyDescent="0.2">
      <c r="A67" s="1689" t="s">
        <v>116</v>
      </c>
      <c r="B67" s="1690" t="s">
        <v>989</v>
      </c>
      <c r="C67" s="1735">
        <f t="shared" ref="C67:AH67" si="137">C68+C69+C80+C81</f>
        <v>0</v>
      </c>
      <c r="D67" s="1730">
        <f t="shared" si="137"/>
        <v>0</v>
      </c>
      <c r="E67" s="1731">
        <f t="shared" si="137"/>
        <v>0</v>
      </c>
      <c r="F67" s="1735">
        <f t="shared" si="137"/>
        <v>0</v>
      </c>
      <c r="G67" s="1730">
        <f t="shared" si="137"/>
        <v>352</v>
      </c>
      <c r="H67" s="1731">
        <f t="shared" si="137"/>
        <v>352</v>
      </c>
      <c r="I67" s="1735">
        <f t="shared" si="137"/>
        <v>0</v>
      </c>
      <c r="J67" s="1730">
        <f t="shared" si="137"/>
        <v>0</v>
      </c>
      <c r="K67" s="1731">
        <f t="shared" si="137"/>
        <v>0</v>
      </c>
      <c r="L67" s="1735">
        <f t="shared" si="137"/>
        <v>0</v>
      </c>
      <c r="M67" s="1730">
        <f t="shared" si="137"/>
        <v>0</v>
      </c>
      <c r="N67" s="1731">
        <f t="shared" si="137"/>
        <v>0</v>
      </c>
      <c r="O67" s="1735">
        <f t="shared" si="137"/>
        <v>0</v>
      </c>
      <c r="P67" s="1730">
        <f t="shared" si="137"/>
        <v>0</v>
      </c>
      <c r="Q67" s="1731">
        <f t="shared" si="137"/>
        <v>0</v>
      </c>
      <c r="R67" s="1735">
        <f t="shared" si="137"/>
        <v>0</v>
      </c>
      <c r="S67" s="1730">
        <f t="shared" si="137"/>
        <v>0</v>
      </c>
      <c r="T67" s="1731">
        <f t="shared" si="137"/>
        <v>0</v>
      </c>
      <c r="U67" s="1735">
        <f t="shared" si="137"/>
        <v>0</v>
      </c>
      <c r="V67" s="1730">
        <f t="shared" si="137"/>
        <v>0</v>
      </c>
      <c r="W67" s="1731">
        <f t="shared" si="137"/>
        <v>0</v>
      </c>
      <c r="X67" s="1735">
        <f t="shared" si="137"/>
        <v>0</v>
      </c>
      <c r="Y67" s="1730">
        <f t="shared" si="137"/>
        <v>0</v>
      </c>
      <c r="Z67" s="1731">
        <f t="shared" si="137"/>
        <v>0</v>
      </c>
      <c r="AA67" s="1735">
        <f t="shared" si="137"/>
        <v>0</v>
      </c>
      <c r="AB67" s="1730">
        <f t="shared" si="137"/>
        <v>0</v>
      </c>
      <c r="AC67" s="1731">
        <f t="shared" si="137"/>
        <v>0</v>
      </c>
      <c r="AD67" s="1735">
        <f t="shared" si="137"/>
        <v>0</v>
      </c>
      <c r="AE67" s="1730">
        <f t="shared" si="137"/>
        <v>0</v>
      </c>
      <c r="AF67" s="1731">
        <f t="shared" si="137"/>
        <v>0</v>
      </c>
      <c r="AG67" s="1735">
        <f t="shared" si="137"/>
        <v>355000</v>
      </c>
      <c r="AH67" s="1730">
        <f t="shared" si="137"/>
        <v>355000</v>
      </c>
      <c r="AI67" s="1731">
        <f t="shared" ref="AI67:BJ67" si="138">AI68+AI69+AI80+AI81</f>
        <v>483984.89</v>
      </c>
      <c r="AJ67" s="1735">
        <f t="shared" si="138"/>
        <v>0</v>
      </c>
      <c r="AK67" s="1730">
        <f t="shared" si="138"/>
        <v>0</v>
      </c>
      <c r="AL67" s="1731">
        <f t="shared" si="138"/>
        <v>0</v>
      </c>
      <c r="AM67" s="1735">
        <f t="shared" si="138"/>
        <v>0</v>
      </c>
      <c r="AN67" s="1730">
        <f t="shared" si="138"/>
        <v>0</v>
      </c>
      <c r="AO67" s="1731">
        <f t="shared" si="138"/>
        <v>0</v>
      </c>
      <c r="AP67" s="1735">
        <f t="shared" si="138"/>
        <v>0</v>
      </c>
      <c r="AQ67" s="1730">
        <f t="shared" si="138"/>
        <v>0</v>
      </c>
      <c r="AR67" s="1731">
        <f t="shared" si="138"/>
        <v>0</v>
      </c>
      <c r="AS67" s="1735">
        <f t="shared" si="138"/>
        <v>0</v>
      </c>
      <c r="AT67" s="1730">
        <f t="shared" si="138"/>
        <v>0</v>
      </c>
      <c r="AU67" s="1731">
        <f t="shared" si="138"/>
        <v>0</v>
      </c>
      <c r="AV67" s="1735">
        <f t="shared" si="138"/>
        <v>0</v>
      </c>
      <c r="AW67" s="1730">
        <f t="shared" si="138"/>
        <v>0</v>
      </c>
      <c r="AX67" s="1731">
        <f t="shared" si="138"/>
        <v>0</v>
      </c>
      <c r="AY67" s="1735">
        <f t="shared" si="138"/>
        <v>0</v>
      </c>
      <c r="AZ67" s="1730">
        <f t="shared" si="138"/>
        <v>0</v>
      </c>
      <c r="BA67" s="1731">
        <f t="shared" si="138"/>
        <v>0</v>
      </c>
      <c r="BB67" s="1735">
        <f t="shared" si="138"/>
        <v>0</v>
      </c>
      <c r="BC67" s="1730">
        <f t="shared" si="138"/>
        <v>0</v>
      </c>
      <c r="BD67" s="1731">
        <f t="shared" si="138"/>
        <v>0</v>
      </c>
      <c r="BE67" s="1735">
        <f t="shared" si="138"/>
        <v>1000000</v>
      </c>
      <c r="BF67" s="1730">
        <f t="shared" si="138"/>
        <v>1008301</v>
      </c>
      <c r="BG67" s="1731">
        <f t="shared" si="138"/>
        <v>344703.913</v>
      </c>
      <c r="BH67" s="1735">
        <f t="shared" si="138"/>
        <v>1355000</v>
      </c>
      <c r="BI67" s="1730">
        <f t="shared" si="138"/>
        <v>1363653</v>
      </c>
      <c r="BJ67" s="1731">
        <f t="shared" si="138"/>
        <v>829040.80300000007</v>
      </c>
      <c r="BK67" s="1735">
        <f t="shared" ref="BK67:CW67" si="139">BK68+BK69+BK80+BK81</f>
        <v>0</v>
      </c>
      <c r="BL67" s="1730">
        <f t="shared" si="139"/>
        <v>0</v>
      </c>
      <c r="BM67" s="1731">
        <f t="shared" si="139"/>
        <v>0</v>
      </c>
      <c r="BN67" s="1735">
        <f t="shared" si="139"/>
        <v>0</v>
      </c>
      <c r="BO67" s="1730">
        <f t="shared" si="139"/>
        <v>0</v>
      </c>
      <c r="BP67" s="1731">
        <f t="shared" si="139"/>
        <v>0</v>
      </c>
      <c r="BQ67" s="1735">
        <f t="shared" si="139"/>
        <v>0</v>
      </c>
      <c r="BR67" s="1730">
        <f t="shared" si="139"/>
        <v>0</v>
      </c>
      <c r="BS67" s="1731">
        <f t="shared" si="139"/>
        <v>0</v>
      </c>
      <c r="BT67" s="1735">
        <f t="shared" si="139"/>
        <v>0</v>
      </c>
      <c r="BU67" s="1730">
        <f t="shared" si="139"/>
        <v>0</v>
      </c>
      <c r="BV67" s="1731">
        <f t="shared" si="139"/>
        <v>0</v>
      </c>
      <c r="BW67" s="1735">
        <f t="shared" si="139"/>
        <v>0</v>
      </c>
      <c r="BX67" s="1730">
        <f t="shared" si="139"/>
        <v>0</v>
      </c>
      <c r="BY67" s="1731">
        <f t="shared" si="139"/>
        <v>0</v>
      </c>
      <c r="BZ67" s="1735">
        <f t="shared" si="139"/>
        <v>0</v>
      </c>
      <c r="CA67" s="1730">
        <f t="shared" si="139"/>
        <v>0</v>
      </c>
      <c r="CB67" s="1731">
        <f t="shared" si="139"/>
        <v>0</v>
      </c>
      <c r="CC67" s="1735">
        <f t="shared" si="139"/>
        <v>0</v>
      </c>
      <c r="CD67" s="1730">
        <f t="shared" si="139"/>
        <v>0</v>
      </c>
      <c r="CE67" s="1731">
        <f t="shared" si="139"/>
        <v>0</v>
      </c>
      <c r="CF67" s="1735">
        <f t="shared" si="139"/>
        <v>0</v>
      </c>
      <c r="CG67" s="1730">
        <f t="shared" si="139"/>
        <v>0</v>
      </c>
      <c r="CH67" s="1731">
        <f t="shared" si="139"/>
        <v>0</v>
      </c>
      <c r="CI67" s="1735">
        <f t="shared" si="139"/>
        <v>0</v>
      </c>
      <c r="CJ67" s="1730">
        <f t="shared" si="139"/>
        <v>0</v>
      </c>
      <c r="CK67" s="1975">
        <f t="shared" si="139"/>
        <v>0</v>
      </c>
      <c r="CL67" s="1735">
        <f t="shared" ref="CL67:CT67" si="140">CL68+CL69+CL80+CL81</f>
        <v>0</v>
      </c>
      <c r="CM67" s="1730">
        <f t="shared" si="140"/>
        <v>0</v>
      </c>
      <c r="CN67" s="1731">
        <f t="shared" si="140"/>
        <v>0</v>
      </c>
      <c r="CO67" s="1735">
        <f t="shared" si="140"/>
        <v>0</v>
      </c>
      <c r="CP67" s="1730">
        <f t="shared" si="140"/>
        <v>0</v>
      </c>
      <c r="CQ67" s="1731">
        <f t="shared" si="140"/>
        <v>0</v>
      </c>
      <c r="CR67" s="1735">
        <f t="shared" si="140"/>
        <v>0</v>
      </c>
      <c r="CS67" s="1730">
        <f t="shared" si="140"/>
        <v>0</v>
      </c>
      <c r="CT67" s="1731">
        <f t="shared" si="140"/>
        <v>0</v>
      </c>
      <c r="CU67" s="1735">
        <f t="shared" si="139"/>
        <v>0</v>
      </c>
      <c r="CV67" s="1730">
        <f t="shared" si="139"/>
        <v>0</v>
      </c>
      <c r="CW67" s="1731">
        <f t="shared" si="139"/>
        <v>0</v>
      </c>
      <c r="CX67" s="1735">
        <f t="shared" si="113"/>
        <v>1355000</v>
      </c>
      <c r="CY67" s="1730">
        <f t="shared" si="114"/>
        <v>1363653</v>
      </c>
      <c r="CZ67" s="1731">
        <f t="shared" si="115"/>
        <v>829040.80300000007</v>
      </c>
      <c r="DA67" s="1735">
        <f t="shared" ref="DA67:DI67" si="141">DA68+DA69+DA80+DA81</f>
        <v>0</v>
      </c>
      <c r="DB67" s="1730">
        <f t="shared" si="141"/>
        <v>0</v>
      </c>
      <c r="DC67" s="1731">
        <f t="shared" si="141"/>
        <v>0</v>
      </c>
      <c r="DD67" s="1735">
        <f t="shared" si="141"/>
        <v>0</v>
      </c>
      <c r="DE67" s="1730">
        <f t="shared" si="141"/>
        <v>0</v>
      </c>
      <c r="DF67" s="1731">
        <f t="shared" si="141"/>
        <v>0</v>
      </c>
      <c r="DG67" s="1735">
        <f t="shared" si="141"/>
        <v>150</v>
      </c>
      <c r="DH67" s="1730">
        <f t="shared" si="141"/>
        <v>2032</v>
      </c>
      <c r="DI67" s="1731">
        <f t="shared" si="141"/>
        <v>2032.107</v>
      </c>
      <c r="DJ67" s="1735">
        <f t="shared" si="34"/>
        <v>150</v>
      </c>
      <c r="DK67" s="1730">
        <f t="shared" si="39"/>
        <v>2032</v>
      </c>
      <c r="DL67" s="1731">
        <f t="shared" si="40"/>
        <v>2032.107</v>
      </c>
      <c r="DM67" s="1735">
        <f t="shared" ref="DM67:DR67" si="142">DM68+DM69+DM80+DM81</f>
        <v>0</v>
      </c>
      <c r="DN67" s="1730">
        <f t="shared" si="142"/>
        <v>0</v>
      </c>
      <c r="DO67" s="1731">
        <f t="shared" si="142"/>
        <v>0</v>
      </c>
      <c r="DP67" s="1735">
        <f t="shared" si="142"/>
        <v>0</v>
      </c>
      <c r="DQ67" s="1730">
        <f t="shared" si="142"/>
        <v>700</v>
      </c>
      <c r="DR67" s="1731">
        <f t="shared" si="142"/>
        <v>700</v>
      </c>
      <c r="DS67" s="1735">
        <f t="shared" si="82"/>
        <v>1355150</v>
      </c>
      <c r="DT67" s="1730">
        <f t="shared" si="83"/>
        <v>1366385</v>
      </c>
      <c r="DU67" s="1731">
        <f t="shared" si="84"/>
        <v>831772.91</v>
      </c>
      <c r="DV67" s="1782">
        <f t="shared" ref="DV67:DV77" si="143">DU67/DT67*100</f>
        <v>60.873978417503125</v>
      </c>
      <c r="DW67" s="598"/>
      <c r="DX67" s="598"/>
      <c r="DY67" s="598"/>
      <c r="DZ67" s="598"/>
      <c r="EA67" s="598"/>
      <c r="EB67" s="598"/>
      <c r="EC67" s="598"/>
      <c r="ED67" s="598"/>
      <c r="EE67" s="598"/>
      <c r="EF67" s="598"/>
      <c r="EG67" s="598"/>
      <c r="EH67" s="598"/>
      <c r="EI67" s="598"/>
      <c r="EJ67" s="598"/>
      <c r="EK67" s="598"/>
      <c r="EL67" s="598"/>
      <c r="EM67" s="598"/>
      <c r="EN67" s="598"/>
      <c r="EO67" s="598"/>
      <c r="EP67" s="598"/>
      <c r="EQ67" s="598"/>
      <c r="ER67" s="598"/>
      <c r="ES67" s="598"/>
      <c r="ET67" s="598"/>
      <c r="EU67" s="598"/>
      <c r="EV67" s="598"/>
      <c r="EW67" s="598"/>
      <c r="EX67" s="598"/>
      <c r="EY67" s="598"/>
      <c r="EZ67" s="598"/>
      <c r="FA67" s="598"/>
      <c r="FB67" s="598"/>
      <c r="FC67" s="598"/>
      <c r="FD67" s="598"/>
      <c r="FE67" s="598"/>
      <c r="FF67" s="598"/>
      <c r="FG67" s="598"/>
      <c r="FH67" s="598"/>
      <c r="FI67" s="598"/>
      <c r="FJ67" s="598"/>
      <c r="FK67" s="598"/>
      <c r="FL67" s="598"/>
      <c r="FM67" s="598"/>
      <c r="FN67" s="598"/>
      <c r="FO67" s="598"/>
      <c r="FP67" s="598"/>
      <c r="FQ67" s="598"/>
      <c r="FR67" s="598"/>
      <c r="FS67" s="598"/>
      <c r="FT67" s="598"/>
      <c r="FU67" s="598"/>
      <c r="FV67" s="598"/>
      <c r="FW67" s="598"/>
      <c r="FX67" s="598"/>
      <c r="FY67" s="598"/>
      <c r="FZ67" s="598"/>
      <c r="GA67" s="598"/>
      <c r="GB67" s="598"/>
      <c r="GC67" s="598"/>
      <c r="GD67" s="598"/>
      <c r="GE67" s="598"/>
      <c r="GF67" s="598"/>
      <c r="GG67" s="598"/>
      <c r="GH67" s="598"/>
      <c r="GI67" s="598"/>
      <c r="GJ67" s="598"/>
      <c r="GK67" s="598"/>
      <c r="GL67" s="598"/>
      <c r="GM67" s="598"/>
      <c r="GN67" s="598"/>
      <c r="GO67" s="598"/>
      <c r="GP67" s="598"/>
      <c r="GQ67" s="598"/>
      <c r="GR67" s="598"/>
      <c r="GS67" s="598"/>
      <c r="GT67" s="598"/>
      <c r="GU67" s="598"/>
      <c r="GV67" s="598"/>
      <c r="GW67" s="598"/>
      <c r="GX67" s="598"/>
      <c r="GY67" s="598"/>
      <c r="GZ67" s="598"/>
      <c r="HA67" s="598"/>
      <c r="HB67" s="598"/>
      <c r="HC67" s="598"/>
      <c r="HD67" s="598"/>
      <c r="HE67" s="598"/>
      <c r="HF67" s="598"/>
      <c r="HG67" s="598"/>
      <c r="HH67" s="598"/>
      <c r="HI67" s="598"/>
      <c r="HJ67" s="598"/>
      <c r="HK67" s="598"/>
      <c r="HL67" s="598"/>
      <c r="HM67" s="598"/>
      <c r="HN67" s="598"/>
      <c r="HO67" s="598"/>
      <c r="HP67" s="598"/>
      <c r="HQ67" s="598"/>
      <c r="HR67" s="598"/>
      <c r="HS67" s="598"/>
      <c r="HT67" s="598"/>
      <c r="HU67" s="598"/>
      <c r="HV67" s="598"/>
      <c r="HW67" s="598"/>
      <c r="HX67" s="598"/>
      <c r="HY67" s="598"/>
      <c r="HZ67" s="598"/>
      <c r="IA67" s="598"/>
      <c r="IB67" s="598"/>
      <c r="IC67" s="598"/>
    </row>
    <row r="68" spans="1:237" ht="12.75" customHeight="1" x14ac:dyDescent="0.2">
      <c r="A68" s="1681" t="s">
        <v>40</v>
      </c>
      <c r="B68" s="1682" t="s">
        <v>966</v>
      </c>
      <c r="C68" s="657"/>
      <c r="D68" s="700"/>
      <c r="E68" s="665"/>
      <c r="F68" s="657"/>
      <c r="G68" s="700"/>
      <c r="H68" s="665"/>
      <c r="I68" s="657"/>
      <c r="J68" s="700"/>
      <c r="K68" s="665"/>
      <c r="L68" s="657"/>
      <c r="M68" s="700"/>
      <c r="N68" s="665"/>
      <c r="O68" s="657"/>
      <c r="P68" s="700"/>
      <c r="Q68" s="665"/>
      <c r="R68" s="657"/>
      <c r="S68" s="700"/>
      <c r="T68" s="665"/>
      <c r="U68" s="657"/>
      <c r="V68" s="700"/>
      <c r="W68" s="665"/>
      <c r="X68" s="657"/>
      <c r="Y68" s="700"/>
      <c r="Z68" s="665"/>
      <c r="AA68" s="657"/>
      <c r="AB68" s="700"/>
      <c r="AC68" s="665"/>
      <c r="AD68" s="657"/>
      <c r="AE68" s="700"/>
      <c r="AF68" s="665"/>
      <c r="AG68" s="657"/>
      <c r="AH68" s="700"/>
      <c r="AI68" s="665"/>
      <c r="AJ68" s="657"/>
      <c r="AK68" s="700"/>
      <c r="AL68" s="665"/>
      <c r="AM68" s="657"/>
      <c r="AN68" s="700"/>
      <c r="AO68" s="665"/>
      <c r="AP68" s="657"/>
      <c r="AQ68" s="700"/>
      <c r="AR68" s="665"/>
      <c r="AS68" s="657"/>
      <c r="AT68" s="700"/>
      <c r="AU68" s="665"/>
      <c r="AV68" s="657"/>
      <c r="AW68" s="700"/>
      <c r="AX68" s="665"/>
      <c r="AY68" s="657"/>
      <c r="AZ68" s="700"/>
      <c r="BA68" s="665"/>
      <c r="BB68" s="657"/>
      <c r="BC68" s="700"/>
      <c r="BD68" s="665"/>
      <c r="BE68" s="657"/>
      <c r="BF68" s="700"/>
      <c r="BG68" s="665"/>
      <c r="BH68" s="1757">
        <f>C68+F68+I68+L68+O68+R68+U68+X68+AA68+AD68+AG68+AJ68+AM68+AP68+AS68+AV68+AY68+BB68+BE68</f>
        <v>0</v>
      </c>
      <c r="BI68" s="1758">
        <f>D68+G68+J68+M68+P68+S68+V68+Y68+AB68+AE68+AH68+AK68+AN68+AQ68+AT68+AW68+AZ68+BC68+BF68</f>
        <v>0</v>
      </c>
      <c r="BJ68" s="1759">
        <f>E68+H68+K68+N68+Q68+T68+W68+Z68+AC68+AF68+AI68+AL68+AO68+AR68+AU68+AX68+BA68+BD68+BG68</f>
        <v>0</v>
      </c>
      <c r="BK68" s="657"/>
      <c r="BL68" s="700"/>
      <c r="BM68" s="665"/>
      <c r="BN68" s="657"/>
      <c r="BO68" s="700"/>
      <c r="BP68" s="665"/>
      <c r="BQ68" s="657"/>
      <c r="BR68" s="700"/>
      <c r="BS68" s="665"/>
      <c r="BT68" s="657"/>
      <c r="BU68" s="700"/>
      <c r="BV68" s="665"/>
      <c r="BW68" s="657"/>
      <c r="BX68" s="700"/>
      <c r="BY68" s="665"/>
      <c r="BZ68" s="657"/>
      <c r="CA68" s="700"/>
      <c r="CB68" s="665"/>
      <c r="CC68" s="657"/>
      <c r="CD68" s="700"/>
      <c r="CE68" s="665"/>
      <c r="CF68" s="657"/>
      <c r="CG68" s="700"/>
      <c r="CH68" s="665"/>
      <c r="CI68" s="657"/>
      <c r="CJ68" s="700"/>
      <c r="CK68" s="1973"/>
      <c r="CL68" s="657"/>
      <c r="CM68" s="700"/>
      <c r="CN68" s="665"/>
      <c r="CO68" s="1993"/>
      <c r="CP68" s="1994"/>
      <c r="CQ68" s="1995"/>
      <c r="CR68" s="657"/>
      <c r="CS68" s="700"/>
      <c r="CT68" s="665"/>
      <c r="CU68" s="1708">
        <f>BK68+BN68+BQ68+BT68+BW68+BZ68+CC68+CF68+CI68+CL68+CO68</f>
        <v>0</v>
      </c>
      <c r="CV68" s="1709">
        <f>BL68+BO68+BR68+BU68+BX68+CA68+CD68+CG68+CJ68+CM68+CP68</f>
        <v>0</v>
      </c>
      <c r="CW68" s="1710">
        <f>BM68+BP68+BS68+BV68+BY68+CB68+CE68+CH68+CK68+CN68+CQ68</f>
        <v>0</v>
      </c>
      <c r="CX68" s="1708">
        <f t="shared" si="113"/>
        <v>0</v>
      </c>
      <c r="CY68" s="1709">
        <f t="shared" si="114"/>
        <v>0</v>
      </c>
      <c r="CZ68" s="1710">
        <f t="shared" si="115"/>
        <v>0</v>
      </c>
      <c r="DA68" s="657"/>
      <c r="DB68" s="700"/>
      <c r="DC68" s="665"/>
      <c r="DD68" s="657"/>
      <c r="DE68" s="700"/>
      <c r="DF68" s="665"/>
      <c r="DG68" s="657"/>
      <c r="DH68" s="700"/>
      <c r="DI68" s="665"/>
      <c r="DJ68" s="1708">
        <f t="shared" si="34"/>
        <v>0</v>
      </c>
      <c r="DK68" s="1709">
        <f t="shared" si="39"/>
        <v>0</v>
      </c>
      <c r="DL68" s="1710">
        <f t="shared" si="40"/>
        <v>0</v>
      </c>
      <c r="DM68" s="657"/>
      <c r="DN68" s="700"/>
      <c r="DO68" s="665"/>
      <c r="DP68" s="657"/>
      <c r="DQ68" s="700"/>
      <c r="DR68" s="665"/>
      <c r="DS68" s="1708">
        <f t="shared" si="82"/>
        <v>0</v>
      </c>
      <c r="DT68" s="1709">
        <f t="shared" si="83"/>
        <v>0</v>
      </c>
      <c r="DU68" s="1710">
        <f t="shared" si="84"/>
        <v>0</v>
      </c>
      <c r="DV68" s="1180">
        <v>0</v>
      </c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</row>
    <row r="69" spans="1:237" ht="12.75" customHeight="1" x14ac:dyDescent="0.2">
      <c r="A69" s="1681" t="s">
        <v>41</v>
      </c>
      <c r="B69" s="1682" t="s">
        <v>967</v>
      </c>
      <c r="C69" s="1736">
        <f t="shared" ref="C69:AH69" si="144">C70+C75+C78+C79</f>
        <v>0</v>
      </c>
      <c r="D69" s="1737">
        <f t="shared" si="144"/>
        <v>0</v>
      </c>
      <c r="E69" s="1738">
        <f t="shared" si="144"/>
        <v>0</v>
      </c>
      <c r="F69" s="1736">
        <f t="shared" si="144"/>
        <v>0</v>
      </c>
      <c r="G69" s="1737">
        <f t="shared" si="144"/>
        <v>0</v>
      </c>
      <c r="H69" s="1738">
        <f t="shared" si="144"/>
        <v>0</v>
      </c>
      <c r="I69" s="1736">
        <f t="shared" si="144"/>
        <v>0</v>
      </c>
      <c r="J69" s="1737">
        <f t="shared" si="144"/>
        <v>0</v>
      </c>
      <c r="K69" s="1738">
        <f t="shared" si="144"/>
        <v>0</v>
      </c>
      <c r="L69" s="1736">
        <f t="shared" si="144"/>
        <v>0</v>
      </c>
      <c r="M69" s="1737">
        <f t="shared" si="144"/>
        <v>0</v>
      </c>
      <c r="N69" s="1738">
        <f t="shared" si="144"/>
        <v>0</v>
      </c>
      <c r="O69" s="1736">
        <f t="shared" si="144"/>
        <v>0</v>
      </c>
      <c r="P69" s="1737">
        <f t="shared" si="144"/>
        <v>0</v>
      </c>
      <c r="Q69" s="1738">
        <f t="shared" si="144"/>
        <v>0</v>
      </c>
      <c r="R69" s="1736">
        <f t="shared" si="144"/>
        <v>0</v>
      </c>
      <c r="S69" s="1737">
        <f t="shared" si="144"/>
        <v>0</v>
      </c>
      <c r="T69" s="1738">
        <f t="shared" si="144"/>
        <v>0</v>
      </c>
      <c r="U69" s="1736">
        <f t="shared" si="144"/>
        <v>0</v>
      </c>
      <c r="V69" s="1737">
        <f t="shared" si="144"/>
        <v>0</v>
      </c>
      <c r="W69" s="1738">
        <f t="shared" si="144"/>
        <v>0</v>
      </c>
      <c r="X69" s="1736">
        <f t="shared" si="144"/>
        <v>0</v>
      </c>
      <c r="Y69" s="1737">
        <f t="shared" si="144"/>
        <v>0</v>
      </c>
      <c r="Z69" s="1738">
        <f t="shared" si="144"/>
        <v>0</v>
      </c>
      <c r="AA69" s="1736">
        <f t="shared" si="144"/>
        <v>0</v>
      </c>
      <c r="AB69" s="1737">
        <f t="shared" si="144"/>
        <v>0</v>
      </c>
      <c r="AC69" s="1738">
        <f t="shared" si="144"/>
        <v>0</v>
      </c>
      <c r="AD69" s="1736">
        <f t="shared" si="144"/>
        <v>0</v>
      </c>
      <c r="AE69" s="1737">
        <f t="shared" si="144"/>
        <v>0</v>
      </c>
      <c r="AF69" s="1738">
        <f t="shared" si="144"/>
        <v>0</v>
      </c>
      <c r="AG69" s="1736">
        <f t="shared" si="144"/>
        <v>355000</v>
      </c>
      <c r="AH69" s="1737">
        <f t="shared" si="144"/>
        <v>355000</v>
      </c>
      <c r="AI69" s="1738">
        <f t="shared" ref="AI69:BG69" si="145">AI70+AI75+AI78+AI79</f>
        <v>483984.89</v>
      </c>
      <c r="AJ69" s="1736">
        <f t="shared" si="145"/>
        <v>0</v>
      </c>
      <c r="AK69" s="1737">
        <f t="shared" si="145"/>
        <v>0</v>
      </c>
      <c r="AL69" s="1738">
        <f t="shared" si="145"/>
        <v>0</v>
      </c>
      <c r="AM69" s="1736">
        <f t="shared" si="145"/>
        <v>0</v>
      </c>
      <c r="AN69" s="1737">
        <f t="shared" si="145"/>
        <v>0</v>
      </c>
      <c r="AO69" s="1738">
        <f t="shared" si="145"/>
        <v>0</v>
      </c>
      <c r="AP69" s="1736">
        <f t="shared" si="145"/>
        <v>0</v>
      </c>
      <c r="AQ69" s="1737">
        <f t="shared" si="145"/>
        <v>0</v>
      </c>
      <c r="AR69" s="1738">
        <f t="shared" si="145"/>
        <v>0</v>
      </c>
      <c r="AS69" s="1736">
        <f t="shared" si="145"/>
        <v>0</v>
      </c>
      <c r="AT69" s="1737">
        <f t="shared" si="145"/>
        <v>0</v>
      </c>
      <c r="AU69" s="1738">
        <f t="shared" si="145"/>
        <v>0</v>
      </c>
      <c r="AV69" s="1736">
        <f t="shared" si="145"/>
        <v>0</v>
      </c>
      <c r="AW69" s="1737">
        <f t="shared" si="145"/>
        <v>0</v>
      </c>
      <c r="AX69" s="1738">
        <f t="shared" si="145"/>
        <v>0</v>
      </c>
      <c r="AY69" s="1736">
        <f t="shared" si="145"/>
        <v>0</v>
      </c>
      <c r="AZ69" s="1737">
        <f t="shared" si="145"/>
        <v>0</v>
      </c>
      <c r="BA69" s="1738">
        <f t="shared" si="145"/>
        <v>0</v>
      </c>
      <c r="BB69" s="1736">
        <f t="shared" si="145"/>
        <v>0</v>
      </c>
      <c r="BC69" s="1737">
        <f t="shared" si="145"/>
        <v>0</v>
      </c>
      <c r="BD69" s="1738">
        <f t="shared" si="145"/>
        <v>0</v>
      </c>
      <c r="BE69" s="1736">
        <f t="shared" si="145"/>
        <v>1000000</v>
      </c>
      <c r="BF69" s="1737">
        <f t="shared" si="145"/>
        <v>1000000</v>
      </c>
      <c r="BG69" s="1738">
        <f t="shared" si="145"/>
        <v>336402.78700000001</v>
      </c>
      <c r="BH69" s="1736">
        <f>BH70+BH75+BH78+BH79</f>
        <v>1355000</v>
      </c>
      <c r="BI69" s="1737">
        <f>BI70+BI75+BI78+BI79</f>
        <v>1355000</v>
      </c>
      <c r="BJ69" s="1738">
        <f>BJ70+BJ75+BJ78+BJ79</f>
        <v>820387.67700000003</v>
      </c>
      <c r="BK69" s="1736">
        <f t="shared" ref="BK69:CK69" si="146">BK70+BK75+BK78+BK79</f>
        <v>0</v>
      </c>
      <c r="BL69" s="1737">
        <f t="shared" si="146"/>
        <v>0</v>
      </c>
      <c r="BM69" s="1738">
        <f t="shared" si="146"/>
        <v>0</v>
      </c>
      <c r="BN69" s="1736">
        <f t="shared" si="146"/>
        <v>0</v>
      </c>
      <c r="BO69" s="1737">
        <f t="shared" si="146"/>
        <v>0</v>
      </c>
      <c r="BP69" s="1738">
        <f t="shared" si="146"/>
        <v>0</v>
      </c>
      <c r="BQ69" s="1736">
        <f t="shared" si="146"/>
        <v>0</v>
      </c>
      <c r="BR69" s="1737">
        <f t="shared" si="146"/>
        <v>0</v>
      </c>
      <c r="BS69" s="1738">
        <f t="shared" si="146"/>
        <v>0</v>
      </c>
      <c r="BT69" s="1736">
        <f t="shared" si="146"/>
        <v>0</v>
      </c>
      <c r="BU69" s="1737">
        <f t="shared" si="146"/>
        <v>0</v>
      </c>
      <c r="BV69" s="1738">
        <f t="shared" si="146"/>
        <v>0</v>
      </c>
      <c r="BW69" s="1736">
        <f t="shared" si="146"/>
        <v>0</v>
      </c>
      <c r="BX69" s="1737">
        <f t="shared" si="146"/>
        <v>0</v>
      </c>
      <c r="BY69" s="1738">
        <f t="shared" si="146"/>
        <v>0</v>
      </c>
      <c r="BZ69" s="1736">
        <f t="shared" si="146"/>
        <v>0</v>
      </c>
      <c r="CA69" s="1737">
        <f t="shared" si="146"/>
        <v>0</v>
      </c>
      <c r="CB69" s="1738">
        <f t="shared" si="146"/>
        <v>0</v>
      </c>
      <c r="CC69" s="1736">
        <f t="shared" si="146"/>
        <v>0</v>
      </c>
      <c r="CD69" s="1737">
        <f t="shared" si="146"/>
        <v>0</v>
      </c>
      <c r="CE69" s="1738">
        <f t="shared" si="146"/>
        <v>0</v>
      </c>
      <c r="CF69" s="1736">
        <f t="shared" si="146"/>
        <v>0</v>
      </c>
      <c r="CG69" s="1737">
        <f t="shared" si="146"/>
        <v>0</v>
      </c>
      <c r="CH69" s="1738">
        <f t="shared" si="146"/>
        <v>0</v>
      </c>
      <c r="CI69" s="1736">
        <f t="shared" si="146"/>
        <v>0</v>
      </c>
      <c r="CJ69" s="1737">
        <f t="shared" si="146"/>
        <v>0</v>
      </c>
      <c r="CK69" s="1985">
        <f t="shared" si="146"/>
        <v>0</v>
      </c>
      <c r="CL69" s="1736">
        <f t="shared" ref="CL69:CN69" si="147">CL70+CL75+CL78+CL79</f>
        <v>0</v>
      </c>
      <c r="CM69" s="1737">
        <f t="shared" si="147"/>
        <v>0</v>
      </c>
      <c r="CN69" s="1738">
        <f t="shared" si="147"/>
        <v>0</v>
      </c>
      <c r="CO69" s="1736">
        <f t="shared" ref="CO69:CT69" si="148">CO70+CO75+CO78+CO79</f>
        <v>0</v>
      </c>
      <c r="CP69" s="1737">
        <f t="shared" si="148"/>
        <v>0</v>
      </c>
      <c r="CQ69" s="1738">
        <f t="shared" si="148"/>
        <v>0</v>
      </c>
      <c r="CR69" s="1736">
        <f t="shared" si="148"/>
        <v>0</v>
      </c>
      <c r="CS69" s="1737">
        <f t="shared" si="148"/>
        <v>0</v>
      </c>
      <c r="CT69" s="1738">
        <f t="shared" si="148"/>
        <v>0</v>
      </c>
      <c r="CU69" s="1736">
        <f>CU70+CU75+CU78+CU79</f>
        <v>0</v>
      </c>
      <c r="CV69" s="1737">
        <f>CV70+CV75+CV78+CV79</f>
        <v>0</v>
      </c>
      <c r="CW69" s="1738">
        <f>CW70+CW75+CW78+CW79</f>
        <v>0</v>
      </c>
      <c r="CX69" s="1736">
        <f t="shared" si="113"/>
        <v>1355000</v>
      </c>
      <c r="CY69" s="1737">
        <f t="shared" si="114"/>
        <v>1355000</v>
      </c>
      <c r="CZ69" s="1738">
        <f t="shared" si="115"/>
        <v>820387.67700000003</v>
      </c>
      <c r="DA69" s="1736">
        <f t="shared" ref="DA69:DI69" si="149">DA70+DA75+DA78+DA79</f>
        <v>0</v>
      </c>
      <c r="DB69" s="1737">
        <f t="shared" si="149"/>
        <v>0</v>
      </c>
      <c r="DC69" s="1738">
        <f t="shared" si="149"/>
        <v>0</v>
      </c>
      <c r="DD69" s="1736">
        <f t="shared" si="149"/>
        <v>0</v>
      </c>
      <c r="DE69" s="1737">
        <f t="shared" si="149"/>
        <v>0</v>
      </c>
      <c r="DF69" s="1738">
        <f t="shared" si="149"/>
        <v>0</v>
      </c>
      <c r="DG69" s="1736">
        <f t="shared" si="149"/>
        <v>0</v>
      </c>
      <c r="DH69" s="1737">
        <f t="shared" si="149"/>
        <v>0</v>
      </c>
      <c r="DI69" s="1738">
        <f t="shared" si="149"/>
        <v>0</v>
      </c>
      <c r="DJ69" s="1736">
        <f t="shared" si="34"/>
        <v>0</v>
      </c>
      <c r="DK69" s="1737">
        <f t="shared" si="39"/>
        <v>0</v>
      </c>
      <c r="DL69" s="1738">
        <f t="shared" si="40"/>
        <v>0</v>
      </c>
      <c r="DM69" s="1736">
        <f t="shared" ref="DM69:DR69" si="150">DM70+DM75+DM78+DM79</f>
        <v>0</v>
      </c>
      <c r="DN69" s="1737">
        <f t="shared" si="150"/>
        <v>0</v>
      </c>
      <c r="DO69" s="1738">
        <f t="shared" si="150"/>
        <v>0</v>
      </c>
      <c r="DP69" s="1736">
        <f t="shared" si="150"/>
        <v>0</v>
      </c>
      <c r="DQ69" s="1737">
        <f t="shared" si="150"/>
        <v>0</v>
      </c>
      <c r="DR69" s="1738">
        <f t="shared" si="150"/>
        <v>0</v>
      </c>
      <c r="DS69" s="1736">
        <f t="shared" si="82"/>
        <v>1355000</v>
      </c>
      <c r="DT69" s="1737">
        <f t="shared" si="83"/>
        <v>1355000</v>
      </c>
      <c r="DU69" s="1738">
        <f t="shared" si="84"/>
        <v>820387.67700000003</v>
      </c>
      <c r="DV69" s="1774">
        <f t="shared" si="143"/>
        <v>60.54521601476015</v>
      </c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</row>
    <row r="70" spans="1:237" ht="12.75" customHeight="1" x14ac:dyDescent="0.2">
      <c r="A70" s="1695"/>
      <c r="B70" s="1696" t="s">
        <v>35</v>
      </c>
      <c r="C70" s="1739">
        <f t="shared" ref="C70:AH70" si="151">SUM(C71:C73)</f>
        <v>0</v>
      </c>
      <c r="D70" s="698">
        <f t="shared" si="151"/>
        <v>0</v>
      </c>
      <c r="E70" s="663">
        <f t="shared" si="151"/>
        <v>0</v>
      </c>
      <c r="F70" s="1739">
        <f t="shared" si="151"/>
        <v>0</v>
      </c>
      <c r="G70" s="698">
        <f t="shared" si="151"/>
        <v>0</v>
      </c>
      <c r="H70" s="663">
        <f t="shared" si="151"/>
        <v>0</v>
      </c>
      <c r="I70" s="1739">
        <f t="shared" si="151"/>
        <v>0</v>
      </c>
      <c r="J70" s="698">
        <f t="shared" si="151"/>
        <v>0</v>
      </c>
      <c r="K70" s="663">
        <f t="shared" si="151"/>
        <v>0</v>
      </c>
      <c r="L70" s="1739">
        <f t="shared" si="151"/>
        <v>0</v>
      </c>
      <c r="M70" s="698">
        <f t="shared" si="151"/>
        <v>0</v>
      </c>
      <c r="N70" s="663">
        <f t="shared" si="151"/>
        <v>0</v>
      </c>
      <c r="O70" s="1739">
        <f t="shared" si="151"/>
        <v>0</v>
      </c>
      <c r="P70" s="698">
        <f t="shared" si="151"/>
        <v>0</v>
      </c>
      <c r="Q70" s="663">
        <f t="shared" si="151"/>
        <v>0</v>
      </c>
      <c r="R70" s="1739">
        <f t="shared" si="151"/>
        <v>0</v>
      </c>
      <c r="S70" s="698">
        <f t="shared" si="151"/>
        <v>0</v>
      </c>
      <c r="T70" s="663">
        <f t="shared" si="151"/>
        <v>0</v>
      </c>
      <c r="U70" s="1739">
        <f t="shared" si="151"/>
        <v>0</v>
      </c>
      <c r="V70" s="698">
        <f t="shared" si="151"/>
        <v>0</v>
      </c>
      <c r="W70" s="663">
        <f t="shared" si="151"/>
        <v>0</v>
      </c>
      <c r="X70" s="1739">
        <f t="shared" si="151"/>
        <v>0</v>
      </c>
      <c r="Y70" s="698">
        <f t="shared" si="151"/>
        <v>0</v>
      </c>
      <c r="Z70" s="663">
        <f t="shared" si="151"/>
        <v>0</v>
      </c>
      <c r="AA70" s="1739">
        <f t="shared" si="151"/>
        <v>0</v>
      </c>
      <c r="AB70" s="698">
        <f t="shared" si="151"/>
        <v>0</v>
      </c>
      <c r="AC70" s="663">
        <f t="shared" si="151"/>
        <v>0</v>
      </c>
      <c r="AD70" s="1739">
        <f t="shared" si="151"/>
        <v>0</v>
      </c>
      <c r="AE70" s="698">
        <f t="shared" si="151"/>
        <v>0</v>
      </c>
      <c r="AF70" s="663">
        <f t="shared" si="151"/>
        <v>0</v>
      </c>
      <c r="AG70" s="1739">
        <f t="shared" si="151"/>
        <v>110000</v>
      </c>
      <c r="AH70" s="698">
        <f t="shared" si="151"/>
        <v>110000</v>
      </c>
      <c r="AI70" s="663">
        <f t="shared" ref="AI70:BD70" si="152">SUM(AI71:AI73)</f>
        <v>104391.70600000001</v>
      </c>
      <c r="AJ70" s="1739">
        <f t="shared" si="152"/>
        <v>0</v>
      </c>
      <c r="AK70" s="698">
        <f t="shared" si="152"/>
        <v>0</v>
      </c>
      <c r="AL70" s="663">
        <f t="shared" si="152"/>
        <v>0</v>
      </c>
      <c r="AM70" s="1739">
        <f t="shared" si="152"/>
        <v>0</v>
      </c>
      <c r="AN70" s="698">
        <f t="shared" si="152"/>
        <v>0</v>
      </c>
      <c r="AO70" s="663">
        <f t="shared" si="152"/>
        <v>0</v>
      </c>
      <c r="AP70" s="1739">
        <f t="shared" si="152"/>
        <v>0</v>
      </c>
      <c r="AQ70" s="698">
        <f t="shared" si="152"/>
        <v>0</v>
      </c>
      <c r="AR70" s="663">
        <f t="shared" si="152"/>
        <v>0</v>
      </c>
      <c r="AS70" s="1739">
        <f t="shared" si="152"/>
        <v>0</v>
      </c>
      <c r="AT70" s="698">
        <f t="shared" si="152"/>
        <v>0</v>
      </c>
      <c r="AU70" s="663">
        <f t="shared" si="152"/>
        <v>0</v>
      </c>
      <c r="AV70" s="1739">
        <f t="shared" si="152"/>
        <v>0</v>
      </c>
      <c r="AW70" s="698">
        <f t="shared" si="152"/>
        <v>0</v>
      </c>
      <c r="AX70" s="663">
        <f t="shared" si="152"/>
        <v>0</v>
      </c>
      <c r="AY70" s="1739">
        <f t="shared" si="152"/>
        <v>0</v>
      </c>
      <c r="AZ70" s="698">
        <f t="shared" si="152"/>
        <v>0</v>
      </c>
      <c r="BA70" s="663">
        <f t="shared" si="152"/>
        <v>0</v>
      </c>
      <c r="BB70" s="1739">
        <f t="shared" si="152"/>
        <v>0</v>
      </c>
      <c r="BC70" s="698">
        <f t="shared" si="152"/>
        <v>0</v>
      </c>
      <c r="BD70" s="663">
        <f t="shared" si="152"/>
        <v>0</v>
      </c>
      <c r="BE70" s="1739">
        <f t="shared" ref="BE70:BJ70" si="153">SUM(BE71:BE74)</f>
        <v>650000</v>
      </c>
      <c r="BF70" s="698">
        <f t="shared" si="153"/>
        <v>650000</v>
      </c>
      <c r="BG70" s="663">
        <f t="shared" si="153"/>
        <v>265400</v>
      </c>
      <c r="BH70" s="1739">
        <f t="shared" si="153"/>
        <v>760000</v>
      </c>
      <c r="BI70" s="698">
        <f t="shared" si="153"/>
        <v>760000</v>
      </c>
      <c r="BJ70" s="663">
        <f t="shared" si="153"/>
        <v>369791.70600000001</v>
      </c>
      <c r="BK70" s="1739">
        <f t="shared" ref="BK70:CK70" si="154">SUM(BK71:BK73)</f>
        <v>0</v>
      </c>
      <c r="BL70" s="698">
        <f t="shared" si="154"/>
        <v>0</v>
      </c>
      <c r="BM70" s="663">
        <f t="shared" si="154"/>
        <v>0</v>
      </c>
      <c r="BN70" s="1739">
        <f t="shared" si="154"/>
        <v>0</v>
      </c>
      <c r="BO70" s="698">
        <f t="shared" si="154"/>
        <v>0</v>
      </c>
      <c r="BP70" s="663">
        <f t="shared" si="154"/>
        <v>0</v>
      </c>
      <c r="BQ70" s="1739">
        <f t="shared" si="154"/>
        <v>0</v>
      </c>
      <c r="BR70" s="698">
        <f t="shared" si="154"/>
        <v>0</v>
      </c>
      <c r="BS70" s="663">
        <f t="shared" si="154"/>
        <v>0</v>
      </c>
      <c r="BT70" s="1739">
        <f t="shared" si="154"/>
        <v>0</v>
      </c>
      <c r="BU70" s="698">
        <f t="shared" si="154"/>
        <v>0</v>
      </c>
      <c r="BV70" s="663">
        <f t="shared" si="154"/>
        <v>0</v>
      </c>
      <c r="BW70" s="1739">
        <f t="shared" si="154"/>
        <v>0</v>
      </c>
      <c r="BX70" s="698">
        <f t="shared" si="154"/>
        <v>0</v>
      </c>
      <c r="BY70" s="663">
        <f t="shared" si="154"/>
        <v>0</v>
      </c>
      <c r="BZ70" s="1739">
        <f t="shared" si="154"/>
        <v>0</v>
      </c>
      <c r="CA70" s="698">
        <f t="shared" si="154"/>
        <v>0</v>
      </c>
      <c r="CB70" s="663">
        <f t="shared" si="154"/>
        <v>0</v>
      </c>
      <c r="CC70" s="1739">
        <f t="shared" si="154"/>
        <v>0</v>
      </c>
      <c r="CD70" s="698">
        <f t="shared" si="154"/>
        <v>0</v>
      </c>
      <c r="CE70" s="663">
        <f t="shared" si="154"/>
        <v>0</v>
      </c>
      <c r="CF70" s="1739">
        <f t="shared" si="154"/>
        <v>0</v>
      </c>
      <c r="CG70" s="698">
        <f t="shared" si="154"/>
        <v>0</v>
      </c>
      <c r="CH70" s="663">
        <f t="shared" si="154"/>
        <v>0</v>
      </c>
      <c r="CI70" s="1739">
        <f t="shared" si="154"/>
        <v>0</v>
      </c>
      <c r="CJ70" s="698">
        <f t="shared" si="154"/>
        <v>0</v>
      </c>
      <c r="CK70" s="1971">
        <f t="shared" si="154"/>
        <v>0</v>
      </c>
      <c r="CL70" s="1739">
        <f t="shared" ref="CL70:CN70" si="155">SUM(CL71:CL73)</f>
        <v>0</v>
      </c>
      <c r="CM70" s="698">
        <f t="shared" si="155"/>
        <v>0</v>
      </c>
      <c r="CN70" s="663">
        <f t="shared" si="155"/>
        <v>0</v>
      </c>
      <c r="CO70" s="1739">
        <f t="shared" ref="CO70:CT70" si="156">SUM(CO71:CO73)</f>
        <v>0</v>
      </c>
      <c r="CP70" s="698">
        <f t="shared" si="156"/>
        <v>0</v>
      </c>
      <c r="CQ70" s="663">
        <f t="shared" si="156"/>
        <v>0</v>
      </c>
      <c r="CR70" s="1739">
        <f t="shared" si="156"/>
        <v>0</v>
      </c>
      <c r="CS70" s="698">
        <f t="shared" si="156"/>
        <v>0</v>
      </c>
      <c r="CT70" s="663">
        <f t="shared" si="156"/>
        <v>0</v>
      </c>
      <c r="CU70" s="1739">
        <f>SUM(CU71:CU73)</f>
        <v>0</v>
      </c>
      <c r="CV70" s="698">
        <f>SUM(CV71:CV73)</f>
        <v>0</v>
      </c>
      <c r="CW70" s="663">
        <f>SUM(CW71:CW73)</f>
        <v>0</v>
      </c>
      <c r="CX70" s="1739">
        <f t="shared" si="113"/>
        <v>760000</v>
      </c>
      <c r="CY70" s="698">
        <f t="shared" si="114"/>
        <v>760000</v>
      </c>
      <c r="CZ70" s="663">
        <f t="shared" si="115"/>
        <v>369791.70600000001</v>
      </c>
      <c r="DA70" s="1739">
        <f t="shared" ref="DA70:DI70" si="157">SUM(DA71:DA73)</f>
        <v>0</v>
      </c>
      <c r="DB70" s="698">
        <f t="shared" si="157"/>
        <v>0</v>
      </c>
      <c r="DC70" s="663">
        <f t="shared" si="157"/>
        <v>0</v>
      </c>
      <c r="DD70" s="1739">
        <f t="shared" si="157"/>
        <v>0</v>
      </c>
      <c r="DE70" s="698">
        <f t="shared" si="157"/>
        <v>0</v>
      </c>
      <c r="DF70" s="663">
        <f t="shared" si="157"/>
        <v>0</v>
      </c>
      <c r="DG70" s="1739">
        <f t="shared" si="157"/>
        <v>0</v>
      </c>
      <c r="DH70" s="698">
        <f t="shared" si="157"/>
        <v>0</v>
      </c>
      <c r="DI70" s="663">
        <f t="shared" si="157"/>
        <v>0</v>
      </c>
      <c r="DJ70" s="1739">
        <f t="shared" si="34"/>
        <v>0</v>
      </c>
      <c r="DK70" s="698">
        <f t="shared" si="39"/>
        <v>0</v>
      </c>
      <c r="DL70" s="663">
        <f t="shared" si="40"/>
        <v>0</v>
      </c>
      <c r="DM70" s="1739">
        <f t="shared" ref="DM70:DR70" si="158">SUM(DM71:DM73)</f>
        <v>0</v>
      </c>
      <c r="DN70" s="698">
        <f t="shared" si="158"/>
        <v>0</v>
      </c>
      <c r="DO70" s="663">
        <f t="shared" si="158"/>
        <v>0</v>
      </c>
      <c r="DP70" s="1739">
        <f t="shared" si="158"/>
        <v>0</v>
      </c>
      <c r="DQ70" s="698">
        <f t="shared" si="158"/>
        <v>0</v>
      </c>
      <c r="DR70" s="663">
        <f t="shared" si="158"/>
        <v>0</v>
      </c>
      <c r="DS70" s="1739">
        <f t="shared" si="82"/>
        <v>760000</v>
      </c>
      <c r="DT70" s="698">
        <f t="shared" si="83"/>
        <v>760000</v>
      </c>
      <c r="DU70" s="663">
        <f t="shared" si="84"/>
        <v>369791.70600000001</v>
      </c>
      <c r="DV70" s="717">
        <f t="shared" si="143"/>
        <v>48.656803421052629</v>
      </c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</row>
    <row r="71" spans="1:237" ht="12.75" customHeight="1" x14ac:dyDescent="0.2">
      <c r="A71" s="1181"/>
      <c r="B71" s="1697" t="s">
        <v>654</v>
      </c>
      <c r="C71" s="1407"/>
      <c r="D71" s="699"/>
      <c r="E71" s="664"/>
      <c r="F71" s="1407"/>
      <c r="G71" s="699"/>
      <c r="H71" s="664"/>
      <c r="I71" s="1407"/>
      <c r="J71" s="699"/>
      <c r="K71" s="664"/>
      <c r="L71" s="1407"/>
      <c r="M71" s="699"/>
      <c r="N71" s="664"/>
      <c r="O71" s="1407"/>
      <c r="P71" s="699"/>
      <c r="Q71" s="664"/>
      <c r="R71" s="1407"/>
      <c r="S71" s="699"/>
      <c r="T71" s="664"/>
      <c r="U71" s="1407"/>
      <c r="V71" s="699"/>
      <c r="W71" s="664"/>
      <c r="X71" s="1407"/>
      <c r="Y71" s="699"/>
      <c r="Z71" s="664"/>
      <c r="AA71" s="1407"/>
      <c r="AB71" s="699"/>
      <c r="AC71" s="664"/>
      <c r="AD71" s="1407"/>
      <c r="AE71" s="699"/>
      <c r="AF71" s="664"/>
      <c r="AG71" s="1407">
        <v>60000</v>
      </c>
      <c r="AH71" s="699">
        <v>60000</v>
      </c>
      <c r="AI71" s="664">
        <v>91461.706000000006</v>
      </c>
      <c r="AJ71" s="1407"/>
      <c r="AK71" s="699"/>
      <c r="AL71" s="664"/>
      <c r="AM71" s="1407"/>
      <c r="AN71" s="699"/>
      <c r="AO71" s="664"/>
      <c r="AP71" s="1407"/>
      <c r="AQ71" s="699"/>
      <c r="AR71" s="664"/>
      <c r="AS71" s="1407"/>
      <c r="AT71" s="699"/>
      <c r="AU71" s="664"/>
      <c r="AV71" s="1407"/>
      <c r="AW71" s="699"/>
      <c r="AX71" s="664"/>
      <c r="AY71" s="1407"/>
      <c r="AZ71" s="699"/>
      <c r="BA71" s="664"/>
      <c r="BB71" s="1407"/>
      <c r="BC71" s="699"/>
      <c r="BD71" s="664"/>
      <c r="BE71" s="1407"/>
      <c r="BF71" s="699"/>
      <c r="BG71" s="664"/>
      <c r="BH71" s="1407">
        <f t="shared" ref="BH71:BJ73" si="159">C71+F71+I71+L71+O71+R71+U71+X71+AA71+AD71+AG71+AJ71+AM71+AP71+AS71+AV71+AY71+BB71+BE71</f>
        <v>60000</v>
      </c>
      <c r="BI71" s="699">
        <f t="shared" si="159"/>
        <v>60000</v>
      </c>
      <c r="BJ71" s="664">
        <f t="shared" si="159"/>
        <v>91461.706000000006</v>
      </c>
      <c r="BK71" s="1407"/>
      <c r="BL71" s="699"/>
      <c r="BM71" s="664"/>
      <c r="BN71" s="1407"/>
      <c r="BO71" s="699"/>
      <c r="BP71" s="664"/>
      <c r="BQ71" s="1407"/>
      <c r="BR71" s="699"/>
      <c r="BS71" s="664"/>
      <c r="BT71" s="1407"/>
      <c r="BU71" s="699"/>
      <c r="BV71" s="664"/>
      <c r="BW71" s="1407"/>
      <c r="BX71" s="699"/>
      <c r="BY71" s="664"/>
      <c r="BZ71" s="1407"/>
      <c r="CA71" s="699"/>
      <c r="CB71" s="664"/>
      <c r="CC71" s="1407"/>
      <c r="CD71" s="699"/>
      <c r="CE71" s="664"/>
      <c r="CF71" s="1407"/>
      <c r="CG71" s="699"/>
      <c r="CH71" s="664"/>
      <c r="CI71" s="1407"/>
      <c r="CJ71" s="699"/>
      <c r="CK71" s="1972"/>
      <c r="CL71" s="656"/>
      <c r="CM71" s="699"/>
      <c r="CN71" s="664"/>
      <c r="CO71" s="656"/>
      <c r="CP71" s="699"/>
      <c r="CQ71" s="664"/>
      <c r="CR71" s="1407"/>
      <c r="CS71" s="699"/>
      <c r="CT71" s="664"/>
      <c r="CU71" s="656">
        <f t="shared" ref="CU71:CU74" si="160">BK71+BN71+BQ71+BT71+BW71+BZ71+CC71+CF71+CI71+CL71+CO71</f>
        <v>0</v>
      </c>
      <c r="CV71" s="699">
        <f t="shared" ref="CV71:CV74" si="161">BL71+BO71+BR71+BU71+BX71+CA71+CD71+CG71+CJ71+CM71+CP71</f>
        <v>0</v>
      </c>
      <c r="CW71" s="664">
        <f t="shared" ref="CW71:CW74" si="162">BM71+BP71+BS71+BV71+BY71+CB71+CE71+CH71+CK71+CN71+CQ71</f>
        <v>0</v>
      </c>
      <c r="CX71" s="656">
        <f t="shared" si="113"/>
        <v>60000</v>
      </c>
      <c r="CY71" s="699">
        <f t="shared" si="114"/>
        <v>60000</v>
      </c>
      <c r="CZ71" s="664">
        <f t="shared" si="115"/>
        <v>91461.706000000006</v>
      </c>
      <c r="DA71" s="1407"/>
      <c r="DB71" s="699"/>
      <c r="DC71" s="664"/>
      <c r="DD71" s="1407"/>
      <c r="DE71" s="699"/>
      <c r="DF71" s="664"/>
      <c r="DG71" s="1407"/>
      <c r="DH71" s="699"/>
      <c r="DI71" s="664"/>
      <c r="DJ71" s="656">
        <f t="shared" si="34"/>
        <v>0</v>
      </c>
      <c r="DK71" s="699">
        <f t="shared" si="39"/>
        <v>0</v>
      </c>
      <c r="DL71" s="664">
        <f t="shared" si="40"/>
        <v>0</v>
      </c>
      <c r="DM71" s="1407"/>
      <c r="DN71" s="699"/>
      <c r="DO71" s="664"/>
      <c r="DP71" s="1407"/>
      <c r="DQ71" s="699"/>
      <c r="DR71" s="664"/>
      <c r="DS71" s="656">
        <f t="shared" si="82"/>
        <v>60000</v>
      </c>
      <c r="DT71" s="699">
        <f t="shared" si="83"/>
        <v>60000</v>
      </c>
      <c r="DU71" s="664">
        <f t="shared" si="84"/>
        <v>91461.706000000006</v>
      </c>
      <c r="DV71" s="719">
        <f t="shared" si="143"/>
        <v>152.43617666666665</v>
      </c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</row>
    <row r="72" spans="1:237" ht="12.75" customHeight="1" x14ac:dyDescent="0.2">
      <c r="A72" s="1181"/>
      <c r="B72" s="1697" t="s">
        <v>655</v>
      </c>
      <c r="C72" s="659"/>
      <c r="D72" s="702"/>
      <c r="E72" s="667"/>
      <c r="F72" s="659"/>
      <c r="G72" s="702"/>
      <c r="H72" s="667"/>
      <c r="I72" s="659"/>
      <c r="J72" s="702"/>
      <c r="K72" s="667"/>
      <c r="L72" s="659"/>
      <c r="M72" s="702"/>
      <c r="N72" s="667"/>
      <c r="O72" s="659"/>
      <c r="P72" s="702"/>
      <c r="Q72" s="667"/>
      <c r="R72" s="659"/>
      <c r="S72" s="702"/>
      <c r="T72" s="667"/>
      <c r="U72" s="659"/>
      <c r="V72" s="702"/>
      <c r="W72" s="667"/>
      <c r="X72" s="659"/>
      <c r="Y72" s="702"/>
      <c r="Z72" s="667"/>
      <c r="AA72" s="659"/>
      <c r="AB72" s="702"/>
      <c r="AC72" s="667"/>
      <c r="AD72" s="659"/>
      <c r="AE72" s="702"/>
      <c r="AF72" s="667"/>
      <c r="AG72" s="659">
        <v>50000</v>
      </c>
      <c r="AH72" s="702">
        <v>50000</v>
      </c>
      <c r="AI72" s="667">
        <v>12930</v>
      </c>
      <c r="AJ72" s="659"/>
      <c r="AK72" s="702"/>
      <c r="AL72" s="667"/>
      <c r="AM72" s="659"/>
      <c r="AN72" s="702"/>
      <c r="AO72" s="667"/>
      <c r="AP72" s="659"/>
      <c r="AQ72" s="702"/>
      <c r="AR72" s="667"/>
      <c r="AS72" s="659"/>
      <c r="AT72" s="702"/>
      <c r="AU72" s="667"/>
      <c r="AV72" s="659"/>
      <c r="AW72" s="702"/>
      <c r="AX72" s="667"/>
      <c r="AY72" s="659"/>
      <c r="AZ72" s="702"/>
      <c r="BA72" s="667"/>
      <c r="BB72" s="659"/>
      <c r="BC72" s="702"/>
      <c r="BD72" s="667"/>
      <c r="BE72" s="659"/>
      <c r="BF72" s="702"/>
      <c r="BG72" s="667"/>
      <c r="BH72" s="659">
        <f t="shared" si="159"/>
        <v>50000</v>
      </c>
      <c r="BI72" s="702">
        <f t="shared" si="159"/>
        <v>50000</v>
      </c>
      <c r="BJ72" s="667">
        <f t="shared" si="159"/>
        <v>12930</v>
      </c>
      <c r="BK72" s="659"/>
      <c r="BL72" s="702"/>
      <c r="BM72" s="667"/>
      <c r="BN72" s="659"/>
      <c r="BO72" s="702"/>
      <c r="BP72" s="667"/>
      <c r="BQ72" s="659"/>
      <c r="BR72" s="702"/>
      <c r="BS72" s="667"/>
      <c r="BT72" s="659"/>
      <c r="BU72" s="702"/>
      <c r="BV72" s="667"/>
      <c r="BW72" s="659"/>
      <c r="BX72" s="702"/>
      <c r="BY72" s="667"/>
      <c r="BZ72" s="659"/>
      <c r="CA72" s="702"/>
      <c r="CB72" s="667"/>
      <c r="CC72" s="659"/>
      <c r="CD72" s="702"/>
      <c r="CE72" s="667"/>
      <c r="CF72" s="659"/>
      <c r="CG72" s="702"/>
      <c r="CH72" s="667"/>
      <c r="CI72" s="659"/>
      <c r="CJ72" s="702"/>
      <c r="CK72" s="1982"/>
      <c r="CL72" s="659"/>
      <c r="CM72" s="702"/>
      <c r="CN72" s="667"/>
      <c r="CO72" s="659"/>
      <c r="CP72" s="702"/>
      <c r="CQ72" s="667"/>
      <c r="CR72" s="659"/>
      <c r="CS72" s="702"/>
      <c r="CT72" s="667"/>
      <c r="CU72" s="659">
        <f t="shared" si="160"/>
        <v>0</v>
      </c>
      <c r="CV72" s="702">
        <f t="shared" si="161"/>
        <v>0</v>
      </c>
      <c r="CW72" s="667">
        <f t="shared" si="162"/>
        <v>0</v>
      </c>
      <c r="CX72" s="659">
        <f t="shared" si="113"/>
        <v>50000</v>
      </c>
      <c r="CY72" s="702">
        <f t="shared" si="114"/>
        <v>50000</v>
      </c>
      <c r="CZ72" s="667">
        <f t="shared" si="115"/>
        <v>12930</v>
      </c>
      <c r="DA72" s="659"/>
      <c r="DB72" s="702"/>
      <c r="DC72" s="667"/>
      <c r="DD72" s="659"/>
      <c r="DE72" s="702"/>
      <c r="DF72" s="667"/>
      <c r="DG72" s="659"/>
      <c r="DH72" s="702"/>
      <c r="DI72" s="667"/>
      <c r="DJ72" s="659">
        <f t="shared" si="34"/>
        <v>0</v>
      </c>
      <c r="DK72" s="702">
        <f t="shared" si="39"/>
        <v>0</v>
      </c>
      <c r="DL72" s="667">
        <f t="shared" si="40"/>
        <v>0</v>
      </c>
      <c r="DM72" s="659"/>
      <c r="DN72" s="702"/>
      <c r="DO72" s="667"/>
      <c r="DP72" s="659"/>
      <c r="DQ72" s="702"/>
      <c r="DR72" s="667"/>
      <c r="DS72" s="659">
        <f t="shared" si="82"/>
        <v>50000</v>
      </c>
      <c r="DT72" s="702">
        <f t="shared" si="83"/>
        <v>50000</v>
      </c>
      <c r="DU72" s="667">
        <f t="shared" si="84"/>
        <v>12930</v>
      </c>
      <c r="DV72" s="719">
        <f t="shared" si="143"/>
        <v>25.86</v>
      </c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</row>
    <row r="73" spans="1:237" ht="12.75" customHeight="1" x14ac:dyDescent="0.2">
      <c r="A73" s="1181"/>
      <c r="B73" s="1698" t="s">
        <v>1184</v>
      </c>
      <c r="C73" s="1407"/>
      <c r="D73" s="699"/>
      <c r="E73" s="664"/>
      <c r="F73" s="1407"/>
      <c r="G73" s="699"/>
      <c r="H73" s="664"/>
      <c r="I73" s="1407"/>
      <c r="J73" s="699"/>
      <c r="K73" s="664"/>
      <c r="L73" s="1407"/>
      <c r="M73" s="699"/>
      <c r="N73" s="664"/>
      <c r="O73" s="1407"/>
      <c r="P73" s="699"/>
      <c r="Q73" s="664"/>
      <c r="R73" s="1407"/>
      <c r="S73" s="699"/>
      <c r="T73" s="664"/>
      <c r="U73" s="1407"/>
      <c r="V73" s="699"/>
      <c r="W73" s="664"/>
      <c r="X73" s="1407"/>
      <c r="Y73" s="699"/>
      <c r="Z73" s="664"/>
      <c r="AA73" s="1407"/>
      <c r="AB73" s="699"/>
      <c r="AC73" s="664"/>
      <c r="AD73" s="1407"/>
      <c r="AE73" s="699"/>
      <c r="AF73" s="664"/>
      <c r="AG73" s="1407"/>
      <c r="AH73" s="699"/>
      <c r="AI73" s="664"/>
      <c r="AJ73" s="1407"/>
      <c r="AK73" s="699"/>
      <c r="AL73" s="664"/>
      <c r="AM73" s="1407"/>
      <c r="AN73" s="699"/>
      <c r="AO73" s="664"/>
      <c r="AP73" s="1407"/>
      <c r="AQ73" s="699"/>
      <c r="AR73" s="664"/>
      <c r="AS73" s="1407"/>
      <c r="AT73" s="699"/>
      <c r="AU73" s="664"/>
      <c r="AV73" s="1407"/>
      <c r="AW73" s="699"/>
      <c r="AX73" s="664"/>
      <c r="AY73" s="1407"/>
      <c r="AZ73" s="699"/>
      <c r="BA73" s="664"/>
      <c r="BB73" s="1407"/>
      <c r="BC73" s="699"/>
      <c r="BD73" s="664"/>
      <c r="BE73" s="1407">
        <v>250000</v>
      </c>
      <c r="BF73" s="699">
        <v>250000</v>
      </c>
      <c r="BG73" s="664">
        <v>260922</v>
      </c>
      <c r="BH73" s="1407">
        <f t="shared" si="159"/>
        <v>250000</v>
      </c>
      <c r="BI73" s="699">
        <f t="shared" si="159"/>
        <v>250000</v>
      </c>
      <c r="BJ73" s="664">
        <f t="shared" si="159"/>
        <v>260922</v>
      </c>
      <c r="BK73" s="1407"/>
      <c r="BL73" s="699"/>
      <c r="BM73" s="664"/>
      <c r="BN73" s="1407"/>
      <c r="BO73" s="699"/>
      <c r="BP73" s="664"/>
      <c r="BQ73" s="1407"/>
      <c r="BR73" s="699"/>
      <c r="BS73" s="664"/>
      <c r="BT73" s="1407"/>
      <c r="BU73" s="699"/>
      <c r="BV73" s="664"/>
      <c r="BW73" s="1407"/>
      <c r="BX73" s="699"/>
      <c r="BY73" s="664"/>
      <c r="BZ73" s="1407"/>
      <c r="CA73" s="699"/>
      <c r="CB73" s="664"/>
      <c r="CC73" s="1407"/>
      <c r="CD73" s="699"/>
      <c r="CE73" s="664"/>
      <c r="CF73" s="1407"/>
      <c r="CG73" s="699"/>
      <c r="CH73" s="664"/>
      <c r="CI73" s="1407"/>
      <c r="CJ73" s="699"/>
      <c r="CK73" s="1972"/>
      <c r="CL73" s="656"/>
      <c r="CM73" s="699"/>
      <c r="CN73" s="664"/>
      <c r="CO73" s="656"/>
      <c r="CP73" s="699"/>
      <c r="CQ73" s="664"/>
      <c r="CR73" s="1407"/>
      <c r="CS73" s="699"/>
      <c r="CT73" s="664"/>
      <c r="CU73" s="656">
        <f t="shared" si="160"/>
        <v>0</v>
      </c>
      <c r="CV73" s="699">
        <f t="shared" si="161"/>
        <v>0</v>
      </c>
      <c r="CW73" s="664">
        <f t="shared" si="162"/>
        <v>0</v>
      </c>
      <c r="CX73" s="656">
        <f t="shared" si="113"/>
        <v>250000</v>
      </c>
      <c r="CY73" s="699">
        <f t="shared" si="114"/>
        <v>250000</v>
      </c>
      <c r="CZ73" s="664">
        <f t="shared" si="115"/>
        <v>260922</v>
      </c>
      <c r="DA73" s="1407"/>
      <c r="DB73" s="699"/>
      <c r="DC73" s="664"/>
      <c r="DD73" s="1407"/>
      <c r="DE73" s="699"/>
      <c r="DF73" s="664"/>
      <c r="DG73" s="1407"/>
      <c r="DH73" s="699"/>
      <c r="DI73" s="664"/>
      <c r="DJ73" s="656">
        <f t="shared" si="34"/>
        <v>0</v>
      </c>
      <c r="DK73" s="699">
        <f t="shared" si="39"/>
        <v>0</v>
      </c>
      <c r="DL73" s="664">
        <f t="shared" si="40"/>
        <v>0</v>
      </c>
      <c r="DM73" s="1407"/>
      <c r="DN73" s="699"/>
      <c r="DO73" s="664"/>
      <c r="DP73" s="1407"/>
      <c r="DQ73" s="699"/>
      <c r="DR73" s="664"/>
      <c r="DS73" s="656">
        <f t="shared" si="82"/>
        <v>250000</v>
      </c>
      <c r="DT73" s="699">
        <f t="shared" si="83"/>
        <v>250000</v>
      </c>
      <c r="DU73" s="664">
        <f t="shared" si="84"/>
        <v>260922</v>
      </c>
      <c r="DV73" s="719">
        <f>DU73/DT73*100</f>
        <v>104.36879999999999</v>
      </c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</row>
    <row r="74" spans="1:237" ht="12.75" customHeight="1" x14ac:dyDescent="0.2">
      <c r="A74" s="1181"/>
      <c r="B74" s="1698" t="s">
        <v>1185</v>
      </c>
      <c r="C74" s="1407"/>
      <c r="D74" s="699"/>
      <c r="E74" s="664"/>
      <c r="F74" s="1407"/>
      <c r="G74" s="699"/>
      <c r="H74" s="664"/>
      <c r="I74" s="1407"/>
      <c r="J74" s="699"/>
      <c r="K74" s="664"/>
      <c r="L74" s="1407"/>
      <c r="M74" s="699"/>
      <c r="N74" s="664"/>
      <c r="O74" s="1407"/>
      <c r="P74" s="699"/>
      <c r="Q74" s="664"/>
      <c r="R74" s="1407"/>
      <c r="S74" s="699"/>
      <c r="T74" s="664"/>
      <c r="U74" s="1407"/>
      <c r="V74" s="699"/>
      <c r="W74" s="664"/>
      <c r="X74" s="1407"/>
      <c r="Y74" s="699"/>
      <c r="Z74" s="664"/>
      <c r="AA74" s="1407"/>
      <c r="AB74" s="699"/>
      <c r="AC74" s="664"/>
      <c r="AD74" s="1407"/>
      <c r="AE74" s="699"/>
      <c r="AF74" s="664"/>
      <c r="AG74" s="1407"/>
      <c r="AH74" s="699"/>
      <c r="AI74" s="664"/>
      <c r="AJ74" s="1407"/>
      <c r="AK74" s="699"/>
      <c r="AL74" s="664"/>
      <c r="AM74" s="1407"/>
      <c r="AN74" s="699"/>
      <c r="AO74" s="664"/>
      <c r="AP74" s="1407"/>
      <c r="AQ74" s="699"/>
      <c r="AR74" s="664"/>
      <c r="AS74" s="1407"/>
      <c r="AT74" s="699"/>
      <c r="AU74" s="664"/>
      <c r="AV74" s="1407"/>
      <c r="AW74" s="699"/>
      <c r="AX74" s="664"/>
      <c r="AY74" s="1407"/>
      <c r="AZ74" s="699"/>
      <c r="BA74" s="664"/>
      <c r="BB74" s="1407"/>
      <c r="BC74" s="699"/>
      <c r="BD74" s="664"/>
      <c r="BE74" s="1407">
        <v>400000</v>
      </c>
      <c r="BF74" s="699">
        <v>400000</v>
      </c>
      <c r="BG74" s="664">
        <v>4478</v>
      </c>
      <c r="BH74" s="1407">
        <f t="shared" ref="BH74" si="163">C74+F74+I74+L74+O74+R74+U74+X74+AA74+AD74+AG74+AJ74+AM74+AP74+AS74+AV74+AY74+BB74+BE74</f>
        <v>400000</v>
      </c>
      <c r="BI74" s="699">
        <f t="shared" ref="BI74" si="164">D74+G74+J74+M74+P74+S74+V74+Y74+AB74+AE74+AH74+AK74+AN74+AQ74+AT74+AW74+AZ74+BC74+BF74</f>
        <v>400000</v>
      </c>
      <c r="BJ74" s="664">
        <f t="shared" ref="BJ74" si="165">E74+H74+K74+N74+Q74+T74+W74+Z74+AC74+AF74+AI74+AL74+AO74+AR74+AU74+AX74+BA74+BD74+BG74</f>
        <v>4478</v>
      </c>
      <c r="BK74" s="1407"/>
      <c r="BL74" s="699"/>
      <c r="BM74" s="664"/>
      <c r="BN74" s="1407"/>
      <c r="BO74" s="699"/>
      <c r="BP74" s="664"/>
      <c r="BQ74" s="1407"/>
      <c r="BR74" s="699"/>
      <c r="BS74" s="664"/>
      <c r="BT74" s="1407"/>
      <c r="BU74" s="699"/>
      <c r="BV74" s="664"/>
      <c r="BW74" s="1407"/>
      <c r="BX74" s="699"/>
      <c r="BY74" s="664"/>
      <c r="BZ74" s="1407"/>
      <c r="CA74" s="699"/>
      <c r="CB74" s="664"/>
      <c r="CC74" s="1407"/>
      <c r="CD74" s="699"/>
      <c r="CE74" s="664"/>
      <c r="CF74" s="1407"/>
      <c r="CG74" s="699"/>
      <c r="CH74" s="664"/>
      <c r="CI74" s="1407"/>
      <c r="CJ74" s="699"/>
      <c r="CK74" s="1972"/>
      <c r="CL74" s="656"/>
      <c r="CM74" s="699"/>
      <c r="CN74" s="664"/>
      <c r="CO74" s="656"/>
      <c r="CP74" s="699"/>
      <c r="CQ74" s="664"/>
      <c r="CR74" s="1407"/>
      <c r="CS74" s="699"/>
      <c r="CT74" s="664"/>
      <c r="CU74" s="656">
        <f t="shared" si="160"/>
        <v>0</v>
      </c>
      <c r="CV74" s="699">
        <f t="shared" si="161"/>
        <v>0</v>
      </c>
      <c r="CW74" s="664">
        <f t="shared" si="162"/>
        <v>0</v>
      </c>
      <c r="CX74" s="656">
        <f t="shared" ref="CX74" si="166">BH74+CU74</f>
        <v>400000</v>
      </c>
      <c r="CY74" s="699">
        <f t="shared" ref="CY74" si="167">BI74+CV74</f>
        <v>400000</v>
      </c>
      <c r="CZ74" s="664">
        <f t="shared" ref="CZ74" si="168">BJ74+CW74</f>
        <v>4478</v>
      </c>
      <c r="DA74" s="1407"/>
      <c r="DB74" s="699"/>
      <c r="DC74" s="664"/>
      <c r="DD74" s="1407"/>
      <c r="DE74" s="699"/>
      <c r="DF74" s="664"/>
      <c r="DG74" s="1407"/>
      <c r="DH74" s="699"/>
      <c r="DI74" s="664"/>
      <c r="DJ74" s="656">
        <f t="shared" ref="DJ74" si="169">DA74+DD74+DG74</f>
        <v>0</v>
      </c>
      <c r="DK74" s="699">
        <f t="shared" ref="DK74" si="170">DB74+DE74+DH74</f>
        <v>0</v>
      </c>
      <c r="DL74" s="664">
        <f t="shared" ref="DL74" si="171">DC74+DF74+DI74</f>
        <v>0</v>
      </c>
      <c r="DM74" s="1407"/>
      <c r="DN74" s="699"/>
      <c r="DO74" s="664"/>
      <c r="DP74" s="1407"/>
      <c r="DQ74" s="699"/>
      <c r="DR74" s="664"/>
      <c r="DS74" s="656">
        <f t="shared" ref="DS74" si="172">CX74+DJ74+DM74+DP74</f>
        <v>400000</v>
      </c>
      <c r="DT74" s="699">
        <f t="shared" ref="DT74" si="173">CY74+DK74+DN74+DQ74</f>
        <v>400000</v>
      </c>
      <c r="DU74" s="664">
        <f t="shared" ref="DU74" si="174">CZ74+DL74+DO74+DR74</f>
        <v>4478</v>
      </c>
      <c r="DV74" s="719">
        <f t="shared" si="143"/>
        <v>1.1194999999999999</v>
      </c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</row>
    <row r="75" spans="1:237" ht="12.75" customHeight="1" x14ac:dyDescent="0.2">
      <c r="A75" s="1181"/>
      <c r="B75" s="548" t="s">
        <v>77</v>
      </c>
      <c r="C75" s="1739">
        <f t="shared" ref="C75:AH75" si="175">SUM(C76:C77)</f>
        <v>0</v>
      </c>
      <c r="D75" s="698">
        <f t="shared" si="175"/>
        <v>0</v>
      </c>
      <c r="E75" s="663">
        <f t="shared" si="175"/>
        <v>0</v>
      </c>
      <c r="F75" s="1739">
        <f t="shared" si="175"/>
        <v>0</v>
      </c>
      <c r="G75" s="698">
        <f t="shared" si="175"/>
        <v>0</v>
      </c>
      <c r="H75" s="663">
        <f t="shared" si="175"/>
        <v>0</v>
      </c>
      <c r="I75" s="1739">
        <f t="shared" si="175"/>
        <v>0</v>
      </c>
      <c r="J75" s="698">
        <f t="shared" si="175"/>
        <v>0</v>
      </c>
      <c r="K75" s="663">
        <f t="shared" si="175"/>
        <v>0</v>
      </c>
      <c r="L75" s="1739">
        <f t="shared" si="175"/>
        <v>0</v>
      </c>
      <c r="M75" s="698">
        <f t="shared" si="175"/>
        <v>0</v>
      </c>
      <c r="N75" s="663">
        <f t="shared" si="175"/>
        <v>0</v>
      </c>
      <c r="O75" s="1739">
        <f t="shared" si="175"/>
        <v>0</v>
      </c>
      <c r="P75" s="698">
        <f t="shared" si="175"/>
        <v>0</v>
      </c>
      <c r="Q75" s="663">
        <f t="shared" si="175"/>
        <v>0</v>
      </c>
      <c r="R75" s="1739">
        <f t="shared" si="175"/>
        <v>0</v>
      </c>
      <c r="S75" s="698">
        <f t="shared" si="175"/>
        <v>0</v>
      </c>
      <c r="T75" s="663">
        <f t="shared" si="175"/>
        <v>0</v>
      </c>
      <c r="U75" s="1739">
        <f t="shared" si="175"/>
        <v>0</v>
      </c>
      <c r="V75" s="698">
        <f t="shared" si="175"/>
        <v>0</v>
      </c>
      <c r="W75" s="663">
        <f t="shared" si="175"/>
        <v>0</v>
      </c>
      <c r="X75" s="1739">
        <f t="shared" si="175"/>
        <v>0</v>
      </c>
      <c r="Y75" s="698">
        <f t="shared" si="175"/>
        <v>0</v>
      </c>
      <c r="Z75" s="663">
        <f t="shared" si="175"/>
        <v>0</v>
      </c>
      <c r="AA75" s="1739">
        <f t="shared" si="175"/>
        <v>0</v>
      </c>
      <c r="AB75" s="698">
        <f t="shared" si="175"/>
        <v>0</v>
      </c>
      <c r="AC75" s="663">
        <f t="shared" si="175"/>
        <v>0</v>
      </c>
      <c r="AD75" s="1739">
        <f t="shared" si="175"/>
        <v>0</v>
      </c>
      <c r="AE75" s="698">
        <f t="shared" si="175"/>
        <v>0</v>
      </c>
      <c r="AF75" s="663">
        <f t="shared" si="175"/>
        <v>0</v>
      </c>
      <c r="AG75" s="1739">
        <f t="shared" si="175"/>
        <v>245000</v>
      </c>
      <c r="AH75" s="698">
        <f t="shared" si="175"/>
        <v>245000</v>
      </c>
      <c r="AI75" s="663">
        <f t="shared" ref="AI75:BJ75" si="176">SUM(AI76:AI77)</f>
        <v>379593.18400000001</v>
      </c>
      <c r="AJ75" s="1739">
        <f t="shared" si="176"/>
        <v>0</v>
      </c>
      <c r="AK75" s="698">
        <f t="shared" si="176"/>
        <v>0</v>
      </c>
      <c r="AL75" s="663">
        <f t="shared" si="176"/>
        <v>0</v>
      </c>
      <c r="AM75" s="1739">
        <f t="shared" si="176"/>
        <v>0</v>
      </c>
      <c r="AN75" s="698">
        <f t="shared" si="176"/>
        <v>0</v>
      </c>
      <c r="AO75" s="663">
        <f t="shared" si="176"/>
        <v>0</v>
      </c>
      <c r="AP75" s="1739">
        <f t="shared" si="176"/>
        <v>0</v>
      </c>
      <c r="AQ75" s="698">
        <f t="shared" si="176"/>
        <v>0</v>
      </c>
      <c r="AR75" s="663">
        <f t="shared" si="176"/>
        <v>0</v>
      </c>
      <c r="AS75" s="1739">
        <f t="shared" si="176"/>
        <v>0</v>
      </c>
      <c r="AT75" s="698">
        <f t="shared" si="176"/>
        <v>0</v>
      </c>
      <c r="AU75" s="663">
        <f t="shared" si="176"/>
        <v>0</v>
      </c>
      <c r="AV75" s="1739">
        <f t="shared" si="176"/>
        <v>0</v>
      </c>
      <c r="AW75" s="698">
        <f t="shared" si="176"/>
        <v>0</v>
      </c>
      <c r="AX75" s="663">
        <f t="shared" si="176"/>
        <v>0</v>
      </c>
      <c r="AY75" s="1739">
        <f t="shared" si="176"/>
        <v>0</v>
      </c>
      <c r="AZ75" s="698">
        <f t="shared" si="176"/>
        <v>0</v>
      </c>
      <c r="BA75" s="663">
        <f t="shared" si="176"/>
        <v>0</v>
      </c>
      <c r="BB75" s="1739">
        <f t="shared" si="176"/>
        <v>0</v>
      </c>
      <c r="BC75" s="698">
        <f t="shared" si="176"/>
        <v>0</v>
      </c>
      <c r="BD75" s="663">
        <f t="shared" si="176"/>
        <v>0</v>
      </c>
      <c r="BE75" s="1739">
        <f t="shared" si="176"/>
        <v>0</v>
      </c>
      <c r="BF75" s="698">
        <f t="shared" si="176"/>
        <v>0</v>
      </c>
      <c r="BG75" s="663">
        <f t="shared" si="176"/>
        <v>0</v>
      </c>
      <c r="BH75" s="1739">
        <f t="shared" si="176"/>
        <v>245000</v>
      </c>
      <c r="BI75" s="698">
        <f t="shared" si="176"/>
        <v>245000</v>
      </c>
      <c r="BJ75" s="663">
        <f t="shared" si="176"/>
        <v>379593.18400000001</v>
      </c>
      <c r="BK75" s="1739">
        <f t="shared" ref="BK75:CW75" si="177">SUM(BK76:BK77)</f>
        <v>0</v>
      </c>
      <c r="BL75" s="698">
        <f t="shared" si="177"/>
        <v>0</v>
      </c>
      <c r="BM75" s="663">
        <f t="shared" si="177"/>
        <v>0</v>
      </c>
      <c r="BN75" s="1739">
        <f t="shared" si="177"/>
        <v>0</v>
      </c>
      <c r="BO75" s="698">
        <f t="shared" si="177"/>
        <v>0</v>
      </c>
      <c r="BP75" s="663">
        <f t="shared" si="177"/>
        <v>0</v>
      </c>
      <c r="BQ75" s="1739">
        <f t="shared" si="177"/>
        <v>0</v>
      </c>
      <c r="BR75" s="698">
        <f t="shared" si="177"/>
        <v>0</v>
      </c>
      <c r="BS75" s="663">
        <f t="shared" si="177"/>
        <v>0</v>
      </c>
      <c r="BT75" s="1739">
        <f t="shared" si="177"/>
        <v>0</v>
      </c>
      <c r="BU75" s="698">
        <f t="shared" si="177"/>
        <v>0</v>
      </c>
      <c r="BV75" s="663">
        <f t="shared" si="177"/>
        <v>0</v>
      </c>
      <c r="BW75" s="1739">
        <f t="shared" si="177"/>
        <v>0</v>
      </c>
      <c r="BX75" s="698">
        <f t="shared" si="177"/>
        <v>0</v>
      </c>
      <c r="BY75" s="663">
        <f t="shared" si="177"/>
        <v>0</v>
      </c>
      <c r="BZ75" s="1739">
        <f t="shared" si="177"/>
        <v>0</v>
      </c>
      <c r="CA75" s="698">
        <f t="shared" si="177"/>
        <v>0</v>
      </c>
      <c r="CB75" s="663">
        <f t="shared" si="177"/>
        <v>0</v>
      </c>
      <c r="CC75" s="1739">
        <f t="shared" si="177"/>
        <v>0</v>
      </c>
      <c r="CD75" s="698">
        <f t="shared" si="177"/>
        <v>0</v>
      </c>
      <c r="CE75" s="663">
        <f t="shared" si="177"/>
        <v>0</v>
      </c>
      <c r="CF75" s="1739">
        <f t="shared" si="177"/>
        <v>0</v>
      </c>
      <c r="CG75" s="698">
        <f t="shared" si="177"/>
        <v>0</v>
      </c>
      <c r="CH75" s="663">
        <f t="shared" si="177"/>
        <v>0</v>
      </c>
      <c r="CI75" s="1739">
        <f t="shared" si="177"/>
        <v>0</v>
      </c>
      <c r="CJ75" s="698">
        <f t="shared" si="177"/>
        <v>0</v>
      </c>
      <c r="CK75" s="1971">
        <f t="shared" si="177"/>
        <v>0</v>
      </c>
      <c r="CL75" s="1739">
        <f t="shared" si="177"/>
        <v>0</v>
      </c>
      <c r="CM75" s="698">
        <f t="shared" si="177"/>
        <v>0</v>
      </c>
      <c r="CN75" s="663">
        <f t="shared" si="177"/>
        <v>0</v>
      </c>
      <c r="CO75" s="1739">
        <f t="shared" ref="CO75:CT75" si="178">SUM(CO76:CO77)</f>
        <v>0</v>
      </c>
      <c r="CP75" s="698">
        <f t="shared" si="178"/>
        <v>0</v>
      </c>
      <c r="CQ75" s="663">
        <f t="shared" si="178"/>
        <v>0</v>
      </c>
      <c r="CR75" s="1739">
        <f t="shared" si="178"/>
        <v>0</v>
      </c>
      <c r="CS75" s="698">
        <f t="shared" si="178"/>
        <v>0</v>
      </c>
      <c r="CT75" s="663">
        <f t="shared" si="178"/>
        <v>0</v>
      </c>
      <c r="CU75" s="1739">
        <f t="shared" si="177"/>
        <v>0</v>
      </c>
      <c r="CV75" s="698">
        <f t="shared" si="177"/>
        <v>0</v>
      </c>
      <c r="CW75" s="663">
        <f t="shared" si="177"/>
        <v>0</v>
      </c>
      <c r="CX75" s="1739">
        <f t="shared" ref="CX75:CX95" si="179">BH75+CU75</f>
        <v>245000</v>
      </c>
      <c r="CY75" s="698">
        <f t="shared" si="114"/>
        <v>245000</v>
      </c>
      <c r="CZ75" s="663">
        <f t="shared" si="115"/>
        <v>379593.18400000001</v>
      </c>
      <c r="DA75" s="1739">
        <f t="shared" ref="DA75:DI75" si="180">SUM(DA76:DA77)</f>
        <v>0</v>
      </c>
      <c r="DB75" s="698">
        <f t="shared" si="180"/>
        <v>0</v>
      </c>
      <c r="DC75" s="663">
        <f t="shared" si="180"/>
        <v>0</v>
      </c>
      <c r="DD75" s="1739">
        <f t="shared" si="180"/>
        <v>0</v>
      </c>
      <c r="DE75" s="698">
        <f t="shared" si="180"/>
        <v>0</v>
      </c>
      <c r="DF75" s="663">
        <f t="shared" si="180"/>
        <v>0</v>
      </c>
      <c r="DG75" s="1739">
        <f t="shared" si="180"/>
        <v>0</v>
      </c>
      <c r="DH75" s="698">
        <f t="shared" si="180"/>
        <v>0</v>
      </c>
      <c r="DI75" s="663">
        <f t="shared" si="180"/>
        <v>0</v>
      </c>
      <c r="DJ75" s="1739">
        <f t="shared" si="34"/>
        <v>0</v>
      </c>
      <c r="DK75" s="698">
        <f t="shared" si="39"/>
        <v>0</v>
      </c>
      <c r="DL75" s="663">
        <f t="shared" si="40"/>
        <v>0</v>
      </c>
      <c r="DM75" s="1739">
        <f t="shared" ref="DM75:DR75" si="181">SUM(DM76:DM77)</f>
        <v>0</v>
      </c>
      <c r="DN75" s="698">
        <f t="shared" si="181"/>
        <v>0</v>
      </c>
      <c r="DO75" s="663">
        <f t="shared" si="181"/>
        <v>0</v>
      </c>
      <c r="DP75" s="1739">
        <f t="shared" si="181"/>
        <v>0</v>
      </c>
      <c r="DQ75" s="698">
        <f t="shared" si="181"/>
        <v>0</v>
      </c>
      <c r="DR75" s="663">
        <f t="shared" si="181"/>
        <v>0</v>
      </c>
      <c r="DS75" s="1739">
        <f t="shared" si="82"/>
        <v>245000</v>
      </c>
      <c r="DT75" s="698">
        <f t="shared" si="83"/>
        <v>245000</v>
      </c>
      <c r="DU75" s="663">
        <f t="shared" si="84"/>
        <v>379593.18400000001</v>
      </c>
      <c r="DV75" s="717">
        <f t="shared" si="143"/>
        <v>154.93599346938777</v>
      </c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</row>
    <row r="76" spans="1:237" s="134" customFormat="1" ht="12.75" customHeight="1" x14ac:dyDescent="0.2">
      <c r="A76" s="1181"/>
      <c r="B76" s="1697" t="s">
        <v>78</v>
      </c>
      <c r="C76" s="1407"/>
      <c r="D76" s="699"/>
      <c r="E76" s="664"/>
      <c r="F76" s="1407"/>
      <c r="G76" s="699"/>
      <c r="H76" s="664"/>
      <c r="I76" s="1407"/>
      <c r="J76" s="699"/>
      <c r="K76" s="664"/>
      <c r="L76" s="1407"/>
      <c r="M76" s="699"/>
      <c r="N76" s="664"/>
      <c r="O76" s="1407"/>
      <c r="P76" s="699"/>
      <c r="Q76" s="664"/>
      <c r="R76" s="1407"/>
      <c r="S76" s="699"/>
      <c r="T76" s="664"/>
      <c r="U76" s="1407"/>
      <c r="V76" s="699"/>
      <c r="W76" s="664"/>
      <c r="X76" s="1407"/>
      <c r="Y76" s="699"/>
      <c r="Z76" s="664"/>
      <c r="AA76" s="1407"/>
      <c r="AB76" s="699"/>
      <c r="AC76" s="664"/>
      <c r="AD76" s="1407"/>
      <c r="AE76" s="699"/>
      <c r="AF76" s="664"/>
      <c r="AG76" s="1407">
        <v>95000</v>
      </c>
      <c r="AH76" s="699">
        <v>95000</v>
      </c>
      <c r="AI76" s="664">
        <v>79522.763999999996</v>
      </c>
      <c r="AJ76" s="1407"/>
      <c r="AK76" s="699"/>
      <c r="AL76" s="664"/>
      <c r="AM76" s="1407"/>
      <c r="AN76" s="699"/>
      <c r="AO76" s="664"/>
      <c r="AP76" s="1407"/>
      <c r="AQ76" s="699"/>
      <c r="AR76" s="664"/>
      <c r="AS76" s="1407"/>
      <c r="AT76" s="699"/>
      <c r="AU76" s="664"/>
      <c r="AV76" s="1407"/>
      <c r="AW76" s="699"/>
      <c r="AX76" s="664"/>
      <c r="AY76" s="1407"/>
      <c r="AZ76" s="699"/>
      <c r="BA76" s="664"/>
      <c r="BB76" s="1407"/>
      <c r="BC76" s="699"/>
      <c r="BD76" s="664"/>
      <c r="BE76" s="1407"/>
      <c r="BF76" s="699"/>
      <c r="BG76" s="664"/>
      <c r="BH76" s="1407">
        <f t="shared" ref="BH76:BJ77" si="182">C76+F76+I76+L76+O76+R76+U76+X76+AA76+AD76+AG76+AJ76+AM76+AP76+AS76+AV76+AY76+BB76+BE76</f>
        <v>95000</v>
      </c>
      <c r="BI76" s="699">
        <f t="shared" si="182"/>
        <v>95000</v>
      </c>
      <c r="BJ76" s="664">
        <f t="shared" si="182"/>
        <v>79522.763999999996</v>
      </c>
      <c r="BK76" s="1407"/>
      <c r="BL76" s="699"/>
      <c r="BM76" s="664"/>
      <c r="BN76" s="1407"/>
      <c r="BO76" s="699"/>
      <c r="BP76" s="664"/>
      <c r="BQ76" s="1407"/>
      <c r="BR76" s="699"/>
      <c r="BS76" s="664"/>
      <c r="BT76" s="1407"/>
      <c r="BU76" s="699"/>
      <c r="BV76" s="664"/>
      <c r="BW76" s="1407"/>
      <c r="BX76" s="699"/>
      <c r="BY76" s="664"/>
      <c r="BZ76" s="1407"/>
      <c r="CA76" s="699"/>
      <c r="CB76" s="664"/>
      <c r="CC76" s="1407"/>
      <c r="CD76" s="699"/>
      <c r="CE76" s="664"/>
      <c r="CF76" s="1407"/>
      <c r="CG76" s="699"/>
      <c r="CH76" s="664"/>
      <c r="CI76" s="1407"/>
      <c r="CJ76" s="699"/>
      <c r="CK76" s="1972"/>
      <c r="CL76" s="656"/>
      <c r="CM76" s="699"/>
      <c r="CN76" s="664"/>
      <c r="CO76" s="656"/>
      <c r="CP76" s="699"/>
      <c r="CQ76" s="664"/>
      <c r="CR76" s="1407"/>
      <c r="CS76" s="699"/>
      <c r="CT76" s="664"/>
      <c r="CU76" s="656">
        <f t="shared" ref="CU76:CU81" si="183">BK76+BN76+BQ76+BT76+BW76+BZ76+CC76+CF76+CI76+CL76+CO76</f>
        <v>0</v>
      </c>
      <c r="CV76" s="699">
        <f t="shared" ref="CV76:CV81" si="184">BL76+BO76+BR76+BU76+BX76+CA76+CD76+CG76+CJ76+CM76+CP76</f>
        <v>0</v>
      </c>
      <c r="CW76" s="664">
        <f t="shared" ref="CW76:CW81" si="185">BM76+BP76+BS76+BV76+BY76+CB76+CE76+CH76+CK76+CN76+CQ76</f>
        <v>0</v>
      </c>
      <c r="CX76" s="656">
        <f t="shared" si="179"/>
        <v>95000</v>
      </c>
      <c r="CY76" s="699">
        <f t="shared" si="114"/>
        <v>95000</v>
      </c>
      <c r="CZ76" s="664">
        <f t="shared" si="115"/>
        <v>79522.763999999996</v>
      </c>
      <c r="DA76" s="1407"/>
      <c r="DB76" s="699"/>
      <c r="DC76" s="664"/>
      <c r="DD76" s="1407"/>
      <c r="DE76" s="699"/>
      <c r="DF76" s="664"/>
      <c r="DG76" s="1407"/>
      <c r="DH76" s="699"/>
      <c r="DI76" s="664"/>
      <c r="DJ76" s="656">
        <f t="shared" si="34"/>
        <v>0</v>
      </c>
      <c r="DK76" s="699">
        <f t="shared" si="39"/>
        <v>0</v>
      </c>
      <c r="DL76" s="664">
        <f t="shared" si="40"/>
        <v>0</v>
      </c>
      <c r="DM76" s="1407"/>
      <c r="DN76" s="699"/>
      <c r="DO76" s="664"/>
      <c r="DP76" s="1407"/>
      <c r="DQ76" s="699"/>
      <c r="DR76" s="664"/>
      <c r="DS76" s="656">
        <f t="shared" si="82"/>
        <v>95000</v>
      </c>
      <c r="DT76" s="699">
        <f t="shared" si="83"/>
        <v>95000</v>
      </c>
      <c r="DU76" s="664">
        <f t="shared" si="84"/>
        <v>79522.763999999996</v>
      </c>
      <c r="DV76" s="719">
        <f t="shared" si="143"/>
        <v>83.708172631578947</v>
      </c>
      <c r="DW76" s="599"/>
      <c r="DX76" s="599"/>
      <c r="DY76" s="599"/>
      <c r="DZ76" s="599"/>
      <c r="EA76" s="599"/>
      <c r="EB76" s="599"/>
      <c r="EC76" s="599"/>
      <c r="ED76" s="599"/>
      <c r="EE76" s="599"/>
      <c r="EF76" s="599"/>
      <c r="EG76" s="599"/>
      <c r="EH76" s="599"/>
      <c r="EI76" s="599"/>
      <c r="EJ76" s="599"/>
      <c r="EK76" s="599"/>
      <c r="EL76" s="599"/>
      <c r="EM76" s="599"/>
      <c r="EN76" s="599"/>
      <c r="EO76" s="599"/>
      <c r="EP76" s="599"/>
      <c r="EQ76" s="599"/>
      <c r="ER76" s="599"/>
      <c r="ES76" s="599"/>
      <c r="ET76" s="599"/>
      <c r="EU76" s="599"/>
      <c r="EV76" s="599"/>
      <c r="EW76" s="599"/>
      <c r="EX76" s="599"/>
      <c r="EY76" s="599"/>
      <c r="EZ76" s="599"/>
      <c r="FA76" s="599"/>
      <c r="FB76" s="599"/>
      <c r="FC76" s="599"/>
      <c r="FD76" s="599"/>
      <c r="FE76" s="599"/>
      <c r="FF76" s="599"/>
      <c r="FG76" s="599"/>
      <c r="FH76" s="599"/>
      <c r="FI76" s="599"/>
      <c r="FJ76" s="599"/>
      <c r="FK76" s="599"/>
      <c r="FL76" s="599"/>
      <c r="FM76" s="599"/>
      <c r="FN76" s="599"/>
      <c r="FO76" s="599"/>
      <c r="FP76" s="599"/>
      <c r="FQ76" s="599"/>
      <c r="FR76" s="599"/>
      <c r="FS76" s="599"/>
      <c r="FT76" s="599"/>
      <c r="FU76" s="599"/>
      <c r="FV76" s="599"/>
      <c r="FW76" s="599"/>
      <c r="FX76" s="599"/>
      <c r="FY76" s="599"/>
      <c r="FZ76" s="599"/>
      <c r="GA76" s="599"/>
      <c r="GB76" s="599"/>
      <c r="GC76" s="599"/>
      <c r="GD76" s="599"/>
      <c r="GE76" s="599"/>
      <c r="GF76" s="599"/>
      <c r="GG76" s="599"/>
      <c r="GH76" s="599"/>
      <c r="GI76" s="599"/>
      <c r="GJ76" s="599"/>
      <c r="GK76" s="599"/>
      <c r="GL76" s="599"/>
      <c r="GM76" s="599"/>
      <c r="GN76" s="599"/>
      <c r="GO76" s="599"/>
      <c r="GP76" s="599"/>
      <c r="GQ76" s="599"/>
      <c r="GR76" s="599"/>
      <c r="GS76" s="599"/>
      <c r="GT76" s="599"/>
      <c r="GU76" s="599"/>
      <c r="GV76" s="599"/>
      <c r="GW76" s="599"/>
      <c r="GX76" s="599"/>
      <c r="GY76" s="599"/>
      <c r="GZ76" s="599"/>
      <c r="HA76" s="599"/>
      <c r="HB76" s="599"/>
      <c r="HC76" s="599"/>
      <c r="HD76" s="599"/>
      <c r="HE76" s="599"/>
      <c r="HF76" s="599"/>
      <c r="HG76" s="599"/>
      <c r="HH76" s="599"/>
      <c r="HI76" s="599"/>
      <c r="HJ76" s="599"/>
      <c r="HK76" s="599"/>
      <c r="HL76" s="599"/>
      <c r="HM76" s="599"/>
      <c r="HN76" s="599"/>
      <c r="HO76" s="599"/>
      <c r="HP76" s="599"/>
      <c r="HQ76" s="599"/>
      <c r="HR76" s="599"/>
      <c r="HS76" s="599"/>
      <c r="HT76" s="599"/>
      <c r="HU76" s="599"/>
      <c r="HV76" s="599"/>
      <c r="HW76" s="599"/>
      <c r="HX76" s="599"/>
      <c r="HY76" s="599"/>
      <c r="HZ76" s="599"/>
      <c r="IA76" s="599"/>
      <c r="IB76" s="599"/>
      <c r="IC76" s="599"/>
    </row>
    <row r="77" spans="1:237" ht="12.75" customHeight="1" x14ac:dyDescent="0.2">
      <c r="A77" s="1181"/>
      <c r="B77" s="1697" t="s">
        <v>79</v>
      </c>
      <c r="C77" s="1407"/>
      <c r="D77" s="699"/>
      <c r="E77" s="664"/>
      <c r="F77" s="1407"/>
      <c r="G77" s="699"/>
      <c r="H77" s="664"/>
      <c r="I77" s="1407"/>
      <c r="J77" s="699"/>
      <c r="K77" s="664"/>
      <c r="L77" s="1407"/>
      <c r="M77" s="699"/>
      <c r="N77" s="664"/>
      <c r="O77" s="1407"/>
      <c r="P77" s="699"/>
      <c r="Q77" s="664"/>
      <c r="R77" s="1407"/>
      <c r="S77" s="699"/>
      <c r="T77" s="664"/>
      <c r="U77" s="1407"/>
      <c r="V77" s="699"/>
      <c r="W77" s="664"/>
      <c r="X77" s="1407"/>
      <c r="Y77" s="699"/>
      <c r="Z77" s="664"/>
      <c r="AA77" s="1407"/>
      <c r="AB77" s="699"/>
      <c r="AC77" s="664"/>
      <c r="AD77" s="1407"/>
      <c r="AE77" s="699"/>
      <c r="AF77" s="664"/>
      <c r="AG77" s="1407">
        <v>150000</v>
      </c>
      <c r="AH77" s="699">
        <v>150000</v>
      </c>
      <c r="AI77" s="664">
        <v>300070.42</v>
      </c>
      <c r="AJ77" s="1407"/>
      <c r="AK77" s="699"/>
      <c r="AL77" s="664"/>
      <c r="AM77" s="1407"/>
      <c r="AN77" s="699"/>
      <c r="AO77" s="664"/>
      <c r="AP77" s="1407"/>
      <c r="AQ77" s="699"/>
      <c r="AR77" s="664"/>
      <c r="AS77" s="1407"/>
      <c r="AT77" s="699"/>
      <c r="AU77" s="664"/>
      <c r="AV77" s="1407"/>
      <c r="AW77" s="699"/>
      <c r="AX77" s="664"/>
      <c r="AY77" s="1407"/>
      <c r="AZ77" s="699"/>
      <c r="BA77" s="664"/>
      <c r="BB77" s="1407"/>
      <c r="BC77" s="699"/>
      <c r="BD77" s="664"/>
      <c r="BE77" s="1407"/>
      <c r="BF77" s="699"/>
      <c r="BG77" s="664"/>
      <c r="BH77" s="659">
        <f t="shared" si="182"/>
        <v>150000</v>
      </c>
      <c r="BI77" s="702">
        <f t="shared" si="182"/>
        <v>150000</v>
      </c>
      <c r="BJ77" s="667">
        <f t="shared" si="182"/>
        <v>300070.42</v>
      </c>
      <c r="BK77" s="1407"/>
      <c r="BL77" s="699"/>
      <c r="BM77" s="664"/>
      <c r="BN77" s="1407"/>
      <c r="BO77" s="699"/>
      <c r="BP77" s="664"/>
      <c r="BQ77" s="1407"/>
      <c r="BR77" s="699"/>
      <c r="BS77" s="664"/>
      <c r="BT77" s="1407"/>
      <c r="BU77" s="699"/>
      <c r="BV77" s="664"/>
      <c r="BW77" s="1407"/>
      <c r="BX77" s="699"/>
      <c r="BY77" s="664"/>
      <c r="BZ77" s="1407"/>
      <c r="CA77" s="699"/>
      <c r="CB77" s="664"/>
      <c r="CC77" s="1407"/>
      <c r="CD77" s="699"/>
      <c r="CE77" s="664"/>
      <c r="CF77" s="1407"/>
      <c r="CG77" s="699"/>
      <c r="CH77" s="664"/>
      <c r="CI77" s="1407"/>
      <c r="CJ77" s="699"/>
      <c r="CK77" s="1972"/>
      <c r="CL77" s="656"/>
      <c r="CM77" s="699"/>
      <c r="CN77" s="664"/>
      <c r="CO77" s="656"/>
      <c r="CP77" s="699"/>
      <c r="CQ77" s="664"/>
      <c r="CR77" s="1407"/>
      <c r="CS77" s="699"/>
      <c r="CT77" s="664"/>
      <c r="CU77" s="659">
        <f t="shared" si="183"/>
        <v>0</v>
      </c>
      <c r="CV77" s="702">
        <f t="shared" si="184"/>
        <v>0</v>
      </c>
      <c r="CW77" s="667">
        <f t="shared" si="185"/>
        <v>0</v>
      </c>
      <c r="CX77" s="659">
        <f t="shared" si="179"/>
        <v>150000</v>
      </c>
      <c r="CY77" s="702">
        <f t="shared" si="114"/>
        <v>150000</v>
      </c>
      <c r="CZ77" s="667">
        <f t="shared" si="115"/>
        <v>300070.42</v>
      </c>
      <c r="DA77" s="1407"/>
      <c r="DB77" s="699"/>
      <c r="DC77" s="664"/>
      <c r="DD77" s="1407"/>
      <c r="DE77" s="699"/>
      <c r="DF77" s="664"/>
      <c r="DG77" s="1407"/>
      <c r="DH77" s="699"/>
      <c r="DI77" s="664"/>
      <c r="DJ77" s="659">
        <f t="shared" si="34"/>
        <v>0</v>
      </c>
      <c r="DK77" s="702">
        <f t="shared" si="39"/>
        <v>0</v>
      </c>
      <c r="DL77" s="667">
        <f t="shared" si="40"/>
        <v>0</v>
      </c>
      <c r="DM77" s="1407"/>
      <c r="DN77" s="699"/>
      <c r="DO77" s="664"/>
      <c r="DP77" s="1407"/>
      <c r="DQ77" s="699"/>
      <c r="DR77" s="664"/>
      <c r="DS77" s="659">
        <f t="shared" ref="DS77:DS95" si="186">CX77+DJ77+DM77+DP77</f>
        <v>150000</v>
      </c>
      <c r="DT77" s="702">
        <f t="shared" ref="DT77:DT95" si="187">CY77+DK77+DN77+DQ77</f>
        <v>150000</v>
      </c>
      <c r="DU77" s="667">
        <f t="shared" ref="DU77:DU95" si="188">CZ77+DL77+DO77+DR77</f>
        <v>300070.42</v>
      </c>
      <c r="DV77" s="719">
        <f t="shared" si="143"/>
        <v>200.04694666666666</v>
      </c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</row>
    <row r="78" spans="1:237" ht="12.75" customHeight="1" x14ac:dyDescent="0.2">
      <c r="A78" s="1181"/>
      <c r="B78" s="548" t="s">
        <v>80</v>
      </c>
      <c r="C78" s="658"/>
      <c r="D78" s="701"/>
      <c r="E78" s="666"/>
      <c r="F78" s="658"/>
      <c r="G78" s="701"/>
      <c r="H78" s="666"/>
      <c r="I78" s="658"/>
      <c r="J78" s="701"/>
      <c r="K78" s="666"/>
      <c r="L78" s="658"/>
      <c r="M78" s="701"/>
      <c r="N78" s="666"/>
      <c r="O78" s="658"/>
      <c r="P78" s="701"/>
      <c r="Q78" s="666"/>
      <c r="R78" s="658"/>
      <c r="S78" s="701"/>
      <c r="T78" s="666"/>
      <c r="U78" s="658"/>
      <c r="V78" s="701"/>
      <c r="W78" s="666"/>
      <c r="X78" s="658"/>
      <c r="Y78" s="701"/>
      <c r="Z78" s="666"/>
      <c r="AA78" s="658"/>
      <c r="AB78" s="701"/>
      <c r="AC78" s="666"/>
      <c r="AD78" s="658"/>
      <c r="AE78" s="701"/>
      <c r="AF78" s="666"/>
      <c r="AG78" s="658"/>
      <c r="AH78" s="701"/>
      <c r="AI78" s="666"/>
      <c r="AJ78" s="658"/>
      <c r="AK78" s="701"/>
      <c r="AL78" s="666"/>
      <c r="AM78" s="658"/>
      <c r="AN78" s="701"/>
      <c r="AO78" s="666"/>
      <c r="AP78" s="658"/>
      <c r="AQ78" s="701"/>
      <c r="AR78" s="666"/>
      <c r="AS78" s="658"/>
      <c r="AT78" s="701"/>
      <c r="AU78" s="666"/>
      <c r="AV78" s="658"/>
      <c r="AW78" s="701"/>
      <c r="AX78" s="666"/>
      <c r="AY78" s="658"/>
      <c r="AZ78" s="701"/>
      <c r="BA78" s="666"/>
      <c r="BB78" s="658"/>
      <c r="BC78" s="701"/>
      <c r="BD78" s="666"/>
      <c r="BE78" s="658">
        <v>350000</v>
      </c>
      <c r="BF78" s="701">
        <v>350000</v>
      </c>
      <c r="BG78" s="666">
        <v>71002.786999999997</v>
      </c>
      <c r="BH78" s="658">
        <f t="shared" ref="BH78:BH85" si="189">C78+F78+I78+L78+O78+R78+U78+X78+AA78+AD78+AG78+AJ78+AM78+AP78+AS78+AV78+AY78+BB78+BE78</f>
        <v>350000</v>
      </c>
      <c r="BI78" s="701">
        <f t="shared" ref="BI78:BI85" si="190">D78+G78+J78+M78+P78+S78+V78+Y78+AB78+AE78+AH78+AK78+AN78+AQ78+AT78+AW78+AZ78+BC78+BF78</f>
        <v>350000</v>
      </c>
      <c r="BJ78" s="666">
        <f t="shared" ref="BJ78:BJ85" si="191">E78+H78+K78+N78+Q78+T78+W78+Z78+AC78+AF78+AI78+AL78+AO78+AR78+AU78+AX78+BA78+BD78+BG78</f>
        <v>71002.786999999997</v>
      </c>
      <c r="BK78" s="658"/>
      <c r="BL78" s="701"/>
      <c r="BM78" s="666"/>
      <c r="BN78" s="658"/>
      <c r="BO78" s="701"/>
      <c r="BP78" s="666"/>
      <c r="BQ78" s="658"/>
      <c r="BR78" s="701"/>
      <c r="BS78" s="666"/>
      <c r="BT78" s="658"/>
      <c r="BU78" s="701"/>
      <c r="BV78" s="666"/>
      <c r="BW78" s="658"/>
      <c r="BX78" s="701"/>
      <c r="BY78" s="666"/>
      <c r="BZ78" s="658"/>
      <c r="CA78" s="701"/>
      <c r="CB78" s="666"/>
      <c r="CC78" s="658"/>
      <c r="CD78" s="701"/>
      <c r="CE78" s="666"/>
      <c r="CF78" s="658"/>
      <c r="CG78" s="701"/>
      <c r="CH78" s="666"/>
      <c r="CI78" s="658"/>
      <c r="CJ78" s="701"/>
      <c r="CK78" s="1981"/>
      <c r="CL78" s="658"/>
      <c r="CM78" s="701"/>
      <c r="CN78" s="666"/>
      <c r="CO78" s="658"/>
      <c r="CP78" s="701"/>
      <c r="CQ78" s="666"/>
      <c r="CR78" s="658"/>
      <c r="CS78" s="701"/>
      <c r="CT78" s="666"/>
      <c r="CU78" s="658">
        <f t="shared" si="183"/>
        <v>0</v>
      </c>
      <c r="CV78" s="701">
        <f t="shared" si="184"/>
        <v>0</v>
      </c>
      <c r="CW78" s="666">
        <f t="shared" si="185"/>
        <v>0</v>
      </c>
      <c r="CX78" s="658">
        <f t="shared" si="179"/>
        <v>350000</v>
      </c>
      <c r="CY78" s="701">
        <f t="shared" si="114"/>
        <v>350000</v>
      </c>
      <c r="CZ78" s="666">
        <f t="shared" si="115"/>
        <v>71002.786999999997</v>
      </c>
      <c r="DA78" s="658"/>
      <c r="DB78" s="701"/>
      <c r="DC78" s="666"/>
      <c r="DD78" s="658"/>
      <c r="DE78" s="701"/>
      <c r="DF78" s="666"/>
      <c r="DG78" s="658"/>
      <c r="DH78" s="701"/>
      <c r="DI78" s="666"/>
      <c r="DJ78" s="658">
        <f t="shared" si="34"/>
        <v>0</v>
      </c>
      <c r="DK78" s="701">
        <f t="shared" si="39"/>
        <v>0</v>
      </c>
      <c r="DL78" s="666">
        <f t="shared" si="40"/>
        <v>0</v>
      </c>
      <c r="DM78" s="658"/>
      <c r="DN78" s="701"/>
      <c r="DO78" s="666"/>
      <c r="DP78" s="658"/>
      <c r="DQ78" s="701"/>
      <c r="DR78" s="666"/>
      <c r="DS78" s="658">
        <f t="shared" si="186"/>
        <v>350000</v>
      </c>
      <c r="DT78" s="701">
        <f t="shared" si="187"/>
        <v>350000</v>
      </c>
      <c r="DU78" s="666">
        <f t="shared" si="188"/>
        <v>71002.786999999997</v>
      </c>
      <c r="DV78" s="717">
        <f t="shared" ref="DV78:DV86" si="192">DU78/DT78*100</f>
        <v>20.286510571428572</v>
      </c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</row>
    <row r="79" spans="1:237" ht="12.75" hidden="1" customHeight="1" x14ac:dyDescent="0.2">
      <c r="A79" s="1699"/>
      <c r="B79" s="1700" t="s">
        <v>81</v>
      </c>
      <c r="C79" s="1740"/>
      <c r="D79" s="1741"/>
      <c r="E79" s="1742"/>
      <c r="F79" s="1740"/>
      <c r="G79" s="1741"/>
      <c r="H79" s="1742"/>
      <c r="I79" s="1740"/>
      <c r="J79" s="1741"/>
      <c r="K79" s="1742"/>
      <c r="L79" s="1740"/>
      <c r="M79" s="1741"/>
      <c r="N79" s="1742"/>
      <c r="O79" s="1740"/>
      <c r="P79" s="1741"/>
      <c r="Q79" s="1742"/>
      <c r="R79" s="1740"/>
      <c r="S79" s="1741"/>
      <c r="T79" s="1742"/>
      <c r="U79" s="1740"/>
      <c r="V79" s="1741"/>
      <c r="W79" s="1742"/>
      <c r="X79" s="1740"/>
      <c r="Y79" s="1741"/>
      <c r="Z79" s="1742"/>
      <c r="AA79" s="1740"/>
      <c r="AB79" s="1741"/>
      <c r="AC79" s="1742"/>
      <c r="AD79" s="1740"/>
      <c r="AE79" s="1741"/>
      <c r="AF79" s="1742"/>
      <c r="AG79" s="1740"/>
      <c r="AH79" s="1741"/>
      <c r="AI79" s="1742"/>
      <c r="AJ79" s="1740"/>
      <c r="AK79" s="1741"/>
      <c r="AL79" s="1742"/>
      <c r="AM79" s="1740"/>
      <c r="AN79" s="1741"/>
      <c r="AO79" s="1742"/>
      <c r="AP79" s="1740"/>
      <c r="AQ79" s="1741"/>
      <c r="AR79" s="1742"/>
      <c r="AS79" s="1740"/>
      <c r="AT79" s="1741"/>
      <c r="AU79" s="1742"/>
      <c r="AV79" s="1740"/>
      <c r="AW79" s="1741"/>
      <c r="AX79" s="1742"/>
      <c r="AY79" s="1740"/>
      <c r="AZ79" s="1741"/>
      <c r="BA79" s="1742"/>
      <c r="BB79" s="1740"/>
      <c r="BC79" s="1741"/>
      <c r="BD79" s="1742"/>
      <c r="BE79" s="1740"/>
      <c r="BF79" s="1741"/>
      <c r="BG79" s="1742"/>
      <c r="BH79" s="658">
        <f t="shared" si="189"/>
        <v>0</v>
      </c>
      <c r="BI79" s="701">
        <f t="shared" si="190"/>
        <v>0</v>
      </c>
      <c r="BJ79" s="666">
        <f t="shared" si="191"/>
        <v>0</v>
      </c>
      <c r="BK79" s="1740"/>
      <c r="BL79" s="1741"/>
      <c r="BM79" s="1742"/>
      <c r="BN79" s="1740"/>
      <c r="BO79" s="1741"/>
      <c r="BP79" s="1742"/>
      <c r="BQ79" s="1740"/>
      <c r="BR79" s="1741"/>
      <c r="BS79" s="1742"/>
      <c r="BT79" s="1740"/>
      <c r="BU79" s="1741"/>
      <c r="BV79" s="1742"/>
      <c r="BW79" s="1740"/>
      <c r="BX79" s="1741"/>
      <c r="BY79" s="1742"/>
      <c r="BZ79" s="1740"/>
      <c r="CA79" s="1741"/>
      <c r="CB79" s="1742"/>
      <c r="CC79" s="1740"/>
      <c r="CD79" s="1741"/>
      <c r="CE79" s="1742"/>
      <c r="CF79" s="1740"/>
      <c r="CG79" s="1741"/>
      <c r="CH79" s="1742"/>
      <c r="CI79" s="1740"/>
      <c r="CJ79" s="1741"/>
      <c r="CK79" s="1986"/>
      <c r="CL79" s="658"/>
      <c r="CM79" s="701"/>
      <c r="CN79" s="666"/>
      <c r="CO79" s="658"/>
      <c r="CP79" s="701"/>
      <c r="CQ79" s="666"/>
      <c r="CR79" s="1740"/>
      <c r="CS79" s="1741"/>
      <c r="CT79" s="1742"/>
      <c r="CU79" s="658">
        <f t="shared" si="183"/>
        <v>0</v>
      </c>
      <c r="CV79" s="701">
        <f t="shared" si="184"/>
        <v>0</v>
      </c>
      <c r="CW79" s="666">
        <f t="shared" si="185"/>
        <v>0</v>
      </c>
      <c r="CX79" s="658">
        <f t="shared" si="179"/>
        <v>0</v>
      </c>
      <c r="CY79" s="701">
        <f t="shared" si="114"/>
        <v>0</v>
      </c>
      <c r="CZ79" s="666">
        <f t="shared" si="115"/>
        <v>0</v>
      </c>
      <c r="DA79" s="1740"/>
      <c r="DB79" s="1741"/>
      <c r="DC79" s="1742"/>
      <c r="DD79" s="1740"/>
      <c r="DE79" s="1741"/>
      <c r="DF79" s="1742"/>
      <c r="DG79" s="1740"/>
      <c r="DH79" s="1741"/>
      <c r="DI79" s="1742"/>
      <c r="DJ79" s="658">
        <f t="shared" si="34"/>
        <v>0</v>
      </c>
      <c r="DK79" s="701">
        <f t="shared" si="39"/>
        <v>0</v>
      </c>
      <c r="DL79" s="666">
        <f t="shared" si="40"/>
        <v>0</v>
      </c>
      <c r="DM79" s="1740"/>
      <c r="DN79" s="1741"/>
      <c r="DO79" s="1742"/>
      <c r="DP79" s="1740"/>
      <c r="DQ79" s="1741"/>
      <c r="DR79" s="1742"/>
      <c r="DS79" s="658">
        <f t="shared" si="186"/>
        <v>0</v>
      </c>
      <c r="DT79" s="701">
        <f t="shared" si="187"/>
        <v>0</v>
      </c>
      <c r="DU79" s="666">
        <f t="shared" si="188"/>
        <v>0</v>
      </c>
      <c r="DV79" s="717">
        <v>0</v>
      </c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</row>
    <row r="80" spans="1:237" s="133" customFormat="1" ht="12.75" customHeight="1" x14ac:dyDescent="0.2">
      <c r="A80" s="1681" t="s">
        <v>653</v>
      </c>
      <c r="B80" s="1682" t="s">
        <v>968</v>
      </c>
      <c r="C80" s="1743"/>
      <c r="D80" s="1744"/>
      <c r="E80" s="1745"/>
      <c r="F80" s="1754"/>
      <c r="G80" s="1755">
        <v>352</v>
      </c>
      <c r="H80" s="1756">
        <v>352</v>
      </c>
      <c r="I80" s="1743"/>
      <c r="J80" s="1744"/>
      <c r="K80" s="1745"/>
      <c r="L80" s="1743"/>
      <c r="M80" s="1744"/>
      <c r="N80" s="1745"/>
      <c r="O80" s="1743"/>
      <c r="P80" s="1744"/>
      <c r="Q80" s="1745"/>
      <c r="R80" s="1743"/>
      <c r="S80" s="1744"/>
      <c r="T80" s="1745"/>
      <c r="U80" s="1743"/>
      <c r="V80" s="1744"/>
      <c r="W80" s="1745"/>
      <c r="X80" s="1743"/>
      <c r="Y80" s="1744"/>
      <c r="Z80" s="1745"/>
      <c r="AA80" s="1743"/>
      <c r="AB80" s="1744"/>
      <c r="AC80" s="1745"/>
      <c r="AD80" s="1743"/>
      <c r="AE80" s="1744"/>
      <c r="AF80" s="1745"/>
      <c r="AG80" s="1743"/>
      <c r="AH80" s="1744"/>
      <c r="AI80" s="1745"/>
      <c r="AJ80" s="1743"/>
      <c r="AK80" s="1744"/>
      <c r="AL80" s="1745"/>
      <c r="AM80" s="1743"/>
      <c r="AN80" s="1744"/>
      <c r="AO80" s="1745"/>
      <c r="AP80" s="1743"/>
      <c r="AQ80" s="1744"/>
      <c r="AR80" s="1745"/>
      <c r="AS80" s="1743"/>
      <c r="AT80" s="1744"/>
      <c r="AU80" s="1745"/>
      <c r="AV80" s="1743"/>
      <c r="AW80" s="1744"/>
      <c r="AX80" s="1745"/>
      <c r="AY80" s="1743"/>
      <c r="AZ80" s="1744"/>
      <c r="BA80" s="1745"/>
      <c r="BB80" s="1743"/>
      <c r="BC80" s="1744"/>
      <c r="BD80" s="1745"/>
      <c r="BE80" s="1754"/>
      <c r="BF80" s="1755">
        <v>120</v>
      </c>
      <c r="BG80" s="1756">
        <v>120</v>
      </c>
      <c r="BH80" s="1754">
        <f t="shared" si="189"/>
        <v>0</v>
      </c>
      <c r="BI80" s="1755">
        <f t="shared" si="190"/>
        <v>472</v>
      </c>
      <c r="BJ80" s="1756">
        <f t="shared" si="191"/>
        <v>472</v>
      </c>
      <c r="BK80" s="1743"/>
      <c r="BL80" s="1744"/>
      <c r="BM80" s="1745"/>
      <c r="BN80" s="1743"/>
      <c r="BO80" s="1744"/>
      <c r="BP80" s="1745"/>
      <c r="BQ80" s="1743"/>
      <c r="BR80" s="1744"/>
      <c r="BS80" s="1745"/>
      <c r="BT80" s="1743"/>
      <c r="BU80" s="1744"/>
      <c r="BV80" s="1745"/>
      <c r="BW80" s="1743"/>
      <c r="BX80" s="1744"/>
      <c r="BY80" s="1745"/>
      <c r="BZ80" s="1743"/>
      <c r="CA80" s="1744"/>
      <c r="CB80" s="1745"/>
      <c r="CC80" s="1743"/>
      <c r="CD80" s="1744"/>
      <c r="CE80" s="1745"/>
      <c r="CF80" s="1743"/>
      <c r="CG80" s="1744"/>
      <c r="CH80" s="1745"/>
      <c r="CI80" s="1743"/>
      <c r="CJ80" s="1744"/>
      <c r="CK80" s="1987"/>
      <c r="CL80" s="1743"/>
      <c r="CM80" s="1744"/>
      <c r="CN80" s="1745"/>
      <c r="CO80" s="1743"/>
      <c r="CP80" s="1744"/>
      <c r="CQ80" s="1745"/>
      <c r="CR80" s="1743"/>
      <c r="CS80" s="1744"/>
      <c r="CT80" s="1745"/>
      <c r="CU80" s="1708">
        <f t="shared" si="183"/>
        <v>0</v>
      </c>
      <c r="CV80" s="1709">
        <f t="shared" si="184"/>
        <v>0</v>
      </c>
      <c r="CW80" s="1710">
        <f t="shared" si="185"/>
        <v>0</v>
      </c>
      <c r="CX80" s="1708">
        <f t="shared" si="179"/>
        <v>0</v>
      </c>
      <c r="CY80" s="1709">
        <f t="shared" si="114"/>
        <v>472</v>
      </c>
      <c r="CZ80" s="1710">
        <f t="shared" si="115"/>
        <v>472</v>
      </c>
      <c r="DA80" s="1743"/>
      <c r="DB80" s="1744"/>
      <c r="DC80" s="1745"/>
      <c r="DD80" s="1743"/>
      <c r="DE80" s="1744"/>
      <c r="DF80" s="1745"/>
      <c r="DG80" s="1754">
        <v>150</v>
      </c>
      <c r="DH80" s="1755">
        <f>1618+414</f>
        <v>2032</v>
      </c>
      <c r="DI80" s="1756">
        <v>2032.107</v>
      </c>
      <c r="DJ80" s="1708">
        <f t="shared" si="34"/>
        <v>150</v>
      </c>
      <c r="DK80" s="1709">
        <f t="shared" si="39"/>
        <v>2032</v>
      </c>
      <c r="DL80" s="1710">
        <f t="shared" si="40"/>
        <v>2032.107</v>
      </c>
      <c r="DM80" s="1743"/>
      <c r="DN80" s="1744"/>
      <c r="DO80" s="1745"/>
      <c r="DP80" s="1743"/>
      <c r="DQ80" s="1709">
        <v>700</v>
      </c>
      <c r="DR80" s="1710">
        <v>700</v>
      </c>
      <c r="DS80" s="1708">
        <f t="shared" si="186"/>
        <v>150</v>
      </c>
      <c r="DT80" s="1709">
        <f t="shared" si="187"/>
        <v>3204</v>
      </c>
      <c r="DU80" s="1710">
        <f t="shared" si="188"/>
        <v>3204.107</v>
      </c>
      <c r="DV80" s="1775">
        <f>DU80/DT80*100</f>
        <v>100.00333957553057</v>
      </c>
      <c r="DW80" s="598"/>
      <c r="DX80" s="598"/>
      <c r="DY80" s="598"/>
      <c r="DZ80" s="598"/>
      <c r="EA80" s="598"/>
      <c r="EB80" s="598"/>
      <c r="EC80" s="598"/>
      <c r="ED80" s="598"/>
      <c r="EE80" s="598"/>
      <c r="EF80" s="598"/>
      <c r="EG80" s="598"/>
      <c r="EH80" s="598"/>
      <c r="EI80" s="598"/>
      <c r="EJ80" s="598"/>
      <c r="EK80" s="598"/>
      <c r="EL80" s="598"/>
      <c r="EM80" s="598"/>
      <c r="EN80" s="598"/>
      <c r="EO80" s="598"/>
      <c r="EP80" s="598"/>
      <c r="EQ80" s="598"/>
      <c r="ER80" s="598"/>
      <c r="ES80" s="598"/>
      <c r="ET80" s="598"/>
      <c r="EU80" s="598"/>
      <c r="EV80" s="598"/>
      <c r="EW80" s="598"/>
      <c r="EX80" s="598"/>
      <c r="EY80" s="598"/>
      <c r="EZ80" s="598"/>
      <c r="FA80" s="598"/>
      <c r="FB80" s="598"/>
      <c r="FC80" s="598"/>
      <c r="FD80" s="598"/>
      <c r="FE80" s="598"/>
      <c r="FF80" s="598"/>
      <c r="FG80" s="598"/>
      <c r="FH80" s="598"/>
      <c r="FI80" s="598"/>
      <c r="FJ80" s="598"/>
      <c r="FK80" s="598"/>
      <c r="FL80" s="598"/>
      <c r="FM80" s="598"/>
      <c r="FN80" s="598"/>
      <c r="FO80" s="598"/>
      <c r="FP80" s="598"/>
      <c r="FQ80" s="598"/>
      <c r="FR80" s="598"/>
      <c r="FS80" s="598"/>
      <c r="FT80" s="598"/>
      <c r="FU80" s="598"/>
      <c r="FV80" s="598"/>
      <c r="FW80" s="598"/>
      <c r="FX80" s="598"/>
      <c r="FY80" s="598"/>
      <c r="FZ80" s="598"/>
      <c r="GA80" s="598"/>
      <c r="GB80" s="598"/>
      <c r="GC80" s="598"/>
      <c r="GD80" s="598"/>
      <c r="GE80" s="598"/>
      <c r="GF80" s="598"/>
      <c r="GG80" s="598"/>
      <c r="GH80" s="598"/>
      <c r="GI80" s="598"/>
      <c r="GJ80" s="598"/>
      <c r="GK80" s="598"/>
      <c r="GL80" s="598"/>
      <c r="GM80" s="598"/>
      <c r="GN80" s="598"/>
      <c r="GO80" s="598"/>
      <c r="GP80" s="598"/>
      <c r="GQ80" s="598"/>
      <c r="GR80" s="598"/>
      <c r="GS80" s="598"/>
      <c r="GT80" s="598"/>
      <c r="GU80" s="598"/>
      <c r="GV80" s="598"/>
      <c r="GW80" s="598"/>
      <c r="GX80" s="598"/>
      <c r="GY80" s="598"/>
      <c r="GZ80" s="598"/>
      <c r="HA80" s="598"/>
      <c r="HB80" s="598"/>
      <c r="HC80" s="598"/>
      <c r="HD80" s="598"/>
      <c r="HE80" s="598"/>
      <c r="HF80" s="598"/>
      <c r="HG80" s="598"/>
      <c r="HH80" s="598"/>
      <c r="HI80" s="598"/>
      <c r="HJ80" s="598"/>
      <c r="HK80" s="598"/>
      <c r="HL80" s="598"/>
      <c r="HM80" s="598"/>
      <c r="HN80" s="598"/>
      <c r="HO80" s="598"/>
      <c r="HP80" s="598"/>
      <c r="HQ80" s="598"/>
      <c r="HR80" s="598"/>
      <c r="HS80" s="598"/>
      <c r="HT80" s="598"/>
      <c r="HU80" s="598"/>
      <c r="HV80" s="598"/>
      <c r="HW80" s="598"/>
      <c r="HX80" s="598"/>
      <c r="HY80" s="598"/>
      <c r="HZ80" s="598"/>
      <c r="IA80" s="598"/>
      <c r="IB80" s="598"/>
      <c r="IC80" s="598"/>
    </row>
    <row r="81" spans="1:237" s="598" customFormat="1" ht="12.75" customHeight="1" x14ac:dyDescent="0.2">
      <c r="A81" s="1681" t="s">
        <v>969</v>
      </c>
      <c r="B81" s="1682" t="s">
        <v>970</v>
      </c>
      <c r="C81" s="1746"/>
      <c r="D81" s="1747"/>
      <c r="E81" s="1748"/>
      <c r="F81" s="1746"/>
      <c r="G81" s="1747"/>
      <c r="H81" s="1748"/>
      <c r="I81" s="1746"/>
      <c r="J81" s="1747"/>
      <c r="K81" s="1748"/>
      <c r="L81" s="1746"/>
      <c r="M81" s="1747"/>
      <c r="N81" s="1748"/>
      <c r="O81" s="1746"/>
      <c r="P81" s="1747"/>
      <c r="Q81" s="1748"/>
      <c r="R81" s="1746"/>
      <c r="S81" s="1747"/>
      <c r="T81" s="1748"/>
      <c r="U81" s="1746"/>
      <c r="V81" s="1747"/>
      <c r="W81" s="1748"/>
      <c r="X81" s="1746"/>
      <c r="Y81" s="1747"/>
      <c r="Z81" s="1748"/>
      <c r="AA81" s="1746"/>
      <c r="AB81" s="1747"/>
      <c r="AC81" s="1748"/>
      <c r="AD81" s="1746"/>
      <c r="AE81" s="1747"/>
      <c r="AF81" s="1748"/>
      <c r="AG81" s="1746"/>
      <c r="AH81" s="1747"/>
      <c r="AI81" s="1748"/>
      <c r="AJ81" s="1746"/>
      <c r="AK81" s="1747"/>
      <c r="AL81" s="1748"/>
      <c r="AM81" s="1746"/>
      <c r="AN81" s="1747"/>
      <c r="AO81" s="1748"/>
      <c r="AP81" s="1746"/>
      <c r="AQ81" s="1747"/>
      <c r="AR81" s="1748"/>
      <c r="AS81" s="1746"/>
      <c r="AT81" s="1747"/>
      <c r="AU81" s="1748"/>
      <c r="AV81" s="1746"/>
      <c r="AW81" s="1747"/>
      <c r="AX81" s="1748"/>
      <c r="AY81" s="1746"/>
      <c r="AZ81" s="1747"/>
      <c r="BA81" s="1748"/>
      <c r="BB81" s="1746"/>
      <c r="BC81" s="1747"/>
      <c r="BD81" s="1748"/>
      <c r="BE81" s="1757"/>
      <c r="BF81" s="1758">
        <v>8181</v>
      </c>
      <c r="BG81" s="1759">
        <v>8181.1260000000002</v>
      </c>
      <c r="BH81" s="1757">
        <f t="shared" si="189"/>
        <v>0</v>
      </c>
      <c r="BI81" s="1758">
        <f t="shared" si="190"/>
        <v>8181</v>
      </c>
      <c r="BJ81" s="1759">
        <f t="shared" si="191"/>
        <v>8181.1260000000002</v>
      </c>
      <c r="BK81" s="1746"/>
      <c r="BL81" s="1747"/>
      <c r="BM81" s="1748"/>
      <c r="BN81" s="1746"/>
      <c r="BO81" s="1747"/>
      <c r="BP81" s="1748"/>
      <c r="BQ81" s="1746"/>
      <c r="BR81" s="1747"/>
      <c r="BS81" s="1748"/>
      <c r="BT81" s="1746"/>
      <c r="BU81" s="1747"/>
      <c r="BV81" s="1748"/>
      <c r="BW81" s="1746"/>
      <c r="BX81" s="1747"/>
      <c r="BY81" s="1748"/>
      <c r="BZ81" s="1746"/>
      <c r="CA81" s="1747"/>
      <c r="CB81" s="1748"/>
      <c r="CC81" s="1746"/>
      <c r="CD81" s="1747"/>
      <c r="CE81" s="1748"/>
      <c r="CF81" s="1746"/>
      <c r="CG81" s="1747"/>
      <c r="CH81" s="1748"/>
      <c r="CI81" s="1746"/>
      <c r="CJ81" s="1747"/>
      <c r="CK81" s="1988"/>
      <c r="CL81" s="1999"/>
      <c r="CM81" s="2000"/>
      <c r="CN81" s="2001"/>
      <c r="CO81" s="1999"/>
      <c r="CP81" s="2000"/>
      <c r="CQ81" s="2001"/>
      <c r="CR81" s="1746"/>
      <c r="CS81" s="1747"/>
      <c r="CT81" s="1748"/>
      <c r="CU81" s="1708">
        <f t="shared" si="183"/>
        <v>0</v>
      </c>
      <c r="CV81" s="1709">
        <f t="shared" si="184"/>
        <v>0</v>
      </c>
      <c r="CW81" s="1710">
        <f t="shared" si="185"/>
        <v>0</v>
      </c>
      <c r="CX81" s="1708">
        <f t="shared" si="179"/>
        <v>0</v>
      </c>
      <c r="CY81" s="1709">
        <f t="shared" si="114"/>
        <v>8181</v>
      </c>
      <c r="CZ81" s="1710">
        <f t="shared" si="115"/>
        <v>8181.1260000000002</v>
      </c>
      <c r="DA81" s="1746"/>
      <c r="DB81" s="1747"/>
      <c r="DC81" s="1748"/>
      <c r="DD81" s="1746"/>
      <c r="DE81" s="1747"/>
      <c r="DF81" s="1748"/>
      <c r="DG81" s="1746"/>
      <c r="DH81" s="1747"/>
      <c r="DI81" s="1748"/>
      <c r="DJ81" s="1708">
        <f t="shared" ref="DJ81:DJ94" si="193">DA81+DD81+DG81</f>
        <v>0</v>
      </c>
      <c r="DK81" s="1709">
        <f t="shared" si="39"/>
        <v>0</v>
      </c>
      <c r="DL81" s="1710">
        <f t="shared" si="40"/>
        <v>0</v>
      </c>
      <c r="DM81" s="1746"/>
      <c r="DN81" s="1747"/>
      <c r="DO81" s="1748"/>
      <c r="DP81" s="1746"/>
      <c r="DQ81" s="1747"/>
      <c r="DR81" s="1748"/>
      <c r="DS81" s="1708">
        <f t="shared" si="186"/>
        <v>0</v>
      </c>
      <c r="DT81" s="1709">
        <f t="shared" si="187"/>
        <v>8181</v>
      </c>
      <c r="DU81" s="1710">
        <f t="shared" si="188"/>
        <v>8181.1260000000002</v>
      </c>
      <c r="DV81" s="1775">
        <v>0</v>
      </c>
    </row>
    <row r="82" spans="1:237" s="598" customFormat="1" ht="15" customHeight="1" x14ac:dyDescent="0.2">
      <c r="A82" s="1689" t="s">
        <v>117</v>
      </c>
      <c r="B82" s="1690" t="s">
        <v>971</v>
      </c>
      <c r="C82" s="1182">
        <f t="shared" ref="C82:AH82" si="194">SUM(C83:C85)</f>
        <v>0</v>
      </c>
      <c r="D82" s="1183">
        <f t="shared" si="194"/>
        <v>0</v>
      </c>
      <c r="E82" s="923">
        <f t="shared" si="194"/>
        <v>0</v>
      </c>
      <c r="F82" s="1182">
        <f t="shared" si="194"/>
        <v>0</v>
      </c>
      <c r="G82" s="1183">
        <f t="shared" si="194"/>
        <v>0</v>
      </c>
      <c r="H82" s="923">
        <f t="shared" si="194"/>
        <v>0</v>
      </c>
      <c r="I82" s="1182">
        <f t="shared" si="194"/>
        <v>0</v>
      </c>
      <c r="J82" s="1183">
        <f t="shared" si="194"/>
        <v>0</v>
      </c>
      <c r="K82" s="923">
        <f t="shared" si="194"/>
        <v>0</v>
      </c>
      <c r="L82" s="1182">
        <f t="shared" si="194"/>
        <v>0</v>
      </c>
      <c r="M82" s="1183">
        <f t="shared" si="194"/>
        <v>0</v>
      </c>
      <c r="N82" s="923">
        <f t="shared" si="194"/>
        <v>0</v>
      </c>
      <c r="O82" s="1182">
        <f t="shared" si="194"/>
        <v>0</v>
      </c>
      <c r="P82" s="1183">
        <f t="shared" si="194"/>
        <v>0</v>
      </c>
      <c r="Q82" s="923">
        <f t="shared" si="194"/>
        <v>0</v>
      </c>
      <c r="R82" s="1182">
        <f t="shared" si="194"/>
        <v>0</v>
      </c>
      <c r="S82" s="1183">
        <f t="shared" si="194"/>
        <v>0</v>
      </c>
      <c r="T82" s="923">
        <f t="shared" si="194"/>
        <v>0</v>
      </c>
      <c r="U82" s="1182">
        <f t="shared" si="194"/>
        <v>0</v>
      </c>
      <c r="V82" s="1183">
        <f t="shared" si="194"/>
        <v>0</v>
      </c>
      <c r="W82" s="923">
        <f t="shared" si="194"/>
        <v>0</v>
      </c>
      <c r="X82" s="1182">
        <f t="shared" si="194"/>
        <v>0</v>
      </c>
      <c r="Y82" s="1183">
        <f t="shared" si="194"/>
        <v>0</v>
      </c>
      <c r="Z82" s="923">
        <f t="shared" si="194"/>
        <v>0</v>
      </c>
      <c r="AA82" s="1182">
        <f t="shared" si="194"/>
        <v>0</v>
      </c>
      <c r="AB82" s="1183">
        <f t="shared" si="194"/>
        <v>0</v>
      </c>
      <c r="AC82" s="923">
        <f t="shared" si="194"/>
        <v>0</v>
      </c>
      <c r="AD82" s="1182">
        <f t="shared" si="194"/>
        <v>0</v>
      </c>
      <c r="AE82" s="1183">
        <f t="shared" si="194"/>
        <v>0</v>
      </c>
      <c r="AF82" s="923">
        <f t="shared" si="194"/>
        <v>0</v>
      </c>
      <c r="AG82" s="1182">
        <f>SUM(AG83:AG85)</f>
        <v>0</v>
      </c>
      <c r="AH82" s="1183">
        <f t="shared" si="194"/>
        <v>0</v>
      </c>
      <c r="AI82" s="923">
        <f t="shared" ref="AI82:BG82" si="195">SUM(AI83:AI85)</f>
        <v>0</v>
      </c>
      <c r="AJ82" s="1182">
        <f t="shared" si="195"/>
        <v>0</v>
      </c>
      <c r="AK82" s="1183">
        <f t="shared" si="195"/>
        <v>0</v>
      </c>
      <c r="AL82" s="923">
        <f t="shared" si="195"/>
        <v>0</v>
      </c>
      <c r="AM82" s="1182">
        <f t="shared" si="195"/>
        <v>0</v>
      </c>
      <c r="AN82" s="1183">
        <f t="shared" si="195"/>
        <v>31900.55</v>
      </c>
      <c r="AO82" s="923">
        <f t="shared" si="195"/>
        <v>31900.55</v>
      </c>
      <c r="AP82" s="1182">
        <f t="shared" si="195"/>
        <v>0</v>
      </c>
      <c r="AQ82" s="1183">
        <f t="shared" si="195"/>
        <v>0</v>
      </c>
      <c r="AR82" s="923">
        <f t="shared" si="195"/>
        <v>0</v>
      </c>
      <c r="AS82" s="1182">
        <f t="shared" si="195"/>
        <v>0</v>
      </c>
      <c r="AT82" s="1183">
        <f t="shared" si="195"/>
        <v>0</v>
      </c>
      <c r="AU82" s="923">
        <f t="shared" si="195"/>
        <v>0</v>
      </c>
      <c r="AV82" s="1182">
        <f t="shared" si="195"/>
        <v>0</v>
      </c>
      <c r="AW82" s="1183">
        <f t="shared" si="195"/>
        <v>0</v>
      </c>
      <c r="AX82" s="923">
        <f t="shared" si="195"/>
        <v>0</v>
      </c>
      <c r="AY82" s="1182">
        <f t="shared" si="195"/>
        <v>0</v>
      </c>
      <c r="AZ82" s="1183">
        <f t="shared" si="195"/>
        <v>0</v>
      </c>
      <c r="BA82" s="923">
        <f t="shared" si="195"/>
        <v>0</v>
      </c>
      <c r="BB82" s="1182">
        <f t="shared" si="195"/>
        <v>0</v>
      </c>
      <c r="BC82" s="1183">
        <f t="shared" si="195"/>
        <v>0</v>
      </c>
      <c r="BD82" s="923">
        <f t="shared" si="195"/>
        <v>0</v>
      </c>
      <c r="BE82" s="1182">
        <f t="shared" si="195"/>
        <v>1500</v>
      </c>
      <c r="BF82" s="1183">
        <f t="shared" si="195"/>
        <v>1500</v>
      </c>
      <c r="BG82" s="923">
        <f t="shared" si="195"/>
        <v>1500</v>
      </c>
      <c r="BH82" s="1182">
        <f t="shared" si="189"/>
        <v>1500</v>
      </c>
      <c r="BI82" s="1183">
        <f t="shared" si="190"/>
        <v>33400.550000000003</v>
      </c>
      <c r="BJ82" s="923">
        <f t="shared" si="191"/>
        <v>33400.550000000003</v>
      </c>
      <c r="BK82" s="1182">
        <f t="shared" ref="BK82:CW82" si="196">SUM(BK83:BK85)</f>
        <v>0</v>
      </c>
      <c r="BL82" s="1183">
        <f t="shared" si="196"/>
        <v>0</v>
      </c>
      <c r="BM82" s="923">
        <f t="shared" si="196"/>
        <v>0</v>
      </c>
      <c r="BN82" s="1182">
        <f t="shared" si="196"/>
        <v>0</v>
      </c>
      <c r="BO82" s="1183">
        <f t="shared" si="196"/>
        <v>0</v>
      </c>
      <c r="BP82" s="923">
        <f t="shared" si="196"/>
        <v>0</v>
      </c>
      <c r="BQ82" s="1182">
        <f t="shared" si="196"/>
        <v>0</v>
      </c>
      <c r="BR82" s="1183">
        <f t="shared" si="196"/>
        <v>0</v>
      </c>
      <c r="BS82" s="923">
        <f t="shared" si="196"/>
        <v>0</v>
      </c>
      <c r="BT82" s="1182">
        <f t="shared" si="196"/>
        <v>0</v>
      </c>
      <c r="BU82" s="1183">
        <f t="shared" si="196"/>
        <v>0</v>
      </c>
      <c r="BV82" s="923">
        <f t="shared" si="196"/>
        <v>0</v>
      </c>
      <c r="BW82" s="1182">
        <f t="shared" si="196"/>
        <v>0</v>
      </c>
      <c r="BX82" s="1183">
        <f t="shared" si="196"/>
        <v>0</v>
      </c>
      <c r="BY82" s="923">
        <f t="shared" si="196"/>
        <v>0</v>
      </c>
      <c r="BZ82" s="1182">
        <f t="shared" si="196"/>
        <v>0</v>
      </c>
      <c r="CA82" s="1183">
        <f t="shared" si="196"/>
        <v>0</v>
      </c>
      <c r="CB82" s="923">
        <f t="shared" si="196"/>
        <v>0</v>
      </c>
      <c r="CC82" s="1182">
        <f t="shared" si="196"/>
        <v>0</v>
      </c>
      <c r="CD82" s="1183">
        <f t="shared" si="196"/>
        <v>0</v>
      </c>
      <c r="CE82" s="923">
        <f t="shared" si="196"/>
        <v>0</v>
      </c>
      <c r="CF82" s="1182">
        <f t="shared" si="196"/>
        <v>0</v>
      </c>
      <c r="CG82" s="1183">
        <f t="shared" si="196"/>
        <v>0</v>
      </c>
      <c r="CH82" s="923">
        <f t="shared" si="196"/>
        <v>0</v>
      </c>
      <c r="CI82" s="1182">
        <f t="shared" si="196"/>
        <v>16300</v>
      </c>
      <c r="CJ82" s="1183">
        <f t="shared" si="196"/>
        <v>16300</v>
      </c>
      <c r="CK82" s="1989">
        <f t="shared" si="196"/>
        <v>10939.671</v>
      </c>
      <c r="CL82" s="1182">
        <f t="shared" si="196"/>
        <v>0</v>
      </c>
      <c r="CM82" s="1183">
        <f t="shared" si="196"/>
        <v>0</v>
      </c>
      <c r="CN82" s="923">
        <f t="shared" si="196"/>
        <v>0</v>
      </c>
      <c r="CO82" s="1182">
        <f t="shared" si="196"/>
        <v>0</v>
      </c>
      <c r="CP82" s="1183">
        <f t="shared" si="196"/>
        <v>0</v>
      </c>
      <c r="CQ82" s="923">
        <f t="shared" si="196"/>
        <v>0</v>
      </c>
      <c r="CR82" s="1182">
        <f t="shared" ref="CR82:CT82" si="197">SUM(CR83:CR85)</f>
        <v>0</v>
      </c>
      <c r="CS82" s="1183">
        <f t="shared" si="197"/>
        <v>0</v>
      </c>
      <c r="CT82" s="923">
        <f t="shared" si="197"/>
        <v>0</v>
      </c>
      <c r="CU82" s="1182">
        <f t="shared" si="196"/>
        <v>16300</v>
      </c>
      <c r="CV82" s="1183">
        <f t="shared" si="196"/>
        <v>16300</v>
      </c>
      <c r="CW82" s="923">
        <f t="shared" si="196"/>
        <v>10939.671</v>
      </c>
      <c r="CX82" s="1182">
        <f t="shared" si="179"/>
        <v>17800</v>
      </c>
      <c r="CY82" s="1183">
        <f t="shared" si="114"/>
        <v>49700.55</v>
      </c>
      <c r="CZ82" s="923">
        <f t="shared" si="115"/>
        <v>44340.221000000005</v>
      </c>
      <c r="DA82" s="1182">
        <f t="shared" ref="DA82:DR82" si="198">SUM(DA83:DA85)</f>
        <v>0</v>
      </c>
      <c r="DB82" s="1183">
        <f t="shared" si="198"/>
        <v>0</v>
      </c>
      <c r="DC82" s="923">
        <f t="shared" si="198"/>
        <v>0</v>
      </c>
      <c r="DD82" s="1182">
        <f t="shared" si="198"/>
        <v>0</v>
      </c>
      <c r="DE82" s="1183">
        <f t="shared" si="198"/>
        <v>0</v>
      </c>
      <c r="DF82" s="923">
        <f t="shared" si="198"/>
        <v>0</v>
      </c>
      <c r="DG82" s="1182">
        <f t="shared" si="198"/>
        <v>1200</v>
      </c>
      <c r="DH82" s="1183">
        <f t="shared" si="198"/>
        <v>1176</v>
      </c>
      <c r="DI82" s="923">
        <f t="shared" si="198"/>
        <v>1175.3340000000001</v>
      </c>
      <c r="DJ82" s="1182">
        <f t="shared" si="193"/>
        <v>1200</v>
      </c>
      <c r="DK82" s="1183">
        <f t="shared" si="39"/>
        <v>1176</v>
      </c>
      <c r="DL82" s="923">
        <f t="shared" si="40"/>
        <v>1175.3340000000001</v>
      </c>
      <c r="DM82" s="1182">
        <f t="shared" si="198"/>
        <v>0</v>
      </c>
      <c r="DN82" s="1183">
        <f t="shared" si="198"/>
        <v>0</v>
      </c>
      <c r="DO82" s="923">
        <f t="shared" si="198"/>
        <v>0</v>
      </c>
      <c r="DP82" s="1182">
        <f t="shared" si="198"/>
        <v>0</v>
      </c>
      <c r="DQ82" s="1183">
        <f t="shared" si="198"/>
        <v>0</v>
      </c>
      <c r="DR82" s="923">
        <f t="shared" si="198"/>
        <v>0</v>
      </c>
      <c r="DS82" s="1182">
        <f t="shared" si="186"/>
        <v>19000</v>
      </c>
      <c r="DT82" s="1183">
        <f t="shared" si="187"/>
        <v>50876.55</v>
      </c>
      <c r="DU82" s="923">
        <f t="shared" si="188"/>
        <v>45515.555000000008</v>
      </c>
      <c r="DV82" s="718">
        <f>DU82/DT82*100</f>
        <v>89.462738727370478</v>
      </c>
    </row>
    <row r="83" spans="1:237" s="598" customFormat="1" ht="12.75" customHeight="1" x14ac:dyDescent="0.2">
      <c r="A83" s="1681" t="s">
        <v>42</v>
      </c>
      <c r="B83" s="1687" t="s">
        <v>991</v>
      </c>
      <c r="C83" s="659"/>
      <c r="D83" s="702"/>
      <c r="E83" s="667"/>
      <c r="F83" s="659"/>
      <c r="G83" s="702"/>
      <c r="H83" s="667"/>
      <c r="I83" s="659"/>
      <c r="J83" s="702"/>
      <c r="K83" s="667"/>
      <c r="L83" s="659"/>
      <c r="M83" s="702"/>
      <c r="N83" s="667"/>
      <c r="O83" s="659"/>
      <c r="P83" s="702"/>
      <c r="Q83" s="667"/>
      <c r="R83" s="659"/>
      <c r="S83" s="702"/>
      <c r="T83" s="667"/>
      <c r="U83" s="659"/>
      <c r="V83" s="702"/>
      <c r="W83" s="667"/>
      <c r="X83" s="659"/>
      <c r="Y83" s="702"/>
      <c r="Z83" s="667"/>
      <c r="AA83" s="659"/>
      <c r="AB83" s="702"/>
      <c r="AC83" s="667"/>
      <c r="AD83" s="659"/>
      <c r="AE83" s="702"/>
      <c r="AF83" s="667"/>
      <c r="AG83" s="658"/>
      <c r="AH83" s="701"/>
      <c r="AI83" s="666"/>
      <c r="AJ83" s="659"/>
      <c r="AK83" s="702"/>
      <c r="AL83" s="667"/>
      <c r="AM83" s="658"/>
      <c r="AN83" s="701"/>
      <c r="AO83" s="666"/>
      <c r="AP83" s="659"/>
      <c r="AQ83" s="702"/>
      <c r="AR83" s="667"/>
      <c r="AS83" s="659"/>
      <c r="AT83" s="702"/>
      <c r="AU83" s="667"/>
      <c r="AV83" s="659"/>
      <c r="AW83" s="702"/>
      <c r="AX83" s="667"/>
      <c r="AY83" s="659"/>
      <c r="AZ83" s="702"/>
      <c r="BA83" s="667"/>
      <c r="BB83" s="659"/>
      <c r="BC83" s="702"/>
      <c r="BD83" s="667"/>
      <c r="BE83" s="659"/>
      <c r="BF83" s="702"/>
      <c r="BG83" s="667"/>
      <c r="BH83" s="658">
        <f>C83+F83+I83+L83+O83+R83+U83+X83+AA83+AD83+AG83+AJ83+AM83+AP83+AS83+AV83+AY83+BB83+BE83</f>
        <v>0</v>
      </c>
      <c r="BI83" s="701">
        <f t="shared" si="190"/>
        <v>0</v>
      </c>
      <c r="BJ83" s="666">
        <f t="shared" si="191"/>
        <v>0</v>
      </c>
      <c r="BK83" s="659"/>
      <c r="BL83" s="702"/>
      <c r="BM83" s="667"/>
      <c r="BN83" s="659"/>
      <c r="BO83" s="702"/>
      <c r="BP83" s="667"/>
      <c r="BQ83" s="659"/>
      <c r="BR83" s="702"/>
      <c r="BS83" s="667"/>
      <c r="BT83" s="659"/>
      <c r="BU83" s="702"/>
      <c r="BV83" s="667"/>
      <c r="BW83" s="659"/>
      <c r="BX83" s="702"/>
      <c r="BY83" s="667"/>
      <c r="BZ83" s="659"/>
      <c r="CA83" s="702"/>
      <c r="CB83" s="667"/>
      <c r="CC83" s="659"/>
      <c r="CD83" s="702"/>
      <c r="CE83" s="667"/>
      <c r="CF83" s="659"/>
      <c r="CG83" s="702"/>
      <c r="CH83" s="667"/>
      <c r="CI83" s="659"/>
      <c r="CJ83" s="702"/>
      <c r="CK83" s="1982"/>
      <c r="CL83" s="659"/>
      <c r="CM83" s="702"/>
      <c r="CN83" s="667"/>
      <c r="CO83" s="659"/>
      <c r="CP83" s="702"/>
      <c r="CQ83" s="667"/>
      <c r="CR83" s="659"/>
      <c r="CS83" s="702"/>
      <c r="CT83" s="667"/>
      <c r="CU83" s="658">
        <f t="shared" ref="CU83:CU85" si="199">BK83+BN83+BQ83+BT83+BW83+BZ83+CC83+CF83+CI83+CL83+CO83</f>
        <v>0</v>
      </c>
      <c r="CV83" s="701">
        <f t="shared" ref="CV83:CV85" si="200">BL83+BO83+BR83+BU83+BX83+CA83+CD83+CG83+CJ83+CM83+CP83</f>
        <v>0</v>
      </c>
      <c r="CW83" s="666">
        <f t="shared" ref="CW83:CW85" si="201">BM83+BP83+BS83+BV83+BY83+CB83+CE83+CH83+CK83+CN83+CQ83</f>
        <v>0</v>
      </c>
      <c r="CX83" s="658">
        <f t="shared" si="179"/>
        <v>0</v>
      </c>
      <c r="CY83" s="701">
        <f t="shared" si="114"/>
        <v>0</v>
      </c>
      <c r="CZ83" s="666">
        <f t="shared" si="115"/>
        <v>0</v>
      </c>
      <c r="DA83" s="659"/>
      <c r="DB83" s="702"/>
      <c r="DC83" s="667"/>
      <c r="DD83" s="659"/>
      <c r="DE83" s="702"/>
      <c r="DF83" s="667"/>
      <c r="DG83" s="658"/>
      <c r="DH83" s="701"/>
      <c r="DI83" s="666"/>
      <c r="DJ83" s="658">
        <f t="shared" si="193"/>
        <v>0</v>
      </c>
      <c r="DK83" s="701">
        <f t="shared" si="39"/>
        <v>0</v>
      </c>
      <c r="DL83" s="666">
        <f t="shared" si="40"/>
        <v>0</v>
      </c>
      <c r="DM83" s="659"/>
      <c r="DN83" s="702"/>
      <c r="DO83" s="667"/>
      <c r="DP83" s="658"/>
      <c r="DQ83" s="701"/>
      <c r="DR83" s="666"/>
      <c r="DS83" s="658">
        <f t="shared" si="186"/>
        <v>0</v>
      </c>
      <c r="DT83" s="701">
        <f t="shared" si="187"/>
        <v>0</v>
      </c>
      <c r="DU83" s="666">
        <f t="shared" si="188"/>
        <v>0</v>
      </c>
      <c r="DV83" s="717">
        <v>0</v>
      </c>
    </row>
    <row r="84" spans="1:237" s="598" customFormat="1" ht="12.75" customHeight="1" x14ac:dyDescent="0.2">
      <c r="A84" s="1681" t="s">
        <v>652</v>
      </c>
      <c r="B84" s="1701" t="s">
        <v>992</v>
      </c>
      <c r="C84" s="659"/>
      <c r="D84" s="702"/>
      <c r="E84" s="667"/>
      <c r="F84" s="659"/>
      <c r="G84" s="702"/>
      <c r="H84" s="667"/>
      <c r="I84" s="659"/>
      <c r="J84" s="702"/>
      <c r="K84" s="667"/>
      <c r="L84" s="659"/>
      <c r="M84" s="702"/>
      <c r="N84" s="667"/>
      <c r="O84" s="659"/>
      <c r="P84" s="702"/>
      <c r="Q84" s="667"/>
      <c r="R84" s="659"/>
      <c r="S84" s="702"/>
      <c r="T84" s="667"/>
      <c r="U84" s="659"/>
      <c r="V84" s="702"/>
      <c r="W84" s="667"/>
      <c r="X84" s="659"/>
      <c r="Y84" s="702"/>
      <c r="Z84" s="667"/>
      <c r="AA84" s="659"/>
      <c r="AB84" s="702"/>
      <c r="AC84" s="667"/>
      <c r="AD84" s="659"/>
      <c r="AE84" s="702"/>
      <c r="AF84" s="667"/>
      <c r="AG84" s="658"/>
      <c r="AH84" s="701"/>
      <c r="AI84" s="666"/>
      <c r="AJ84" s="659"/>
      <c r="AK84" s="702"/>
      <c r="AL84" s="667"/>
      <c r="AM84" s="658"/>
      <c r="AN84" s="701"/>
      <c r="AO84" s="666"/>
      <c r="AP84" s="659"/>
      <c r="AQ84" s="702"/>
      <c r="AR84" s="667"/>
      <c r="AS84" s="659"/>
      <c r="AT84" s="702"/>
      <c r="AU84" s="667"/>
      <c r="AV84" s="659"/>
      <c r="AW84" s="702"/>
      <c r="AX84" s="667"/>
      <c r="AY84" s="659"/>
      <c r="AZ84" s="702"/>
      <c r="BA84" s="667"/>
      <c r="BB84" s="659"/>
      <c r="BC84" s="702"/>
      <c r="BD84" s="667"/>
      <c r="BE84" s="658">
        <v>1500</v>
      </c>
      <c r="BF84" s="701">
        <v>1500</v>
      </c>
      <c r="BG84" s="666">
        <v>1500</v>
      </c>
      <c r="BH84" s="658">
        <f>C84+F84+I84+L84+O84+R84+U84+X84+AA84+AD84+AG84+AJ84+AM84+AP84+AS84+AV84+AY84+BB84+BE84</f>
        <v>1500</v>
      </c>
      <c r="BI84" s="701">
        <f t="shared" si="190"/>
        <v>1500</v>
      </c>
      <c r="BJ84" s="666">
        <f t="shared" si="191"/>
        <v>1500</v>
      </c>
      <c r="BK84" s="659"/>
      <c r="BL84" s="702"/>
      <c r="BM84" s="667"/>
      <c r="BN84" s="659"/>
      <c r="BO84" s="702"/>
      <c r="BP84" s="667"/>
      <c r="BQ84" s="659"/>
      <c r="BR84" s="702"/>
      <c r="BS84" s="667"/>
      <c r="BT84" s="659"/>
      <c r="BU84" s="702"/>
      <c r="BV84" s="667"/>
      <c r="BW84" s="659"/>
      <c r="BX84" s="702"/>
      <c r="BY84" s="667"/>
      <c r="BZ84" s="659"/>
      <c r="CA84" s="702"/>
      <c r="CB84" s="667"/>
      <c r="CC84" s="659"/>
      <c r="CD84" s="702"/>
      <c r="CE84" s="667"/>
      <c r="CF84" s="659"/>
      <c r="CG84" s="702"/>
      <c r="CH84" s="667"/>
      <c r="CI84" s="658">
        <v>16300</v>
      </c>
      <c r="CJ84" s="701">
        <v>16300</v>
      </c>
      <c r="CK84" s="1981">
        <v>10939.671</v>
      </c>
      <c r="CL84" s="658"/>
      <c r="CM84" s="701"/>
      <c r="CN84" s="666"/>
      <c r="CO84" s="658"/>
      <c r="CP84" s="701"/>
      <c r="CQ84" s="666"/>
      <c r="CR84" s="659"/>
      <c r="CS84" s="702"/>
      <c r="CT84" s="667"/>
      <c r="CU84" s="658">
        <f t="shared" si="199"/>
        <v>16300</v>
      </c>
      <c r="CV84" s="701">
        <f t="shared" si="200"/>
        <v>16300</v>
      </c>
      <c r="CW84" s="666">
        <f t="shared" si="201"/>
        <v>10939.671</v>
      </c>
      <c r="CX84" s="658">
        <f t="shared" si="179"/>
        <v>17800</v>
      </c>
      <c r="CY84" s="701">
        <f t="shared" si="114"/>
        <v>17800</v>
      </c>
      <c r="CZ84" s="666">
        <f t="shared" si="115"/>
        <v>12439.671</v>
      </c>
      <c r="DA84" s="659"/>
      <c r="DB84" s="702"/>
      <c r="DC84" s="667"/>
      <c r="DD84" s="659"/>
      <c r="DE84" s="702"/>
      <c r="DF84" s="667"/>
      <c r="DG84" s="658">
        <v>1200</v>
      </c>
      <c r="DH84" s="701">
        <v>1176</v>
      </c>
      <c r="DI84" s="666">
        <v>1175.3340000000001</v>
      </c>
      <c r="DJ84" s="658">
        <f t="shared" si="193"/>
        <v>1200</v>
      </c>
      <c r="DK84" s="701">
        <f t="shared" si="39"/>
        <v>1176</v>
      </c>
      <c r="DL84" s="666">
        <f t="shared" si="40"/>
        <v>1175.3340000000001</v>
      </c>
      <c r="DM84" s="659"/>
      <c r="DN84" s="702"/>
      <c r="DO84" s="667"/>
      <c r="DP84" s="658"/>
      <c r="DQ84" s="701"/>
      <c r="DR84" s="666"/>
      <c r="DS84" s="658">
        <f t="shared" si="186"/>
        <v>19000</v>
      </c>
      <c r="DT84" s="2062">
        <f t="shared" si="187"/>
        <v>18976</v>
      </c>
      <c r="DU84" s="666">
        <f t="shared" si="188"/>
        <v>13615.005000000001</v>
      </c>
      <c r="DV84" s="717">
        <f t="shared" si="192"/>
        <v>71.748550801011817</v>
      </c>
    </row>
    <row r="85" spans="1:237" s="598" customFormat="1" ht="12.75" customHeight="1" x14ac:dyDescent="0.2">
      <c r="A85" s="1681" t="s">
        <v>868</v>
      </c>
      <c r="B85" s="1682" t="s">
        <v>993</v>
      </c>
      <c r="C85" s="1406"/>
      <c r="D85" s="701"/>
      <c r="E85" s="666"/>
      <c r="F85" s="1408"/>
      <c r="G85" s="702"/>
      <c r="H85" s="667"/>
      <c r="I85" s="1408"/>
      <c r="J85" s="702"/>
      <c r="K85" s="667"/>
      <c r="L85" s="1408"/>
      <c r="M85" s="702"/>
      <c r="N85" s="667"/>
      <c r="O85" s="1408"/>
      <c r="P85" s="702"/>
      <c r="Q85" s="667"/>
      <c r="R85" s="1408"/>
      <c r="S85" s="702"/>
      <c r="T85" s="667"/>
      <c r="U85" s="1408"/>
      <c r="V85" s="702"/>
      <c r="W85" s="667"/>
      <c r="X85" s="1408"/>
      <c r="Y85" s="702"/>
      <c r="Z85" s="667"/>
      <c r="AA85" s="1408"/>
      <c r="AB85" s="702"/>
      <c r="AC85" s="667"/>
      <c r="AD85" s="1408"/>
      <c r="AE85" s="702"/>
      <c r="AF85" s="667"/>
      <c r="AG85" s="1406"/>
      <c r="AH85" s="701"/>
      <c r="AI85" s="666"/>
      <c r="AJ85" s="1408"/>
      <c r="AK85" s="702"/>
      <c r="AL85" s="667"/>
      <c r="AM85" s="1406"/>
      <c r="AN85" s="701">
        <v>31900.55</v>
      </c>
      <c r="AO85" s="666">
        <v>31900.55</v>
      </c>
      <c r="AP85" s="1408"/>
      <c r="AQ85" s="702"/>
      <c r="AR85" s="667"/>
      <c r="AS85" s="1408"/>
      <c r="AT85" s="702"/>
      <c r="AU85" s="667"/>
      <c r="AV85" s="1408"/>
      <c r="AW85" s="702"/>
      <c r="AX85" s="667"/>
      <c r="AY85" s="1408"/>
      <c r="AZ85" s="702"/>
      <c r="BA85" s="667"/>
      <c r="BB85" s="1408"/>
      <c r="BC85" s="702"/>
      <c r="BD85" s="667"/>
      <c r="BE85" s="1408"/>
      <c r="BF85" s="702"/>
      <c r="BG85" s="667"/>
      <c r="BH85" s="1406">
        <f t="shared" si="189"/>
        <v>0</v>
      </c>
      <c r="BI85" s="701">
        <f t="shared" si="190"/>
        <v>31900.55</v>
      </c>
      <c r="BJ85" s="666">
        <f t="shared" si="191"/>
        <v>31900.55</v>
      </c>
      <c r="BK85" s="1408"/>
      <c r="BL85" s="702"/>
      <c r="BM85" s="667"/>
      <c r="BN85" s="1408"/>
      <c r="BO85" s="702"/>
      <c r="BP85" s="667"/>
      <c r="BQ85" s="1408"/>
      <c r="BR85" s="702"/>
      <c r="BS85" s="667"/>
      <c r="BT85" s="1408"/>
      <c r="BU85" s="702"/>
      <c r="BV85" s="667"/>
      <c r="BW85" s="1408"/>
      <c r="BX85" s="702"/>
      <c r="BY85" s="667"/>
      <c r="BZ85" s="1408"/>
      <c r="CA85" s="702"/>
      <c r="CB85" s="667"/>
      <c r="CC85" s="1408"/>
      <c r="CD85" s="702"/>
      <c r="CE85" s="667"/>
      <c r="CF85" s="1408"/>
      <c r="CG85" s="702"/>
      <c r="CH85" s="667"/>
      <c r="CI85" s="1406"/>
      <c r="CJ85" s="701"/>
      <c r="CK85" s="1981"/>
      <c r="CL85" s="658"/>
      <c r="CM85" s="701"/>
      <c r="CN85" s="666"/>
      <c r="CO85" s="658"/>
      <c r="CP85" s="701"/>
      <c r="CQ85" s="666"/>
      <c r="CR85" s="1408"/>
      <c r="CS85" s="702"/>
      <c r="CT85" s="667"/>
      <c r="CU85" s="658">
        <f t="shared" si="199"/>
        <v>0</v>
      </c>
      <c r="CV85" s="701">
        <f t="shared" si="200"/>
        <v>0</v>
      </c>
      <c r="CW85" s="666">
        <f t="shared" si="201"/>
        <v>0</v>
      </c>
      <c r="CX85" s="658">
        <f t="shared" si="179"/>
        <v>0</v>
      </c>
      <c r="CY85" s="701">
        <f t="shared" si="114"/>
        <v>31900.55</v>
      </c>
      <c r="CZ85" s="666">
        <f t="shared" si="115"/>
        <v>31900.55</v>
      </c>
      <c r="DA85" s="1408"/>
      <c r="DB85" s="702"/>
      <c r="DC85" s="667"/>
      <c r="DD85" s="1408"/>
      <c r="DE85" s="702"/>
      <c r="DF85" s="667"/>
      <c r="DG85" s="1406"/>
      <c r="DH85" s="701"/>
      <c r="DI85" s="666"/>
      <c r="DJ85" s="658">
        <f t="shared" si="193"/>
        <v>0</v>
      </c>
      <c r="DK85" s="701">
        <f t="shared" si="39"/>
        <v>0</v>
      </c>
      <c r="DL85" s="666">
        <f t="shared" si="40"/>
        <v>0</v>
      </c>
      <c r="DM85" s="1408"/>
      <c r="DN85" s="1750"/>
      <c r="DO85" s="1804"/>
      <c r="DP85" s="1406"/>
      <c r="DQ85" s="701"/>
      <c r="DR85" s="666"/>
      <c r="DS85" s="658">
        <f t="shared" si="186"/>
        <v>0</v>
      </c>
      <c r="DT85" s="2062">
        <f t="shared" si="187"/>
        <v>31900.55</v>
      </c>
      <c r="DU85" s="666">
        <f t="shared" si="188"/>
        <v>31900.55</v>
      </c>
      <c r="DV85" s="717">
        <f t="shared" si="192"/>
        <v>100</v>
      </c>
    </row>
    <row r="86" spans="1:237" ht="20.100000000000001" customHeight="1" thickBot="1" x14ac:dyDescent="0.25">
      <c r="A86" s="1702" t="s">
        <v>692</v>
      </c>
      <c r="B86" s="1703" t="s">
        <v>972</v>
      </c>
      <c r="C86" s="657">
        <f t="shared" ref="C86:AH86" si="202">C12+C60</f>
        <v>10795</v>
      </c>
      <c r="D86" s="700">
        <f t="shared" si="202"/>
        <v>227137</v>
      </c>
      <c r="E86" s="665">
        <f t="shared" si="202"/>
        <v>224251.60399999999</v>
      </c>
      <c r="F86" s="657">
        <f t="shared" si="202"/>
        <v>1203401</v>
      </c>
      <c r="G86" s="700">
        <f t="shared" si="202"/>
        <v>1155734</v>
      </c>
      <c r="H86" s="665">
        <f t="shared" si="202"/>
        <v>1155761.1339999998</v>
      </c>
      <c r="I86" s="657">
        <f t="shared" si="202"/>
        <v>175476</v>
      </c>
      <c r="J86" s="700">
        <f t="shared" si="202"/>
        <v>132557</v>
      </c>
      <c r="K86" s="665">
        <f t="shared" si="202"/>
        <v>180020.72899999999</v>
      </c>
      <c r="L86" s="657">
        <f t="shared" si="202"/>
        <v>0</v>
      </c>
      <c r="M86" s="700">
        <f t="shared" si="202"/>
        <v>300</v>
      </c>
      <c r="N86" s="665">
        <f t="shared" si="202"/>
        <v>600</v>
      </c>
      <c r="O86" s="657">
        <f t="shared" si="202"/>
        <v>0</v>
      </c>
      <c r="P86" s="700">
        <f t="shared" si="202"/>
        <v>0</v>
      </c>
      <c r="Q86" s="665">
        <f t="shared" si="202"/>
        <v>0</v>
      </c>
      <c r="R86" s="657">
        <f t="shared" si="202"/>
        <v>57806</v>
      </c>
      <c r="S86" s="700">
        <f t="shared" si="202"/>
        <v>58612</v>
      </c>
      <c r="T86" s="665">
        <f t="shared" si="202"/>
        <v>57242.440999999999</v>
      </c>
      <c r="U86" s="657">
        <f t="shared" si="202"/>
        <v>93738</v>
      </c>
      <c r="V86" s="700">
        <f t="shared" si="202"/>
        <v>165160.611</v>
      </c>
      <c r="W86" s="665">
        <f t="shared" si="202"/>
        <v>175163.01699999999</v>
      </c>
      <c r="X86" s="657">
        <f t="shared" si="202"/>
        <v>3044</v>
      </c>
      <c r="Y86" s="700">
        <f>Y12+Y60</f>
        <v>3043.08</v>
      </c>
      <c r="Z86" s="665">
        <f t="shared" si="202"/>
        <v>2154.0190000000002</v>
      </c>
      <c r="AA86" s="657">
        <f t="shared" si="202"/>
        <v>0</v>
      </c>
      <c r="AB86" s="700">
        <f t="shared" si="202"/>
        <v>0</v>
      </c>
      <c r="AC86" s="665">
        <f t="shared" si="202"/>
        <v>0</v>
      </c>
      <c r="AD86" s="657">
        <f t="shared" si="202"/>
        <v>0</v>
      </c>
      <c r="AE86" s="700">
        <f t="shared" si="202"/>
        <v>0</v>
      </c>
      <c r="AF86" s="665">
        <f t="shared" si="202"/>
        <v>0</v>
      </c>
      <c r="AG86" s="657">
        <f t="shared" si="202"/>
        <v>826619</v>
      </c>
      <c r="AH86" s="700">
        <f t="shared" si="202"/>
        <v>830359</v>
      </c>
      <c r="AI86" s="665">
        <f t="shared" ref="AI86:BN86" si="203">AI12+AI60</f>
        <v>958053.31400000001</v>
      </c>
      <c r="AJ86" s="657">
        <f t="shared" si="203"/>
        <v>7785486</v>
      </c>
      <c r="AK86" s="700">
        <f t="shared" si="203"/>
        <v>7785486</v>
      </c>
      <c r="AL86" s="665">
        <f t="shared" si="203"/>
        <v>8139946.705000001</v>
      </c>
      <c r="AM86" s="657">
        <f t="shared" si="203"/>
        <v>0</v>
      </c>
      <c r="AN86" s="700">
        <f t="shared" si="203"/>
        <v>31900.55</v>
      </c>
      <c r="AO86" s="665">
        <f t="shared" si="203"/>
        <v>31900.55</v>
      </c>
      <c r="AP86" s="657">
        <f t="shared" si="203"/>
        <v>0</v>
      </c>
      <c r="AQ86" s="700">
        <f t="shared" si="203"/>
        <v>1051</v>
      </c>
      <c r="AR86" s="665">
        <f t="shared" si="203"/>
        <v>1051.105</v>
      </c>
      <c r="AS86" s="657">
        <f t="shared" si="203"/>
        <v>0</v>
      </c>
      <c r="AT86" s="700">
        <f t="shared" si="203"/>
        <v>136</v>
      </c>
      <c r="AU86" s="665">
        <f t="shared" si="203"/>
        <v>135.666</v>
      </c>
      <c r="AV86" s="657">
        <f t="shared" si="203"/>
        <v>343607</v>
      </c>
      <c r="AW86" s="700">
        <f t="shared" si="203"/>
        <v>343607</v>
      </c>
      <c r="AX86" s="665">
        <f t="shared" si="203"/>
        <v>341118.46900000004</v>
      </c>
      <c r="AY86" s="657">
        <f t="shared" si="203"/>
        <v>0</v>
      </c>
      <c r="AZ86" s="700">
        <f t="shared" si="203"/>
        <v>267</v>
      </c>
      <c r="BA86" s="665">
        <f t="shared" si="203"/>
        <v>465.24400000000003</v>
      </c>
      <c r="BB86" s="657">
        <f t="shared" si="203"/>
        <v>2701480.682</v>
      </c>
      <c r="BC86" s="700">
        <f t="shared" si="203"/>
        <v>3029077.9040000001</v>
      </c>
      <c r="BD86" s="665">
        <f t="shared" si="203"/>
        <v>2883715.9530000002</v>
      </c>
      <c r="BE86" s="657">
        <f t="shared" si="203"/>
        <v>1256029</v>
      </c>
      <c r="BF86" s="700">
        <f t="shared" si="203"/>
        <v>1285040.635</v>
      </c>
      <c r="BG86" s="665">
        <f t="shared" si="203"/>
        <v>587700.76800000004</v>
      </c>
      <c r="BH86" s="657">
        <f t="shared" si="203"/>
        <v>14457481.682</v>
      </c>
      <c r="BI86" s="700">
        <f t="shared" si="203"/>
        <v>15049468.779999999</v>
      </c>
      <c r="BJ86" s="665">
        <f t="shared" si="203"/>
        <v>14739280.718</v>
      </c>
      <c r="BK86" s="657">
        <f t="shared" si="203"/>
        <v>0</v>
      </c>
      <c r="BL86" s="700">
        <f t="shared" si="203"/>
        <v>0</v>
      </c>
      <c r="BM86" s="665">
        <f t="shared" si="203"/>
        <v>0</v>
      </c>
      <c r="BN86" s="657">
        <f t="shared" si="203"/>
        <v>1000</v>
      </c>
      <c r="BO86" s="700">
        <f t="shared" ref="BO86:CW86" si="204">BO12+BO60</f>
        <v>1000</v>
      </c>
      <c r="BP86" s="665">
        <f t="shared" si="204"/>
        <v>635</v>
      </c>
      <c r="BQ86" s="657">
        <f t="shared" si="204"/>
        <v>0</v>
      </c>
      <c r="BR86" s="700">
        <f t="shared" si="204"/>
        <v>0</v>
      </c>
      <c r="BS86" s="665">
        <f t="shared" si="204"/>
        <v>0</v>
      </c>
      <c r="BT86" s="657">
        <f t="shared" si="204"/>
        <v>0</v>
      </c>
      <c r="BU86" s="700">
        <f t="shared" si="204"/>
        <v>0</v>
      </c>
      <c r="BV86" s="665">
        <f t="shared" si="204"/>
        <v>0</v>
      </c>
      <c r="BW86" s="657">
        <f t="shared" si="204"/>
        <v>0</v>
      </c>
      <c r="BX86" s="700">
        <f t="shared" si="204"/>
        <v>0</v>
      </c>
      <c r="BY86" s="665">
        <f t="shared" si="204"/>
        <v>0</v>
      </c>
      <c r="BZ86" s="657">
        <f t="shared" si="204"/>
        <v>1270</v>
      </c>
      <c r="CA86" s="700">
        <f t="shared" si="204"/>
        <v>1270</v>
      </c>
      <c r="CB86" s="665">
        <f t="shared" si="204"/>
        <v>7378.085</v>
      </c>
      <c r="CC86" s="657">
        <f t="shared" si="204"/>
        <v>400.31799999999998</v>
      </c>
      <c r="CD86" s="700">
        <f t="shared" si="204"/>
        <v>400.31799999999998</v>
      </c>
      <c r="CE86" s="665">
        <f t="shared" si="204"/>
        <v>1065.663</v>
      </c>
      <c r="CF86" s="657">
        <f t="shared" si="204"/>
        <v>0</v>
      </c>
      <c r="CG86" s="700">
        <f t="shared" si="204"/>
        <v>0</v>
      </c>
      <c r="CH86" s="665">
        <f t="shared" si="204"/>
        <v>0</v>
      </c>
      <c r="CI86" s="657">
        <f t="shared" si="204"/>
        <v>16300</v>
      </c>
      <c r="CJ86" s="700">
        <f t="shared" si="204"/>
        <v>36584.593999999997</v>
      </c>
      <c r="CK86" s="1973">
        <f t="shared" si="204"/>
        <v>31247.263999999999</v>
      </c>
      <c r="CL86" s="657">
        <f t="shared" si="204"/>
        <v>179217</v>
      </c>
      <c r="CM86" s="700">
        <f t="shared" si="204"/>
        <v>179217</v>
      </c>
      <c r="CN86" s="665">
        <f t="shared" si="204"/>
        <v>138937.878</v>
      </c>
      <c r="CO86" s="657">
        <f t="shared" ref="CO86:CT86" si="205">CO12+CO60</f>
        <v>150245</v>
      </c>
      <c r="CP86" s="700">
        <f t="shared" si="205"/>
        <v>150245</v>
      </c>
      <c r="CQ86" s="665">
        <f t="shared" si="205"/>
        <v>75448.956000000006</v>
      </c>
      <c r="CR86" s="657">
        <f t="shared" si="205"/>
        <v>0</v>
      </c>
      <c r="CS86" s="700">
        <f t="shared" si="205"/>
        <v>0</v>
      </c>
      <c r="CT86" s="665">
        <f t="shared" si="205"/>
        <v>0</v>
      </c>
      <c r="CU86" s="657">
        <f>CU12+CU60</f>
        <v>348432.31800000003</v>
      </c>
      <c r="CV86" s="700">
        <f t="shared" si="204"/>
        <v>368716.91200000001</v>
      </c>
      <c r="CW86" s="665">
        <f t="shared" si="204"/>
        <v>254712.84599999996</v>
      </c>
      <c r="CX86" s="657">
        <f t="shared" si="179"/>
        <v>14805914</v>
      </c>
      <c r="CY86" s="700">
        <f t="shared" si="114"/>
        <v>15418185.692</v>
      </c>
      <c r="CZ86" s="665">
        <f t="shared" si="115"/>
        <v>14993993.564000001</v>
      </c>
      <c r="DA86" s="657">
        <f t="shared" ref="DA86:DI86" si="206">DA12+DA60</f>
        <v>3328</v>
      </c>
      <c r="DB86" s="700">
        <f t="shared" si="206"/>
        <v>2099</v>
      </c>
      <c r="DC86" s="665">
        <f t="shared" si="206"/>
        <v>1856.5930000000001</v>
      </c>
      <c r="DD86" s="657">
        <f t="shared" si="206"/>
        <v>0</v>
      </c>
      <c r="DE86" s="700">
        <f t="shared" si="206"/>
        <v>0</v>
      </c>
      <c r="DF86" s="665">
        <f t="shared" si="206"/>
        <v>0</v>
      </c>
      <c r="DG86" s="657">
        <f t="shared" si="206"/>
        <v>13204</v>
      </c>
      <c r="DH86" s="700">
        <f t="shared" si="206"/>
        <v>25916.864999999998</v>
      </c>
      <c r="DI86" s="665">
        <f t="shared" si="206"/>
        <v>25916.454999999994</v>
      </c>
      <c r="DJ86" s="657">
        <f t="shared" si="193"/>
        <v>16532</v>
      </c>
      <c r="DK86" s="700">
        <f t="shared" ref="DK86:DK95" si="207">DB86+DE86+DH86</f>
        <v>28015.864999999998</v>
      </c>
      <c r="DL86" s="665">
        <f t="shared" ref="DL86:DL95" si="208">DC86+DF86+DI86</f>
        <v>27773.047999999995</v>
      </c>
      <c r="DM86" s="657">
        <f t="shared" ref="DM86:DR86" si="209">DM12+DM60</f>
        <v>121711</v>
      </c>
      <c r="DN86" s="700">
        <f t="shared" si="209"/>
        <v>127627.56899999999</v>
      </c>
      <c r="DO86" s="665">
        <f>DO12+DO60</f>
        <v>136903.71500000003</v>
      </c>
      <c r="DP86" s="657">
        <f t="shared" si="209"/>
        <v>1431565.3399999999</v>
      </c>
      <c r="DQ86" s="700">
        <f t="shared" si="209"/>
        <v>1447368.9470000002</v>
      </c>
      <c r="DR86" s="665">
        <f t="shared" si="209"/>
        <v>1445131.55</v>
      </c>
      <c r="DS86" s="657">
        <f t="shared" si="186"/>
        <v>16375722.34</v>
      </c>
      <c r="DT86" s="700">
        <f t="shared" si="187"/>
        <v>17021198.072999999</v>
      </c>
      <c r="DU86" s="665">
        <f t="shared" si="188"/>
        <v>16603801.877000002</v>
      </c>
      <c r="DV86" s="721">
        <f t="shared" si="192"/>
        <v>97.547786035918975</v>
      </c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</row>
    <row r="87" spans="1:237" s="136" customFormat="1" ht="20.100000000000001" customHeight="1" thickBot="1" x14ac:dyDescent="0.3">
      <c r="A87" s="1677" t="s">
        <v>9</v>
      </c>
      <c r="B87" s="1678" t="s">
        <v>973</v>
      </c>
      <c r="C87" s="1760">
        <f t="shared" ref="C87:AH87" si="210">C88</f>
        <v>0</v>
      </c>
      <c r="D87" s="705">
        <f t="shared" si="210"/>
        <v>0</v>
      </c>
      <c r="E87" s="788">
        <f t="shared" si="210"/>
        <v>0</v>
      </c>
      <c r="F87" s="1760">
        <f t="shared" si="210"/>
        <v>0</v>
      </c>
      <c r="G87" s="705">
        <f t="shared" si="210"/>
        <v>0</v>
      </c>
      <c r="H87" s="788">
        <f t="shared" si="210"/>
        <v>0</v>
      </c>
      <c r="I87" s="1760">
        <f t="shared" si="210"/>
        <v>0</v>
      </c>
      <c r="J87" s="705">
        <f t="shared" si="210"/>
        <v>0</v>
      </c>
      <c r="K87" s="788">
        <f t="shared" si="210"/>
        <v>0</v>
      </c>
      <c r="L87" s="1760">
        <f t="shared" si="210"/>
        <v>0</v>
      </c>
      <c r="M87" s="705">
        <f t="shared" si="210"/>
        <v>0</v>
      </c>
      <c r="N87" s="788">
        <f t="shared" si="210"/>
        <v>0</v>
      </c>
      <c r="O87" s="1760">
        <f t="shared" si="210"/>
        <v>0</v>
      </c>
      <c r="P87" s="705">
        <f t="shared" si="210"/>
        <v>0</v>
      </c>
      <c r="Q87" s="788">
        <f t="shared" si="210"/>
        <v>0</v>
      </c>
      <c r="R87" s="1760">
        <f t="shared" si="210"/>
        <v>0</v>
      </c>
      <c r="S87" s="705">
        <f t="shared" si="210"/>
        <v>0</v>
      </c>
      <c r="T87" s="788">
        <f t="shared" si="210"/>
        <v>0</v>
      </c>
      <c r="U87" s="1760">
        <f t="shared" si="210"/>
        <v>0</v>
      </c>
      <c r="V87" s="705">
        <f t="shared" si="210"/>
        <v>0</v>
      </c>
      <c r="W87" s="788">
        <f t="shared" si="210"/>
        <v>0</v>
      </c>
      <c r="X87" s="1760">
        <f t="shared" si="210"/>
        <v>0</v>
      </c>
      <c r="Y87" s="705">
        <f t="shared" si="210"/>
        <v>0</v>
      </c>
      <c r="Z87" s="788">
        <f t="shared" si="210"/>
        <v>0</v>
      </c>
      <c r="AA87" s="1760">
        <f t="shared" si="210"/>
        <v>0</v>
      </c>
      <c r="AB87" s="705">
        <f t="shared" si="210"/>
        <v>0</v>
      </c>
      <c r="AC87" s="788">
        <f t="shared" si="210"/>
        <v>0</v>
      </c>
      <c r="AD87" s="1760">
        <f t="shared" si="210"/>
        <v>0</v>
      </c>
      <c r="AE87" s="705">
        <f t="shared" si="210"/>
        <v>0</v>
      </c>
      <c r="AF87" s="788">
        <f t="shared" si="210"/>
        <v>0</v>
      </c>
      <c r="AG87" s="1760">
        <f t="shared" si="210"/>
        <v>0</v>
      </c>
      <c r="AH87" s="705">
        <f t="shared" si="210"/>
        <v>0</v>
      </c>
      <c r="AI87" s="788">
        <f t="shared" ref="AI87:BG87" si="211">AI88</f>
        <v>0</v>
      </c>
      <c r="AJ87" s="1760">
        <f t="shared" si="211"/>
        <v>0</v>
      </c>
      <c r="AK87" s="705">
        <f t="shared" si="211"/>
        <v>0</v>
      </c>
      <c r="AL87" s="788">
        <f t="shared" si="211"/>
        <v>0</v>
      </c>
      <c r="AM87" s="1760">
        <f t="shared" si="211"/>
        <v>0</v>
      </c>
      <c r="AN87" s="705">
        <f t="shared" si="211"/>
        <v>0</v>
      </c>
      <c r="AO87" s="788">
        <f t="shared" si="211"/>
        <v>0</v>
      </c>
      <c r="AP87" s="1760">
        <f t="shared" si="211"/>
        <v>0</v>
      </c>
      <c r="AQ87" s="705">
        <f t="shared" si="211"/>
        <v>0</v>
      </c>
      <c r="AR87" s="788">
        <f t="shared" si="211"/>
        <v>0</v>
      </c>
      <c r="AS87" s="1760">
        <f t="shared" si="211"/>
        <v>0</v>
      </c>
      <c r="AT87" s="705">
        <f t="shared" si="211"/>
        <v>0</v>
      </c>
      <c r="AU87" s="788">
        <f t="shared" si="211"/>
        <v>0</v>
      </c>
      <c r="AV87" s="1760">
        <f t="shared" si="211"/>
        <v>0</v>
      </c>
      <c r="AW87" s="705">
        <f t="shared" si="211"/>
        <v>0</v>
      </c>
      <c r="AX87" s="788">
        <f t="shared" si="211"/>
        <v>0</v>
      </c>
      <c r="AY87" s="1760">
        <f t="shared" si="211"/>
        <v>0</v>
      </c>
      <c r="AZ87" s="705">
        <f t="shared" si="211"/>
        <v>0</v>
      </c>
      <c r="BA87" s="788">
        <f t="shared" si="211"/>
        <v>0</v>
      </c>
      <c r="BB87" s="1760">
        <f t="shared" si="211"/>
        <v>1173053</v>
      </c>
      <c r="BC87" s="705">
        <f t="shared" si="211"/>
        <v>3576264.9679999999</v>
      </c>
      <c r="BD87" s="788">
        <f t="shared" si="211"/>
        <v>3615705.6579999998</v>
      </c>
      <c r="BE87" s="1760">
        <f t="shared" si="211"/>
        <v>650000</v>
      </c>
      <c r="BF87" s="705">
        <f t="shared" si="211"/>
        <v>8610052</v>
      </c>
      <c r="BG87" s="788">
        <f t="shared" si="211"/>
        <v>8175052</v>
      </c>
      <c r="BH87" s="1760">
        <f>C87+F87+I87+L87+O87+R87+U87+X87+AA87+AD87+AG87+AJ87+AM87+AP87+AS87+AV87+AY87+BB87+BE87</f>
        <v>1823053</v>
      </c>
      <c r="BI87" s="705">
        <f>D87+G87+J87+M87+P87+S87+V87+Y87+AB87+AE87+AH87+AK87+AN87+AQ87+AT87+AW87+AZ87+BC87+BF87</f>
        <v>12186316.968</v>
      </c>
      <c r="BJ87" s="788">
        <f>E87+H87+K87+N87+Q87+T87+W87+Z87+AC87+AF87+AI87+AL87+AO87+AR87+AU87+AX87+BA87+BD87+BG87</f>
        <v>11790757.658</v>
      </c>
      <c r="BK87" s="1760">
        <f t="shared" ref="BK87:CW87" si="212">BK88</f>
        <v>0</v>
      </c>
      <c r="BL87" s="705">
        <f t="shared" si="212"/>
        <v>0</v>
      </c>
      <c r="BM87" s="788">
        <f t="shared" si="212"/>
        <v>0</v>
      </c>
      <c r="BN87" s="1760">
        <f t="shared" si="212"/>
        <v>0</v>
      </c>
      <c r="BO87" s="705">
        <f t="shared" si="212"/>
        <v>0</v>
      </c>
      <c r="BP87" s="788">
        <f t="shared" si="212"/>
        <v>0</v>
      </c>
      <c r="BQ87" s="1760">
        <f t="shared" si="212"/>
        <v>0</v>
      </c>
      <c r="BR87" s="705">
        <f t="shared" si="212"/>
        <v>0</v>
      </c>
      <c r="BS87" s="788">
        <f t="shared" si="212"/>
        <v>0</v>
      </c>
      <c r="BT87" s="1760">
        <f t="shared" si="212"/>
        <v>0</v>
      </c>
      <c r="BU87" s="705">
        <f t="shared" si="212"/>
        <v>0</v>
      </c>
      <c r="BV87" s="788">
        <f t="shared" si="212"/>
        <v>0</v>
      </c>
      <c r="BW87" s="1760">
        <f t="shared" si="212"/>
        <v>0</v>
      </c>
      <c r="BX87" s="705">
        <f t="shared" si="212"/>
        <v>0</v>
      </c>
      <c r="BY87" s="788">
        <f t="shared" si="212"/>
        <v>0</v>
      </c>
      <c r="BZ87" s="1760">
        <f t="shared" si="212"/>
        <v>0</v>
      </c>
      <c r="CA87" s="705">
        <f t="shared" si="212"/>
        <v>0</v>
      </c>
      <c r="CB87" s="788">
        <f t="shared" si="212"/>
        <v>0</v>
      </c>
      <c r="CC87" s="1760">
        <f t="shared" si="212"/>
        <v>0</v>
      </c>
      <c r="CD87" s="705">
        <f t="shared" si="212"/>
        <v>0</v>
      </c>
      <c r="CE87" s="788">
        <f t="shared" si="212"/>
        <v>0</v>
      </c>
      <c r="CF87" s="1760">
        <f t="shared" si="212"/>
        <v>0</v>
      </c>
      <c r="CG87" s="705">
        <f t="shared" si="212"/>
        <v>0</v>
      </c>
      <c r="CH87" s="788">
        <f t="shared" si="212"/>
        <v>0</v>
      </c>
      <c r="CI87" s="1760">
        <f t="shared" si="212"/>
        <v>0</v>
      </c>
      <c r="CJ87" s="705">
        <f t="shared" si="212"/>
        <v>0</v>
      </c>
      <c r="CK87" s="1990">
        <f t="shared" si="212"/>
        <v>0</v>
      </c>
      <c r="CL87" s="1760">
        <f t="shared" si="212"/>
        <v>0</v>
      </c>
      <c r="CM87" s="705">
        <f t="shared" si="212"/>
        <v>0</v>
      </c>
      <c r="CN87" s="788">
        <f t="shared" si="212"/>
        <v>0</v>
      </c>
      <c r="CO87" s="1760">
        <f t="shared" si="212"/>
        <v>0</v>
      </c>
      <c r="CP87" s="705">
        <f t="shared" si="212"/>
        <v>0</v>
      </c>
      <c r="CQ87" s="788">
        <f t="shared" si="212"/>
        <v>0</v>
      </c>
      <c r="CR87" s="1760">
        <f t="shared" si="212"/>
        <v>0</v>
      </c>
      <c r="CS87" s="705">
        <f t="shared" si="212"/>
        <v>0</v>
      </c>
      <c r="CT87" s="788">
        <f t="shared" si="212"/>
        <v>0</v>
      </c>
      <c r="CU87" s="1409">
        <f t="shared" si="212"/>
        <v>0</v>
      </c>
      <c r="CV87" s="703">
        <f t="shared" si="212"/>
        <v>0</v>
      </c>
      <c r="CW87" s="668">
        <f t="shared" si="212"/>
        <v>0</v>
      </c>
      <c r="CX87" s="1760">
        <f t="shared" si="179"/>
        <v>1823053</v>
      </c>
      <c r="CY87" s="705">
        <f t="shared" si="114"/>
        <v>12186316.968</v>
      </c>
      <c r="CZ87" s="788">
        <f t="shared" si="115"/>
        <v>11790757.658</v>
      </c>
      <c r="DA87" s="1760">
        <f t="shared" ref="DA87:DI87" si="213">DA88</f>
        <v>0</v>
      </c>
      <c r="DB87" s="705">
        <f t="shared" si="213"/>
        <v>0</v>
      </c>
      <c r="DC87" s="788">
        <f t="shared" si="213"/>
        <v>0</v>
      </c>
      <c r="DD87" s="1760">
        <f t="shared" si="213"/>
        <v>0</v>
      </c>
      <c r="DE87" s="705">
        <f t="shared" si="213"/>
        <v>0</v>
      </c>
      <c r="DF87" s="788">
        <f t="shared" si="213"/>
        <v>0</v>
      </c>
      <c r="DG87" s="1760">
        <f t="shared" si="213"/>
        <v>93504</v>
      </c>
      <c r="DH87" s="705">
        <f t="shared" si="213"/>
        <v>326995.53700000001</v>
      </c>
      <c r="DI87" s="788">
        <f t="shared" si="213"/>
        <v>326995.53700000001</v>
      </c>
      <c r="DJ87" s="1760">
        <f t="shared" si="193"/>
        <v>93504</v>
      </c>
      <c r="DK87" s="705">
        <f t="shared" si="207"/>
        <v>326995.53700000001</v>
      </c>
      <c r="DL87" s="788">
        <f t="shared" si="208"/>
        <v>326995.53700000001</v>
      </c>
      <c r="DM87" s="1760">
        <f t="shared" ref="DM87:DR87" si="214">DM88</f>
        <v>0</v>
      </c>
      <c r="DN87" s="705">
        <f t="shared" si="214"/>
        <v>40688</v>
      </c>
      <c r="DO87" s="788">
        <f>DO88</f>
        <v>40688</v>
      </c>
      <c r="DP87" s="1760">
        <f t="shared" si="214"/>
        <v>0</v>
      </c>
      <c r="DQ87" s="705">
        <f>DQ88</f>
        <v>37119</v>
      </c>
      <c r="DR87" s="788">
        <f t="shared" si="214"/>
        <v>37119</v>
      </c>
      <c r="DS87" s="1760">
        <f t="shared" si="186"/>
        <v>1916557</v>
      </c>
      <c r="DT87" s="705">
        <f t="shared" si="187"/>
        <v>12591119.505000001</v>
      </c>
      <c r="DU87" s="788">
        <f t="shared" si="188"/>
        <v>12195560.195</v>
      </c>
      <c r="DV87" s="1783">
        <f t="shared" ref="DV87:DV93" si="215">DU87/DT87*100</f>
        <v>96.858426211879561</v>
      </c>
      <c r="DW87" s="600"/>
      <c r="DX87" s="600"/>
      <c r="DY87" s="600"/>
      <c r="DZ87" s="600"/>
      <c r="EA87" s="600"/>
      <c r="EB87" s="600"/>
      <c r="EC87" s="600"/>
      <c r="ED87" s="600"/>
      <c r="EE87" s="600"/>
      <c r="EF87" s="600"/>
      <c r="EG87" s="600"/>
      <c r="EH87" s="600"/>
      <c r="EI87" s="600"/>
      <c r="EJ87" s="600"/>
      <c r="EK87" s="600"/>
      <c r="EL87" s="600"/>
      <c r="EM87" s="600"/>
      <c r="EN87" s="600"/>
      <c r="EO87" s="600"/>
      <c r="EP87" s="600"/>
      <c r="EQ87" s="600"/>
      <c r="ER87" s="600"/>
      <c r="ES87" s="600"/>
      <c r="ET87" s="600"/>
      <c r="EU87" s="600"/>
      <c r="EV87" s="600"/>
      <c r="EW87" s="600"/>
      <c r="EX87" s="600"/>
      <c r="EY87" s="600"/>
      <c r="EZ87" s="600"/>
      <c r="FA87" s="600"/>
      <c r="FB87" s="600"/>
      <c r="FC87" s="600"/>
      <c r="FD87" s="600"/>
      <c r="FE87" s="600"/>
      <c r="FF87" s="600"/>
      <c r="FG87" s="600"/>
      <c r="FH87" s="600"/>
      <c r="FI87" s="600"/>
      <c r="FJ87" s="600"/>
      <c r="FK87" s="600"/>
      <c r="FL87" s="600"/>
      <c r="FM87" s="600"/>
      <c r="FN87" s="600"/>
      <c r="FO87" s="600"/>
      <c r="FP87" s="600"/>
      <c r="FQ87" s="600"/>
      <c r="FR87" s="600"/>
      <c r="FS87" s="600"/>
      <c r="FT87" s="600"/>
      <c r="FU87" s="600"/>
      <c r="FV87" s="600"/>
      <c r="FW87" s="600"/>
      <c r="FX87" s="600"/>
      <c r="FY87" s="600"/>
      <c r="FZ87" s="600"/>
      <c r="GA87" s="600"/>
      <c r="GB87" s="600"/>
      <c r="GC87" s="600"/>
      <c r="GD87" s="600"/>
      <c r="GE87" s="600"/>
      <c r="GF87" s="600"/>
      <c r="GG87" s="600"/>
      <c r="GH87" s="600"/>
      <c r="GI87" s="600"/>
      <c r="GJ87" s="600"/>
      <c r="GK87" s="600"/>
      <c r="GL87" s="600"/>
      <c r="GM87" s="600"/>
      <c r="GN87" s="600"/>
      <c r="GO87" s="600"/>
      <c r="GP87" s="600"/>
      <c r="GQ87" s="600"/>
      <c r="GR87" s="600"/>
      <c r="GS87" s="600"/>
      <c r="GT87" s="600"/>
      <c r="GU87" s="600"/>
      <c r="GV87" s="600"/>
      <c r="GW87" s="600"/>
      <c r="GX87" s="600"/>
      <c r="GY87" s="600"/>
      <c r="GZ87" s="600"/>
      <c r="HA87" s="600"/>
      <c r="HB87" s="600"/>
      <c r="HC87" s="600"/>
      <c r="HD87" s="600"/>
      <c r="HE87" s="600"/>
      <c r="HF87" s="600"/>
      <c r="HG87" s="600"/>
      <c r="HH87" s="600"/>
      <c r="HI87" s="600"/>
      <c r="HJ87" s="600"/>
      <c r="HK87" s="600"/>
      <c r="HL87" s="600"/>
      <c r="HM87" s="600"/>
      <c r="HN87" s="600"/>
      <c r="HO87" s="600"/>
      <c r="HP87" s="600"/>
      <c r="HQ87" s="600"/>
      <c r="HR87" s="600"/>
      <c r="HS87" s="600"/>
      <c r="HT87" s="600"/>
      <c r="HU87" s="600"/>
      <c r="HV87" s="600"/>
      <c r="HW87" s="600"/>
      <c r="HX87" s="600"/>
      <c r="HY87" s="600"/>
      <c r="HZ87" s="600"/>
      <c r="IA87" s="600"/>
      <c r="IB87" s="600"/>
      <c r="IC87" s="600"/>
    </row>
    <row r="88" spans="1:237" s="123" customFormat="1" ht="15" customHeight="1" x14ac:dyDescent="0.2">
      <c r="A88" s="1679" t="s">
        <v>327</v>
      </c>
      <c r="B88" s="1680" t="s">
        <v>1048</v>
      </c>
      <c r="C88" s="1760">
        <f>SUM(C89:C94)</f>
        <v>0</v>
      </c>
      <c r="D88" s="705">
        <f t="shared" ref="D88:BO88" si="216">SUM(D89:D94)</f>
        <v>0</v>
      </c>
      <c r="E88" s="788">
        <f t="shared" si="216"/>
        <v>0</v>
      </c>
      <c r="F88" s="1760">
        <f t="shared" si="216"/>
        <v>0</v>
      </c>
      <c r="G88" s="705">
        <f t="shared" si="216"/>
        <v>0</v>
      </c>
      <c r="H88" s="788">
        <f t="shared" si="216"/>
        <v>0</v>
      </c>
      <c r="I88" s="1760">
        <f t="shared" si="216"/>
        <v>0</v>
      </c>
      <c r="J88" s="705">
        <f t="shared" si="216"/>
        <v>0</v>
      </c>
      <c r="K88" s="788">
        <f t="shared" si="216"/>
        <v>0</v>
      </c>
      <c r="L88" s="1760">
        <f t="shared" si="216"/>
        <v>0</v>
      </c>
      <c r="M88" s="705">
        <f t="shared" si="216"/>
        <v>0</v>
      </c>
      <c r="N88" s="788">
        <f t="shared" si="216"/>
        <v>0</v>
      </c>
      <c r="O88" s="1760">
        <f t="shared" si="216"/>
        <v>0</v>
      </c>
      <c r="P88" s="705">
        <f t="shared" si="216"/>
        <v>0</v>
      </c>
      <c r="Q88" s="788">
        <f t="shared" si="216"/>
        <v>0</v>
      </c>
      <c r="R88" s="1760">
        <f t="shared" si="216"/>
        <v>0</v>
      </c>
      <c r="S88" s="705">
        <f t="shared" si="216"/>
        <v>0</v>
      </c>
      <c r="T88" s="788">
        <f t="shared" si="216"/>
        <v>0</v>
      </c>
      <c r="U88" s="1760">
        <f t="shared" si="216"/>
        <v>0</v>
      </c>
      <c r="V88" s="705">
        <f t="shared" si="216"/>
        <v>0</v>
      </c>
      <c r="W88" s="788">
        <f t="shared" si="216"/>
        <v>0</v>
      </c>
      <c r="X88" s="1760">
        <f t="shared" si="216"/>
        <v>0</v>
      </c>
      <c r="Y88" s="705">
        <f t="shared" si="216"/>
        <v>0</v>
      </c>
      <c r="Z88" s="788">
        <f t="shared" si="216"/>
        <v>0</v>
      </c>
      <c r="AA88" s="1760">
        <f t="shared" si="216"/>
        <v>0</v>
      </c>
      <c r="AB88" s="705">
        <f t="shared" si="216"/>
        <v>0</v>
      </c>
      <c r="AC88" s="788">
        <f t="shared" si="216"/>
        <v>0</v>
      </c>
      <c r="AD88" s="1760">
        <f t="shared" si="216"/>
        <v>0</v>
      </c>
      <c r="AE88" s="705">
        <f t="shared" si="216"/>
        <v>0</v>
      </c>
      <c r="AF88" s="788">
        <f t="shared" si="216"/>
        <v>0</v>
      </c>
      <c r="AG88" s="1760">
        <f t="shared" si="216"/>
        <v>0</v>
      </c>
      <c r="AH88" s="705">
        <f t="shared" si="216"/>
        <v>0</v>
      </c>
      <c r="AI88" s="788">
        <f t="shared" si="216"/>
        <v>0</v>
      </c>
      <c r="AJ88" s="1760">
        <f t="shared" si="216"/>
        <v>0</v>
      </c>
      <c r="AK88" s="705">
        <f t="shared" si="216"/>
        <v>0</v>
      </c>
      <c r="AL88" s="788">
        <f t="shared" si="216"/>
        <v>0</v>
      </c>
      <c r="AM88" s="1760">
        <f t="shared" si="216"/>
        <v>0</v>
      </c>
      <c r="AN88" s="705">
        <f t="shared" si="216"/>
        <v>0</v>
      </c>
      <c r="AO88" s="788">
        <f t="shared" si="216"/>
        <v>0</v>
      </c>
      <c r="AP88" s="1760">
        <f t="shared" si="216"/>
        <v>0</v>
      </c>
      <c r="AQ88" s="705">
        <f t="shared" si="216"/>
        <v>0</v>
      </c>
      <c r="AR88" s="788">
        <f t="shared" si="216"/>
        <v>0</v>
      </c>
      <c r="AS88" s="1760">
        <f t="shared" si="216"/>
        <v>0</v>
      </c>
      <c r="AT88" s="705">
        <f t="shared" si="216"/>
        <v>0</v>
      </c>
      <c r="AU88" s="788">
        <f t="shared" si="216"/>
        <v>0</v>
      </c>
      <c r="AV88" s="1760">
        <f t="shared" si="216"/>
        <v>0</v>
      </c>
      <c r="AW88" s="705">
        <f t="shared" si="216"/>
        <v>0</v>
      </c>
      <c r="AX88" s="788">
        <f t="shared" si="216"/>
        <v>0</v>
      </c>
      <c r="AY88" s="1760">
        <f t="shared" si="216"/>
        <v>0</v>
      </c>
      <c r="AZ88" s="705">
        <f t="shared" si="216"/>
        <v>0</v>
      </c>
      <c r="BA88" s="788">
        <f t="shared" si="216"/>
        <v>0</v>
      </c>
      <c r="BB88" s="1760">
        <f t="shared" si="216"/>
        <v>1173053</v>
      </c>
      <c r="BC88" s="705">
        <f t="shared" si="216"/>
        <v>3576264.9679999999</v>
      </c>
      <c r="BD88" s="788">
        <f t="shared" si="216"/>
        <v>3615705.6579999998</v>
      </c>
      <c r="BE88" s="1760">
        <f t="shared" si="216"/>
        <v>650000</v>
      </c>
      <c r="BF88" s="705">
        <f t="shared" si="216"/>
        <v>8610052</v>
      </c>
      <c r="BG88" s="788">
        <f t="shared" si="216"/>
        <v>8175052</v>
      </c>
      <c r="BH88" s="1760">
        <f t="shared" si="216"/>
        <v>1823053</v>
      </c>
      <c r="BI88" s="705">
        <f t="shared" si="216"/>
        <v>12186316.968</v>
      </c>
      <c r="BJ88" s="788">
        <f t="shared" si="216"/>
        <v>11790757.658</v>
      </c>
      <c r="BK88" s="1760">
        <f t="shared" si="216"/>
        <v>0</v>
      </c>
      <c r="BL88" s="705">
        <f t="shared" si="216"/>
        <v>0</v>
      </c>
      <c r="BM88" s="788">
        <f t="shared" si="216"/>
        <v>0</v>
      </c>
      <c r="BN88" s="1760">
        <f t="shared" si="216"/>
        <v>0</v>
      </c>
      <c r="BO88" s="705">
        <f t="shared" si="216"/>
        <v>0</v>
      </c>
      <c r="BP88" s="788">
        <f t="shared" ref="BP88:CK88" si="217">SUM(BP89:BP94)</f>
        <v>0</v>
      </c>
      <c r="BQ88" s="1760">
        <f t="shared" si="217"/>
        <v>0</v>
      </c>
      <c r="BR88" s="705">
        <f t="shared" si="217"/>
        <v>0</v>
      </c>
      <c r="BS88" s="788">
        <f t="shared" si="217"/>
        <v>0</v>
      </c>
      <c r="BT88" s="1760">
        <f t="shared" si="217"/>
        <v>0</v>
      </c>
      <c r="BU88" s="705">
        <f t="shared" si="217"/>
        <v>0</v>
      </c>
      <c r="BV88" s="788">
        <f t="shared" si="217"/>
        <v>0</v>
      </c>
      <c r="BW88" s="1760">
        <f t="shared" si="217"/>
        <v>0</v>
      </c>
      <c r="BX88" s="705">
        <f t="shared" si="217"/>
        <v>0</v>
      </c>
      <c r="BY88" s="788">
        <f t="shared" si="217"/>
        <v>0</v>
      </c>
      <c r="BZ88" s="1760">
        <f t="shared" si="217"/>
        <v>0</v>
      </c>
      <c r="CA88" s="705">
        <f t="shared" si="217"/>
        <v>0</v>
      </c>
      <c r="CB88" s="788">
        <f t="shared" si="217"/>
        <v>0</v>
      </c>
      <c r="CC88" s="1760">
        <f t="shared" si="217"/>
        <v>0</v>
      </c>
      <c r="CD88" s="705">
        <f t="shared" si="217"/>
        <v>0</v>
      </c>
      <c r="CE88" s="788">
        <f t="shared" si="217"/>
        <v>0</v>
      </c>
      <c r="CF88" s="1760">
        <f t="shared" si="217"/>
        <v>0</v>
      </c>
      <c r="CG88" s="705">
        <f t="shared" si="217"/>
        <v>0</v>
      </c>
      <c r="CH88" s="788">
        <f t="shared" si="217"/>
        <v>0</v>
      </c>
      <c r="CI88" s="1760">
        <f t="shared" si="217"/>
        <v>0</v>
      </c>
      <c r="CJ88" s="705">
        <f t="shared" si="217"/>
        <v>0</v>
      </c>
      <c r="CK88" s="1990">
        <f t="shared" si="217"/>
        <v>0</v>
      </c>
      <c r="CL88" s="1760">
        <f t="shared" ref="CL88:CN88" si="218">SUM(CL89:CL94)</f>
        <v>0</v>
      </c>
      <c r="CM88" s="705">
        <f t="shared" si="218"/>
        <v>0</v>
      </c>
      <c r="CN88" s="788">
        <f t="shared" si="218"/>
        <v>0</v>
      </c>
      <c r="CO88" s="1760">
        <f t="shared" ref="CO88:CT88" si="219">SUM(CO89:CO94)</f>
        <v>0</v>
      </c>
      <c r="CP88" s="705">
        <f t="shared" si="219"/>
        <v>0</v>
      </c>
      <c r="CQ88" s="788">
        <f t="shared" si="219"/>
        <v>0</v>
      </c>
      <c r="CR88" s="1760">
        <f t="shared" si="219"/>
        <v>0</v>
      </c>
      <c r="CS88" s="705">
        <f t="shared" si="219"/>
        <v>0</v>
      </c>
      <c r="CT88" s="788">
        <f t="shared" si="219"/>
        <v>0</v>
      </c>
      <c r="CU88" s="1760">
        <f>SUM(CU89:CU94)</f>
        <v>0</v>
      </c>
      <c r="CV88" s="705">
        <f>SUM(CV89:CV94)</f>
        <v>0</v>
      </c>
      <c r="CW88" s="788">
        <f>SUM(CW89:CW94)</f>
        <v>0</v>
      </c>
      <c r="CX88" s="1760">
        <f t="shared" si="179"/>
        <v>1823053</v>
      </c>
      <c r="CY88" s="705">
        <f t="shared" si="114"/>
        <v>12186316.968</v>
      </c>
      <c r="CZ88" s="788">
        <f t="shared" si="115"/>
        <v>11790757.658</v>
      </c>
      <c r="DA88" s="1760">
        <f>SUM(DA89:DA92)</f>
        <v>0</v>
      </c>
      <c r="DB88" s="705">
        <f t="shared" ref="DB88:DF88" si="220">SUM(DB89:DB92)</f>
        <v>0</v>
      </c>
      <c r="DC88" s="788">
        <f t="shared" si="220"/>
        <v>0</v>
      </c>
      <c r="DD88" s="1760">
        <f t="shared" si="220"/>
        <v>0</v>
      </c>
      <c r="DE88" s="705">
        <f t="shared" si="220"/>
        <v>0</v>
      </c>
      <c r="DF88" s="788">
        <f t="shared" si="220"/>
        <v>0</v>
      </c>
      <c r="DG88" s="1760">
        <f>SUM(DG89:DG94)</f>
        <v>93504</v>
      </c>
      <c r="DH88" s="705">
        <f>SUM(DH89:DH94)</f>
        <v>326995.53700000001</v>
      </c>
      <c r="DI88" s="788">
        <f>SUM(DI89:DI94)</f>
        <v>326995.53700000001</v>
      </c>
      <c r="DJ88" s="1760">
        <f t="shared" si="193"/>
        <v>93504</v>
      </c>
      <c r="DK88" s="703">
        <f t="shared" si="207"/>
        <v>326995.53700000001</v>
      </c>
      <c r="DL88" s="668">
        <f t="shared" si="208"/>
        <v>326995.53700000001</v>
      </c>
      <c r="DM88" s="1409">
        <f>SUM(DM89:DM92)</f>
        <v>0</v>
      </c>
      <c r="DN88" s="703">
        <f>SUM(DN89:DN94)</f>
        <v>40688</v>
      </c>
      <c r="DO88" s="668">
        <f>SUM(DO89:DO92)</f>
        <v>40688</v>
      </c>
      <c r="DP88" s="1409">
        <f>SUM(DP89:DP92)</f>
        <v>0</v>
      </c>
      <c r="DQ88" s="703">
        <f>SUM(DQ89:DQ94)</f>
        <v>37119</v>
      </c>
      <c r="DR88" s="668">
        <f>SUM(DR89:DR92)</f>
        <v>37119</v>
      </c>
      <c r="DS88" s="1760">
        <f t="shared" si="186"/>
        <v>1916557</v>
      </c>
      <c r="DT88" s="705">
        <f t="shared" si="187"/>
        <v>12591119.505000001</v>
      </c>
      <c r="DU88" s="788">
        <f t="shared" si="188"/>
        <v>12195560.195</v>
      </c>
      <c r="DV88" s="1783">
        <f t="shared" si="215"/>
        <v>96.858426211879561</v>
      </c>
      <c r="DW88" s="598"/>
      <c r="DX88" s="598"/>
      <c r="DY88" s="598"/>
      <c r="DZ88" s="598"/>
      <c r="EA88" s="598"/>
      <c r="EB88" s="598"/>
      <c r="EC88" s="598"/>
      <c r="ED88" s="598"/>
      <c r="EE88" s="598"/>
      <c r="EF88" s="598"/>
      <c r="EG88" s="598"/>
      <c r="EH88" s="598"/>
      <c r="EI88" s="598"/>
      <c r="EJ88" s="598"/>
      <c r="EK88" s="598"/>
      <c r="EL88" s="598"/>
      <c r="EM88" s="598"/>
      <c r="EN88" s="598"/>
      <c r="EO88" s="598"/>
      <c r="EP88" s="598"/>
      <c r="EQ88" s="598"/>
      <c r="ER88" s="598"/>
      <c r="ES88" s="598"/>
      <c r="ET88" s="598"/>
      <c r="EU88" s="598"/>
      <c r="EV88" s="598"/>
      <c r="EW88" s="598"/>
      <c r="EX88" s="598"/>
      <c r="EY88" s="598"/>
      <c r="EZ88" s="598"/>
      <c r="FA88" s="598"/>
      <c r="FB88" s="598"/>
      <c r="FC88" s="598"/>
      <c r="FD88" s="598"/>
      <c r="FE88" s="598"/>
      <c r="FF88" s="598"/>
      <c r="FG88" s="598"/>
      <c r="FH88" s="598"/>
      <c r="FI88" s="598"/>
      <c r="FJ88" s="598"/>
      <c r="FK88" s="598"/>
      <c r="FL88" s="598"/>
      <c r="FM88" s="598"/>
      <c r="FN88" s="598"/>
      <c r="FO88" s="598"/>
      <c r="FP88" s="598"/>
      <c r="FQ88" s="598"/>
      <c r="FR88" s="598"/>
      <c r="FS88" s="598"/>
      <c r="FT88" s="598"/>
      <c r="FU88" s="598"/>
      <c r="FV88" s="598"/>
      <c r="FW88" s="598"/>
      <c r="FX88" s="598"/>
      <c r="FY88" s="598"/>
      <c r="FZ88" s="598"/>
      <c r="GA88" s="598"/>
      <c r="GB88" s="598"/>
      <c r="GC88" s="598"/>
      <c r="GD88" s="598"/>
      <c r="GE88" s="598"/>
      <c r="GF88" s="598"/>
      <c r="GG88" s="598"/>
      <c r="GH88" s="598"/>
      <c r="GI88" s="598"/>
      <c r="GJ88" s="598"/>
      <c r="GK88" s="598"/>
      <c r="GL88" s="598"/>
      <c r="GM88" s="598"/>
      <c r="GN88" s="598"/>
      <c r="GO88" s="598"/>
      <c r="GP88" s="598"/>
      <c r="GQ88" s="598"/>
      <c r="GR88" s="598"/>
      <c r="GS88" s="598"/>
      <c r="GT88" s="598"/>
      <c r="GU88" s="598"/>
      <c r="GV88" s="598"/>
      <c r="GW88" s="598"/>
      <c r="GX88" s="598"/>
      <c r="GY88" s="598"/>
      <c r="GZ88" s="598"/>
      <c r="HA88" s="598"/>
      <c r="HB88" s="598"/>
      <c r="HC88" s="598"/>
      <c r="HD88" s="598"/>
      <c r="HE88" s="598"/>
      <c r="HF88" s="598"/>
      <c r="HG88" s="598"/>
      <c r="HH88" s="598"/>
      <c r="HI88" s="598"/>
      <c r="HJ88" s="598"/>
      <c r="HK88" s="598"/>
      <c r="HL88" s="598"/>
      <c r="HM88" s="598"/>
      <c r="HN88" s="598"/>
      <c r="HO88" s="598"/>
      <c r="HP88" s="598"/>
      <c r="HQ88" s="598"/>
      <c r="HR88" s="598"/>
      <c r="HS88" s="598"/>
      <c r="HT88" s="598"/>
      <c r="HU88" s="598"/>
      <c r="HV88" s="598"/>
      <c r="HW88" s="598"/>
      <c r="HX88" s="598"/>
      <c r="HY88" s="598"/>
      <c r="HZ88" s="598"/>
      <c r="IA88" s="598"/>
      <c r="IB88" s="598"/>
      <c r="IC88" s="598"/>
    </row>
    <row r="89" spans="1:237" s="123" customFormat="1" ht="12.75" customHeight="1" x14ac:dyDescent="0.2">
      <c r="A89" s="1681" t="s">
        <v>592</v>
      </c>
      <c r="B89" s="1682" t="s">
        <v>975</v>
      </c>
      <c r="C89" s="660"/>
      <c r="D89" s="703"/>
      <c r="E89" s="668"/>
      <c r="F89" s="660"/>
      <c r="G89" s="703"/>
      <c r="H89" s="668"/>
      <c r="I89" s="660"/>
      <c r="J89" s="703"/>
      <c r="K89" s="668"/>
      <c r="L89" s="660"/>
      <c r="M89" s="703"/>
      <c r="N89" s="668"/>
      <c r="O89" s="660"/>
      <c r="P89" s="703"/>
      <c r="Q89" s="668"/>
      <c r="R89" s="660"/>
      <c r="S89" s="703"/>
      <c r="T89" s="668"/>
      <c r="U89" s="660"/>
      <c r="V89" s="703"/>
      <c r="W89" s="668"/>
      <c r="X89" s="660"/>
      <c r="Y89" s="703"/>
      <c r="Z89" s="668"/>
      <c r="AA89" s="660"/>
      <c r="AB89" s="703"/>
      <c r="AC89" s="668"/>
      <c r="AD89" s="660"/>
      <c r="AE89" s="703"/>
      <c r="AF89" s="668"/>
      <c r="AG89" s="660"/>
      <c r="AH89" s="703"/>
      <c r="AI89" s="668"/>
      <c r="AJ89" s="660"/>
      <c r="AK89" s="703"/>
      <c r="AL89" s="668"/>
      <c r="AM89" s="660"/>
      <c r="AN89" s="703"/>
      <c r="AO89" s="668"/>
      <c r="AP89" s="660"/>
      <c r="AQ89" s="703"/>
      <c r="AR89" s="668"/>
      <c r="AS89" s="660"/>
      <c r="AT89" s="703"/>
      <c r="AU89" s="668"/>
      <c r="AV89" s="660"/>
      <c r="AW89" s="703"/>
      <c r="AX89" s="668"/>
      <c r="AY89" s="660"/>
      <c r="AZ89" s="703"/>
      <c r="BA89" s="668"/>
      <c r="BB89" s="660"/>
      <c r="BC89" s="703"/>
      <c r="BD89" s="668"/>
      <c r="BE89" s="660"/>
      <c r="BF89" s="703"/>
      <c r="BG89" s="668"/>
      <c r="BH89" s="1409">
        <f t="shared" ref="BH89:BJ95" si="221">C89+F89+I89+L89+O89+R89+U89+X89+AA89+AD89+AG89+AJ89+AM89+AP89+AS89+AV89+AY89+BB89+BE89</f>
        <v>0</v>
      </c>
      <c r="BI89" s="703">
        <f t="shared" si="221"/>
        <v>0</v>
      </c>
      <c r="BJ89" s="668">
        <f t="shared" si="221"/>
        <v>0</v>
      </c>
      <c r="BK89" s="660"/>
      <c r="BL89" s="703"/>
      <c r="BM89" s="668"/>
      <c r="BN89" s="660"/>
      <c r="BO89" s="703"/>
      <c r="BP89" s="668"/>
      <c r="BQ89" s="660"/>
      <c r="BR89" s="703"/>
      <c r="BS89" s="668"/>
      <c r="BT89" s="660"/>
      <c r="BU89" s="703"/>
      <c r="BV89" s="668"/>
      <c r="BW89" s="660"/>
      <c r="BX89" s="703"/>
      <c r="BY89" s="668"/>
      <c r="BZ89" s="660"/>
      <c r="CA89" s="703"/>
      <c r="CB89" s="668"/>
      <c r="CC89" s="660"/>
      <c r="CD89" s="703"/>
      <c r="CE89" s="668"/>
      <c r="CF89" s="660"/>
      <c r="CG89" s="703"/>
      <c r="CH89" s="668"/>
      <c r="CI89" s="660"/>
      <c r="CJ89" s="703"/>
      <c r="CK89" s="1991"/>
      <c r="CL89" s="660"/>
      <c r="CM89" s="703"/>
      <c r="CN89" s="668"/>
      <c r="CO89" s="660"/>
      <c r="CP89" s="703"/>
      <c r="CQ89" s="668"/>
      <c r="CR89" s="660"/>
      <c r="CS89" s="703"/>
      <c r="CT89" s="668"/>
      <c r="CU89" s="1708">
        <f t="shared" ref="CU89:CU94" si="222">BK89+BN89+BQ89+BT89+BW89+BZ89+CC89+CF89+CI89+CL89+CO89</f>
        <v>0</v>
      </c>
      <c r="CV89" s="1709">
        <f t="shared" ref="CV89:CV94" si="223">BL89+BO89+BR89+BU89+BX89+CA89+CD89+CG89+CJ89+CM89+CP89</f>
        <v>0</v>
      </c>
      <c r="CW89" s="1710">
        <f t="shared" ref="CW89:CW94" si="224">BM89+BP89+BS89+BV89+BY89+CB89+CE89+CH89+CK89+CN89+CQ89</f>
        <v>0</v>
      </c>
      <c r="CX89" s="1708">
        <f t="shared" si="179"/>
        <v>0</v>
      </c>
      <c r="CY89" s="1709">
        <f t="shared" si="114"/>
        <v>0</v>
      </c>
      <c r="CZ89" s="1710">
        <f t="shared" si="115"/>
        <v>0</v>
      </c>
      <c r="DA89" s="660"/>
      <c r="DB89" s="703"/>
      <c r="DC89" s="668"/>
      <c r="DD89" s="660"/>
      <c r="DE89" s="703"/>
      <c r="DF89" s="668"/>
      <c r="DG89" s="660"/>
      <c r="DH89" s="703"/>
      <c r="DI89" s="668"/>
      <c r="DJ89" s="1708">
        <f t="shared" si="193"/>
        <v>0</v>
      </c>
      <c r="DK89" s="1709">
        <f t="shared" si="207"/>
        <v>0</v>
      </c>
      <c r="DL89" s="1710">
        <f t="shared" si="208"/>
        <v>0</v>
      </c>
      <c r="DM89" s="660"/>
      <c r="DN89" s="703"/>
      <c r="DO89" s="668"/>
      <c r="DP89" s="660"/>
      <c r="DQ89" s="703"/>
      <c r="DR89" s="668"/>
      <c r="DS89" s="1708">
        <f t="shared" si="186"/>
        <v>0</v>
      </c>
      <c r="DT89" s="1709">
        <f t="shared" si="187"/>
        <v>0</v>
      </c>
      <c r="DU89" s="1710">
        <f t="shared" si="188"/>
        <v>0</v>
      </c>
      <c r="DV89" s="1775">
        <v>0</v>
      </c>
      <c r="DW89" s="598"/>
      <c r="DX89" s="598"/>
      <c r="DY89" s="598"/>
      <c r="DZ89" s="598"/>
      <c r="EA89" s="598"/>
      <c r="EB89" s="598"/>
      <c r="EC89" s="598"/>
      <c r="ED89" s="598"/>
      <c r="EE89" s="598"/>
      <c r="EF89" s="598"/>
      <c r="EG89" s="598"/>
      <c r="EH89" s="598"/>
      <c r="EI89" s="598"/>
      <c r="EJ89" s="598"/>
      <c r="EK89" s="598"/>
      <c r="EL89" s="598"/>
      <c r="EM89" s="598"/>
      <c r="EN89" s="598"/>
      <c r="EO89" s="598"/>
      <c r="EP89" s="598"/>
      <c r="EQ89" s="598"/>
      <c r="ER89" s="598"/>
      <c r="ES89" s="598"/>
      <c r="ET89" s="598"/>
      <c r="EU89" s="598"/>
      <c r="EV89" s="598"/>
      <c r="EW89" s="598"/>
      <c r="EX89" s="598"/>
      <c r="EY89" s="598"/>
      <c r="EZ89" s="598"/>
      <c r="FA89" s="598"/>
      <c r="FB89" s="598"/>
      <c r="FC89" s="598"/>
      <c r="FD89" s="598"/>
      <c r="FE89" s="598"/>
      <c r="FF89" s="598"/>
      <c r="FG89" s="598"/>
      <c r="FH89" s="598"/>
      <c r="FI89" s="598"/>
      <c r="FJ89" s="598"/>
      <c r="FK89" s="598"/>
      <c r="FL89" s="598"/>
      <c r="FM89" s="598"/>
      <c r="FN89" s="598"/>
      <c r="FO89" s="598"/>
      <c r="FP89" s="598"/>
      <c r="FQ89" s="598"/>
      <c r="FR89" s="598"/>
      <c r="FS89" s="598"/>
      <c r="FT89" s="598"/>
      <c r="FU89" s="598"/>
      <c r="FV89" s="598"/>
      <c r="FW89" s="598"/>
      <c r="FX89" s="598"/>
      <c r="FY89" s="598"/>
      <c r="FZ89" s="598"/>
      <c r="GA89" s="598"/>
      <c r="GB89" s="598"/>
      <c r="GC89" s="598"/>
      <c r="GD89" s="598"/>
      <c r="GE89" s="598"/>
      <c r="GF89" s="598"/>
      <c r="GG89" s="598"/>
      <c r="GH89" s="598"/>
      <c r="GI89" s="598"/>
      <c r="GJ89" s="598"/>
      <c r="GK89" s="598"/>
      <c r="GL89" s="598"/>
      <c r="GM89" s="598"/>
      <c r="GN89" s="598"/>
      <c r="GO89" s="598"/>
      <c r="GP89" s="598"/>
      <c r="GQ89" s="598"/>
      <c r="GR89" s="598"/>
      <c r="GS89" s="598"/>
      <c r="GT89" s="598"/>
      <c r="GU89" s="598"/>
      <c r="GV89" s="598"/>
      <c r="GW89" s="598"/>
      <c r="GX89" s="598"/>
      <c r="GY89" s="598"/>
      <c r="GZ89" s="598"/>
      <c r="HA89" s="598"/>
      <c r="HB89" s="598"/>
      <c r="HC89" s="598"/>
      <c r="HD89" s="598"/>
      <c r="HE89" s="598"/>
      <c r="HF89" s="598"/>
      <c r="HG89" s="598"/>
      <c r="HH89" s="598"/>
      <c r="HI89" s="598"/>
      <c r="HJ89" s="598"/>
      <c r="HK89" s="598"/>
      <c r="HL89" s="598"/>
      <c r="HM89" s="598"/>
      <c r="HN89" s="598"/>
      <c r="HO89" s="598"/>
      <c r="HP89" s="598"/>
      <c r="HQ89" s="598"/>
      <c r="HR89" s="598"/>
      <c r="HS89" s="598"/>
      <c r="HT89" s="598"/>
      <c r="HU89" s="598"/>
      <c r="HV89" s="598"/>
      <c r="HW89" s="598"/>
      <c r="HX89" s="598"/>
      <c r="HY89" s="598"/>
      <c r="HZ89" s="598"/>
      <c r="IA89" s="598"/>
      <c r="IB89" s="598"/>
      <c r="IC89" s="598"/>
    </row>
    <row r="90" spans="1:237" s="123" customFormat="1" ht="12.75" customHeight="1" x14ac:dyDescent="0.2">
      <c r="A90" s="1681" t="s">
        <v>593</v>
      </c>
      <c r="B90" s="1687" t="s">
        <v>994</v>
      </c>
      <c r="C90" s="1409"/>
      <c r="D90" s="703"/>
      <c r="E90" s="668"/>
      <c r="F90" s="1409"/>
      <c r="G90" s="703"/>
      <c r="H90" s="668"/>
      <c r="I90" s="1409"/>
      <c r="J90" s="703"/>
      <c r="K90" s="668"/>
      <c r="L90" s="1409"/>
      <c r="M90" s="703"/>
      <c r="N90" s="668"/>
      <c r="O90" s="1409"/>
      <c r="P90" s="703"/>
      <c r="Q90" s="668"/>
      <c r="R90" s="1409"/>
      <c r="S90" s="703"/>
      <c r="T90" s="668"/>
      <c r="U90" s="1409"/>
      <c r="V90" s="703"/>
      <c r="W90" s="668"/>
      <c r="X90" s="1409"/>
      <c r="Y90" s="703"/>
      <c r="Z90" s="668"/>
      <c r="AA90" s="1409"/>
      <c r="AB90" s="703"/>
      <c r="AC90" s="668"/>
      <c r="AD90" s="1409"/>
      <c r="AE90" s="703"/>
      <c r="AF90" s="668"/>
      <c r="AG90" s="1409"/>
      <c r="AH90" s="703"/>
      <c r="AI90" s="668"/>
      <c r="AJ90" s="1409"/>
      <c r="AK90" s="703"/>
      <c r="AL90" s="668"/>
      <c r="AM90" s="1409"/>
      <c r="AN90" s="703"/>
      <c r="AO90" s="668"/>
      <c r="AP90" s="1409"/>
      <c r="AQ90" s="703"/>
      <c r="AR90" s="668"/>
      <c r="AS90" s="1409"/>
      <c r="AT90" s="703"/>
      <c r="AU90" s="668"/>
      <c r="AV90" s="1409"/>
      <c r="AW90" s="703"/>
      <c r="AX90" s="668"/>
      <c r="AY90" s="1409"/>
      <c r="AZ90" s="703"/>
      <c r="BA90" s="668"/>
      <c r="BB90" s="1409"/>
      <c r="BC90" s="703"/>
      <c r="BD90" s="668"/>
      <c r="BE90" s="1409">
        <v>650000</v>
      </c>
      <c r="BF90" s="703">
        <v>8610052</v>
      </c>
      <c r="BG90" s="668">
        <v>8175052</v>
      </c>
      <c r="BH90" s="1409">
        <f t="shared" si="221"/>
        <v>650000</v>
      </c>
      <c r="BI90" s="703">
        <f t="shared" si="221"/>
        <v>8610052</v>
      </c>
      <c r="BJ90" s="668">
        <f t="shared" si="221"/>
        <v>8175052</v>
      </c>
      <c r="BK90" s="1409"/>
      <c r="BL90" s="703"/>
      <c r="BM90" s="668"/>
      <c r="BN90" s="1409"/>
      <c r="BO90" s="703"/>
      <c r="BP90" s="668"/>
      <c r="BQ90" s="1409"/>
      <c r="BR90" s="703"/>
      <c r="BS90" s="668"/>
      <c r="BT90" s="1409"/>
      <c r="BU90" s="703"/>
      <c r="BV90" s="668"/>
      <c r="BW90" s="1409"/>
      <c r="BX90" s="703"/>
      <c r="BY90" s="668"/>
      <c r="BZ90" s="1409"/>
      <c r="CA90" s="703"/>
      <c r="CB90" s="668"/>
      <c r="CC90" s="1409"/>
      <c r="CD90" s="703"/>
      <c r="CE90" s="668"/>
      <c r="CF90" s="1409"/>
      <c r="CG90" s="703"/>
      <c r="CH90" s="668"/>
      <c r="CI90" s="1409"/>
      <c r="CJ90" s="703"/>
      <c r="CK90" s="1991"/>
      <c r="CL90" s="1409"/>
      <c r="CM90" s="703"/>
      <c r="CN90" s="668"/>
      <c r="CO90" s="1409"/>
      <c r="CP90" s="703"/>
      <c r="CQ90" s="668"/>
      <c r="CR90" s="1409"/>
      <c r="CS90" s="703"/>
      <c r="CT90" s="668"/>
      <c r="CU90" s="1708">
        <f t="shared" si="222"/>
        <v>0</v>
      </c>
      <c r="CV90" s="1709">
        <f t="shared" si="223"/>
        <v>0</v>
      </c>
      <c r="CW90" s="1710">
        <f t="shared" si="224"/>
        <v>0</v>
      </c>
      <c r="CX90" s="1708">
        <f t="shared" si="179"/>
        <v>650000</v>
      </c>
      <c r="CY90" s="1709">
        <f t="shared" si="114"/>
        <v>8610052</v>
      </c>
      <c r="CZ90" s="1710">
        <f t="shared" si="115"/>
        <v>8175052</v>
      </c>
      <c r="DA90" s="1409"/>
      <c r="DB90" s="703"/>
      <c r="DC90" s="668"/>
      <c r="DD90" s="1409"/>
      <c r="DE90" s="703"/>
      <c r="DF90" s="668"/>
      <c r="DG90" s="1409"/>
      <c r="DH90" s="703"/>
      <c r="DI90" s="668"/>
      <c r="DJ90" s="1708">
        <f t="shared" si="193"/>
        <v>0</v>
      </c>
      <c r="DK90" s="1709">
        <f t="shared" si="207"/>
        <v>0</v>
      </c>
      <c r="DL90" s="1710">
        <f t="shared" si="208"/>
        <v>0</v>
      </c>
      <c r="DM90" s="1409"/>
      <c r="DN90" s="703"/>
      <c r="DO90" s="668"/>
      <c r="DP90" s="1409"/>
      <c r="DQ90" s="703"/>
      <c r="DR90" s="668"/>
      <c r="DS90" s="1708">
        <f t="shared" si="186"/>
        <v>650000</v>
      </c>
      <c r="DT90" s="1709">
        <f t="shared" si="187"/>
        <v>8610052</v>
      </c>
      <c r="DU90" s="1710">
        <f t="shared" si="188"/>
        <v>8175052</v>
      </c>
      <c r="DV90" s="722">
        <f t="shared" si="215"/>
        <v>94.947765704550918</v>
      </c>
      <c r="DW90" s="598"/>
      <c r="DX90" s="598"/>
      <c r="DY90" s="598"/>
      <c r="DZ90" s="598"/>
      <c r="EA90" s="598"/>
      <c r="EB90" s="598"/>
      <c r="EC90" s="598"/>
      <c r="ED90" s="598"/>
      <c r="EE90" s="598"/>
      <c r="EF90" s="598"/>
      <c r="EG90" s="598"/>
      <c r="EH90" s="598"/>
      <c r="EI90" s="598"/>
      <c r="EJ90" s="598"/>
      <c r="EK90" s="598"/>
      <c r="EL90" s="598"/>
      <c r="EM90" s="598"/>
      <c r="EN90" s="598"/>
      <c r="EO90" s="598"/>
      <c r="EP90" s="598"/>
      <c r="EQ90" s="598"/>
      <c r="ER90" s="598"/>
      <c r="ES90" s="598"/>
      <c r="ET90" s="598"/>
      <c r="EU90" s="598"/>
      <c r="EV90" s="598"/>
      <c r="EW90" s="598"/>
      <c r="EX90" s="598"/>
      <c r="EY90" s="598"/>
      <c r="EZ90" s="598"/>
      <c r="FA90" s="598"/>
      <c r="FB90" s="598"/>
      <c r="FC90" s="598"/>
      <c r="FD90" s="598"/>
      <c r="FE90" s="598"/>
      <c r="FF90" s="598"/>
      <c r="FG90" s="598"/>
      <c r="FH90" s="598"/>
      <c r="FI90" s="598"/>
      <c r="FJ90" s="598"/>
      <c r="FK90" s="598"/>
      <c r="FL90" s="598"/>
      <c r="FM90" s="598"/>
      <c r="FN90" s="598"/>
      <c r="FO90" s="598"/>
      <c r="FP90" s="598"/>
      <c r="FQ90" s="598"/>
      <c r="FR90" s="598"/>
      <c r="FS90" s="598"/>
      <c r="FT90" s="598"/>
      <c r="FU90" s="598"/>
      <c r="FV90" s="598"/>
      <c r="FW90" s="598"/>
      <c r="FX90" s="598"/>
      <c r="FY90" s="598"/>
      <c r="FZ90" s="598"/>
      <c r="GA90" s="598"/>
      <c r="GB90" s="598"/>
      <c r="GC90" s="598"/>
      <c r="GD90" s="598"/>
      <c r="GE90" s="598"/>
      <c r="GF90" s="598"/>
      <c r="GG90" s="598"/>
      <c r="GH90" s="598"/>
      <c r="GI90" s="598"/>
      <c r="GJ90" s="598"/>
      <c r="GK90" s="598"/>
      <c r="GL90" s="598"/>
      <c r="GM90" s="598"/>
      <c r="GN90" s="598"/>
      <c r="GO90" s="598"/>
      <c r="GP90" s="598"/>
      <c r="GQ90" s="598"/>
      <c r="GR90" s="598"/>
      <c r="GS90" s="598"/>
      <c r="GT90" s="598"/>
      <c r="GU90" s="598"/>
      <c r="GV90" s="598"/>
      <c r="GW90" s="598"/>
      <c r="GX90" s="598"/>
      <c r="GY90" s="598"/>
      <c r="GZ90" s="598"/>
      <c r="HA90" s="598"/>
      <c r="HB90" s="598"/>
      <c r="HC90" s="598"/>
      <c r="HD90" s="598"/>
      <c r="HE90" s="598"/>
      <c r="HF90" s="598"/>
      <c r="HG90" s="598"/>
      <c r="HH90" s="598"/>
      <c r="HI90" s="598"/>
      <c r="HJ90" s="598"/>
      <c r="HK90" s="598"/>
      <c r="HL90" s="598"/>
      <c r="HM90" s="598"/>
      <c r="HN90" s="598"/>
      <c r="HO90" s="598"/>
      <c r="HP90" s="598"/>
      <c r="HQ90" s="598"/>
      <c r="HR90" s="598"/>
      <c r="HS90" s="598"/>
      <c r="HT90" s="598"/>
      <c r="HU90" s="598"/>
      <c r="HV90" s="598"/>
      <c r="HW90" s="598"/>
      <c r="HX90" s="598"/>
      <c r="HY90" s="598"/>
      <c r="HZ90" s="598"/>
      <c r="IA90" s="598"/>
      <c r="IB90" s="598"/>
      <c r="IC90" s="598"/>
    </row>
    <row r="91" spans="1:237" s="123" customFormat="1" ht="12.75" customHeight="1" x14ac:dyDescent="0.2">
      <c r="A91" s="1681" t="s">
        <v>594</v>
      </c>
      <c r="B91" s="1701" t="s">
        <v>995</v>
      </c>
      <c r="C91" s="1409"/>
      <c r="D91" s="703"/>
      <c r="E91" s="668"/>
      <c r="F91" s="1409"/>
      <c r="G91" s="703"/>
      <c r="H91" s="668"/>
      <c r="I91" s="1409"/>
      <c r="J91" s="703"/>
      <c r="K91" s="668"/>
      <c r="L91" s="1409"/>
      <c r="M91" s="703"/>
      <c r="N91" s="668"/>
      <c r="O91" s="1409"/>
      <c r="P91" s="703"/>
      <c r="Q91" s="668"/>
      <c r="R91" s="1409"/>
      <c r="S91" s="703"/>
      <c r="T91" s="668"/>
      <c r="U91" s="1409"/>
      <c r="V91" s="703"/>
      <c r="W91" s="668"/>
      <c r="X91" s="1409"/>
      <c r="Y91" s="703"/>
      <c r="Z91" s="668"/>
      <c r="AA91" s="1409"/>
      <c r="AB91" s="703"/>
      <c r="AC91" s="668"/>
      <c r="AD91" s="1409"/>
      <c r="AE91" s="703"/>
      <c r="AF91" s="668"/>
      <c r="AG91" s="1409"/>
      <c r="AH91" s="703"/>
      <c r="AI91" s="668"/>
      <c r="AJ91" s="1409"/>
      <c r="AK91" s="703"/>
      <c r="AL91" s="668"/>
      <c r="AM91" s="1409"/>
      <c r="AN91" s="703"/>
      <c r="AO91" s="668"/>
      <c r="AP91" s="1409"/>
      <c r="AQ91" s="703"/>
      <c r="AR91" s="668"/>
      <c r="AS91" s="1409"/>
      <c r="AT91" s="703"/>
      <c r="AU91" s="668"/>
      <c r="AV91" s="1409"/>
      <c r="AW91" s="703"/>
      <c r="AX91" s="668"/>
      <c r="AY91" s="1409"/>
      <c r="AZ91" s="703"/>
      <c r="BA91" s="668"/>
      <c r="BB91" s="1409">
        <v>499624</v>
      </c>
      <c r="BC91" s="703">
        <v>985434.46799999999</v>
      </c>
      <c r="BD91" s="668">
        <v>985434.46799999999</v>
      </c>
      <c r="BE91" s="1409"/>
      <c r="BF91" s="703"/>
      <c r="BG91" s="668"/>
      <c r="BH91" s="1409">
        <f t="shared" si="221"/>
        <v>499624</v>
      </c>
      <c r="BI91" s="703">
        <f t="shared" si="221"/>
        <v>985434.46799999999</v>
      </c>
      <c r="BJ91" s="668">
        <f t="shared" si="221"/>
        <v>985434.46799999999</v>
      </c>
      <c r="BK91" s="1409"/>
      <c r="BL91" s="703"/>
      <c r="BM91" s="668"/>
      <c r="BN91" s="1409"/>
      <c r="BO91" s="703"/>
      <c r="BP91" s="668"/>
      <c r="BQ91" s="1409"/>
      <c r="BR91" s="703"/>
      <c r="BS91" s="668"/>
      <c r="BT91" s="1409"/>
      <c r="BU91" s="703"/>
      <c r="BV91" s="668"/>
      <c r="BW91" s="1409"/>
      <c r="BX91" s="703"/>
      <c r="BY91" s="668"/>
      <c r="BZ91" s="1409"/>
      <c r="CA91" s="703"/>
      <c r="CB91" s="668"/>
      <c r="CC91" s="1409"/>
      <c r="CD91" s="703"/>
      <c r="CE91" s="668"/>
      <c r="CF91" s="1409"/>
      <c r="CG91" s="703"/>
      <c r="CH91" s="668"/>
      <c r="CI91" s="1409"/>
      <c r="CJ91" s="703"/>
      <c r="CK91" s="1991"/>
      <c r="CL91" s="1409"/>
      <c r="CM91" s="703"/>
      <c r="CN91" s="668"/>
      <c r="CO91" s="1409"/>
      <c r="CP91" s="703"/>
      <c r="CQ91" s="668"/>
      <c r="CR91" s="1409"/>
      <c r="CS91" s="703"/>
      <c r="CT91" s="668"/>
      <c r="CU91" s="1708">
        <f t="shared" si="222"/>
        <v>0</v>
      </c>
      <c r="CV91" s="1709">
        <f t="shared" si="223"/>
        <v>0</v>
      </c>
      <c r="CW91" s="1710">
        <f t="shared" si="224"/>
        <v>0</v>
      </c>
      <c r="CX91" s="1708">
        <f t="shared" si="179"/>
        <v>499624</v>
      </c>
      <c r="CY91" s="1709">
        <f t="shared" si="114"/>
        <v>985434.46799999999</v>
      </c>
      <c r="CZ91" s="1710">
        <f t="shared" si="115"/>
        <v>985434.46799999999</v>
      </c>
      <c r="DA91" s="1409"/>
      <c r="DB91" s="703"/>
      <c r="DC91" s="668"/>
      <c r="DD91" s="1409"/>
      <c r="DE91" s="703"/>
      <c r="DF91" s="668"/>
      <c r="DG91" s="1409">
        <v>23495</v>
      </c>
      <c r="DH91" s="703">
        <v>225554.53700000001</v>
      </c>
      <c r="DI91" s="668">
        <v>225554.53700000001</v>
      </c>
      <c r="DJ91" s="1708">
        <f t="shared" si="193"/>
        <v>23495</v>
      </c>
      <c r="DK91" s="1709">
        <f t="shared" si="207"/>
        <v>225554.53700000001</v>
      </c>
      <c r="DL91" s="1710">
        <f t="shared" si="208"/>
        <v>225554.53700000001</v>
      </c>
      <c r="DM91" s="1409"/>
      <c r="DN91" s="703">
        <v>35711</v>
      </c>
      <c r="DO91" s="668">
        <v>35711</v>
      </c>
      <c r="DP91" s="1409"/>
      <c r="DQ91" s="703">
        <v>27202</v>
      </c>
      <c r="DR91" s="668">
        <v>27202</v>
      </c>
      <c r="DS91" s="1708">
        <f t="shared" si="186"/>
        <v>523119</v>
      </c>
      <c r="DT91" s="1709">
        <f t="shared" si="187"/>
        <v>1273902.0049999999</v>
      </c>
      <c r="DU91" s="1710">
        <f t="shared" si="188"/>
        <v>1273902.0049999999</v>
      </c>
      <c r="DV91" s="722">
        <f t="shared" si="215"/>
        <v>100</v>
      </c>
      <c r="DW91" s="598"/>
      <c r="DX91" s="598"/>
      <c r="DY91" s="598"/>
      <c r="DZ91" s="598"/>
      <c r="EA91" s="598"/>
      <c r="EB91" s="598"/>
      <c r="EC91" s="598"/>
      <c r="ED91" s="598"/>
      <c r="EE91" s="598"/>
      <c r="EF91" s="598"/>
      <c r="EG91" s="598"/>
      <c r="EH91" s="598"/>
      <c r="EI91" s="598"/>
      <c r="EJ91" s="598"/>
      <c r="EK91" s="598"/>
      <c r="EL91" s="598"/>
      <c r="EM91" s="598"/>
      <c r="EN91" s="598"/>
      <c r="EO91" s="598"/>
      <c r="EP91" s="598"/>
      <c r="EQ91" s="598"/>
      <c r="ER91" s="598"/>
      <c r="ES91" s="598"/>
      <c r="ET91" s="598"/>
      <c r="EU91" s="598"/>
      <c r="EV91" s="598"/>
      <c r="EW91" s="598"/>
      <c r="EX91" s="598"/>
      <c r="EY91" s="598"/>
      <c r="EZ91" s="598"/>
      <c r="FA91" s="598"/>
      <c r="FB91" s="598"/>
      <c r="FC91" s="598"/>
      <c r="FD91" s="598"/>
      <c r="FE91" s="598"/>
      <c r="FF91" s="598"/>
      <c r="FG91" s="598"/>
      <c r="FH91" s="598"/>
      <c r="FI91" s="598"/>
      <c r="FJ91" s="598"/>
      <c r="FK91" s="598"/>
      <c r="FL91" s="598"/>
      <c r="FM91" s="598"/>
      <c r="FN91" s="598"/>
      <c r="FO91" s="598"/>
      <c r="FP91" s="598"/>
      <c r="FQ91" s="598"/>
      <c r="FR91" s="598"/>
      <c r="FS91" s="598"/>
      <c r="FT91" s="598"/>
      <c r="FU91" s="598"/>
      <c r="FV91" s="598"/>
      <c r="FW91" s="598"/>
      <c r="FX91" s="598"/>
      <c r="FY91" s="598"/>
      <c r="FZ91" s="598"/>
      <c r="GA91" s="598"/>
      <c r="GB91" s="598"/>
      <c r="GC91" s="598"/>
      <c r="GD91" s="598"/>
      <c r="GE91" s="598"/>
      <c r="GF91" s="598"/>
      <c r="GG91" s="598"/>
      <c r="GH91" s="598"/>
      <c r="GI91" s="598"/>
      <c r="GJ91" s="598"/>
      <c r="GK91" s="598"/>
      <c r="GL91" s="598"/>
      <c r="GM91" s="598"/>
      <c r="GN91" s="598"/>
      <c r="GO91" s="598"/>
      <c r="GP91" s="598"/>
      <c r="GQ91" s="598"/>
      <c r="GR91" s="598"/>
      <c r="GS91" s="598"/>
      <c r="GT91" s="598"/>
      <c r="GU91" s="598"/>
      <c r="GV91" s="598"/>
      <c r="GW91" s="598"/>
      <c r="GX91" s="598"/>
      <c r="GY91" s="598"/>
      <c r="GZ91" s="598"/>
      <c r="HA91" s="598"/>
      <c r="HB91" s="598"/>
      <c r="HC91" s="598"/>
      <c r="HD91" s="598"/>
      <c r="HE91" s="598"/>
      <c r="HF91" s="598"/>
      <c r="HG91" s="598"/>
      <c r="HH91" s="598"/>
      <c r="HI91" s="598"/>
      <c r="HJ91" s="598"/>
      <c r="HK91" s="598"/>
      <c r="HL91" s="598"/>
      <c r="HM91" s="598"/>
      <c r="HN91" s="598"/>
      <c r="HO91" s="598"/>
      <c r="HP91" s="598"/>
      <c r="HQ91" s="598"/>
      <c r="HR91" s="598"/>
      <c r="HS91" s="598"/>
      <c r="HT91" s="598"/>
      <c r="HU91" s="598"/>
      <c r="HV91" s="598"/>
      <c r="HW91" s="598"/>
      <c r="HX91" s="598"/>
      <c r="HY91" s="598"/>
      <c r="HZ91" s="598"/>
      <c r="IA91" s="598"/>
      <c r="IB91" s="598"/>
      <c r="IC91" s="598"/>
    </row>
    <row r="92" spans="1:237" s="123" customFormat="1" ht="12.75" customHeight="1" x14ac:dyDescent="0.2">
      <c r="A92" s="1681"/>
      <c r="B92" s="1701" t="s">
        <v>996</v>
      </c>
      <c r="C92" s="1409"/>
      <c r="D92" s="703"/>
      <c r="E92" s="668"/>
      <c r="F92" s="1409"/>
      <c r="G92" s="703"/>
      <c r="H92" s="668"/>
      <c r="I92" s="1409"/>
      <c r="J92" s="703"/>
      <c r="K92" s="668"/>
      <c r="L92" s="1409"/>
      <c r="M92" s="703"/>
      <c r="N92" s="668"/>
      <c r="O92" s="1409"/>
      <c r="P92" s="703"/>
      <c r="Q92" s="668"/>
      <c r="R92" s="1409"/>
      <c r="S92" s="703"/>
      <c r="T92" s="668"/>
      <c r="U92" s="1409"/>
      <c r="V92" s="703"/>
      <c r="W92" s="668"/>
      <c r="X92" s="1409"/>
      <c r="Y92" s="703"/>
      <c r="Z92" s="668"/>
      <c r="AA92" s="1409"/>
      <c r="AB92" s="703"/>
      <c r="AC92" s="668"/>
      <c r="AD92" s="1409"/>
      <c r="AE92" s="703"/>
      <c r="AF92" s="668"/>
      <c r="AG92" s="1409"/>
      <c r="AH92" s="703"/>
      <c r="AI92" s="668"/>
      <c r="AJ92" s="1409"/>
      <c r="AK92" s="703"/>
      <c r="AL92" s="668"/>
      <c r="AM92" s="1409"/>
      <c r="AN92" s="703"/>
      <c r="AO92" s="668"/>
      <c r="AP92" s="1409"/>
      <c r="AQ92" s="703"/>
      <c r="AR92" s="668"/>
      <c r="AS92" s="1409"/>
      <c r="AT92" s="703"/>
      <c r="AU92" s="668"/>
      <c r="AV92" s="1409"/>
      <c r="AW92" s="703"/>
      <c r="AX92" s="668"/>
      <c r="AY92" s="1409"/>
      <c r="AZ92" s="703"/>
      <c r="BA92" s="668"/>
      <c r="BB92" s="1409">
        <v>673429</v>
      </c>
      <c r="BC92" s="703">
        <v>2547370</v>
      </c>
      <c r="BD92" s="668">
        <v>2547370</v>
      </c>
      <c r="BE92" s="1409"/>
      <c r="BF92" s="703"/>
      <c r="BG92" s="668"/>
      <c r="BH92" s="1409">
        <f t="shared" si="221"/>
        <v>673429</v>
      </c>
      <c r="BI92" s="703">
        <f t="shared" si="221"/>
        <v>2547370</v>
      </c>
      <c r="BJ92" s="668">
        <f t="shared" si="221"/>
        <v>2547370</v>
      </c>
      <c r="BK92" s="1409"/>
      <c r="BL92" s="703"/>
      <c r="BM92" s="668"/>
      <c r="BN92" s="1409"/>
      <c r="BO92" s="703"/>
      <c r="BP92" s="668"/>
      <c r="BQ92" s="1409"/>
      <c r="BR92" s="703"/>
      <c r="BS92" s="668"/>
      <c r="BT92" s="1409"/>
      <c r="BU92" s="703"/>
      <c r="BV92" s="668"/>
      <c r="BW92" s="1409"/>
      <c r="BX92" s="703"/>
      <c r="BY92" s="668"/>
      <c r="BZ92" s="1409"/>
      <c r="CA92" s="703"/>
      <c r="CB92" s="668"/>
      <c r="CC92" s="1409"/>
      <c r="CD92" s="703"/>
      <c r="CE92" s="668"/>
      <c r="CF92" s="1409"/>
      <c r="CG92" s="703"/>
      <c r="CH92" s="668"/>
      <c r="CI92" s="1409"/>
      <c r="CJ92" s="703"/>
      <c r="CK92" s="1991"/>
      <c r="CL92" s="1409"/>
      <c r="CM92" s="703"/>
      <c r="CN92" s="668"/>
      <c r="CO92" s="1409"/>
      <c r="CP92" s="703"/>
      <c r="CQ92" s="668"/>
      <c r="CR92" s="1409"/>
      <c r="CS92" s="703"/>
      <c r="CT92" s="668"/>
      <c r="CU92" s="1708">
        <f t="shared" si="222"/>
        <v>0</v>
      </c>
      <c r="CV92" s="1709">
        <f t="shared" si="223"/>
        <v>0</v>
      </c>
      <c r="CW92" s="1710">
        <f t="shared" si="224"/>
        <v>0</v>
      </c>
      <c r="CX92" s="1708">
        <f t="shared" si="179"/>
        <v>673429</v>
      </c>
      <c r="CY92" s="1709">
        <f t="shared" ref="CY92:CZ95" si="225">BI92+CV92</f>
        <v>2547370</v>
      </c>
      <c r="CZ92" s="1710">
        <f t="shared" si="225"/>
        <v>2547370</v>
      </c>
      <c r="DA92" s="1409"/>
      <c r="DB92" s="703"/>
      <c r="DC92" s="668"/>
      <c r="DD92" s="1409"/>
      <c r="DE92" s="703"/>
      <c r="DF92" s="668"/>
      <c r="DG92" s="1409">
        <v>70009</v>
      </c>
      <c r="DH92" s="703">
        <v>101441</v>
      </c>
      <c r="DI92" s="668">
        <v>101441</v>
      </c>
      <c r="DJ92" s="1708">
        <f t="shared" si="193"/>
        <v>70009</v>
      </c>
      <c r="DK92" s="1709">
        <f t="shared" si="207"/>
        <v>101441</v>
      </c>
      <c r="DL92" s="1710">
        <f t="shared" si="208"/>
        <v>101441</v>
      </c>
      <c r="DM92" s="1409"/>
      <c r="DN92" s="703">
        <v>4977</v>
      </c>
      <c r="DO92" s="668">
        <v>4977</v>
      </c>
      <c r="DP92" s="1409"/>
      <c r="DQ92" s="703">
        <v>9917</v>
      </c>
      <c r="DR92" s="668">
        <v>9917</v>
      </c>
      <c r="DS92" s="1708">
        <f t="shared" si="186"/>
        <v>743438</v>
      </c>
      <c r="DT92" s="1709">
        <f t="shared" si="187"/>
        <v>2663705</v>
      </c>
      <c r="DU92" s="1710">
        <f t="shared" si="188"/>
        <v>2663705</v>
      </c>
      <c r="DV92" s="722">
        <f t="shared" si="215"/>
        <v>100</v>
      </c>
      <c r="DW92" s="598"/>
      <c r="DX92" s="598"/>
      <c r="DY92" s="598"/>
      <c r="DZ92" s="598"/>
      <c r="EA92" s="598"/>
      <c r="EB92" s="598"/>
      <c r="EC92" s="598"/>
      <c r="ED92" s="598"/>
      <c r="EE92" s="598"/>
      <c r="EF92" s="598"/>
      <c r="EG92" s="598"/>
      <c r="EH92" s="598"/>
      <c r="EI92" s="598"/>
      <c r="EJ92" s="598"/>
      <c r="EK92" s="598"/>
      <c r="EL92" s="598"/>
      <c r="EM92" s="598"/>
      <c r="EN92" s="598"/>
      <c r="EO92" s="598"/>
      <c r="EP92" s="598"/>
      <c r="EQ92" s="598"/>
      <c r="ER92" s="598"/>
      <c r="ES92" s="598"/>
      <c r="ET92" s="598"/>
      <c r="EU92" s="598"/>
      <c r="EV92" s="598"/>
      <c r="EW92" s="598"/>
      <c r="EX92" s="598"/>
      <c r="EY92" s="598"/>
      <c r="EZ92" s="598"/>
      <c r="FA92" s="598"/>
      <c r="FB92" s="598"/>
      <c r="FC92" s="598"/>
      <c r="FD92" s="598"/>
      <c r="FE92" s="598"/>
      <c r="FF92" s="598"/>
      <c r="FG92" s="598"/>
      <c r="FH92" s="598"/>
      <c r="FI92" s="598"/>
      <c r="FJ92" s="598"/>
      <c r="FK92" s="598"/>
      <c r="FL92" s="598"/>
      <c r="FM92" s="598"/>
      <c r="FN92" s="598"/>
      <c r="FO92" s="598"/>
      <c r="FP92" s="598"/>
      <c r="FQ92" s="598"/>
      <c r="FR92" s="598"/>
      <c r="FS92" s="598"/>
      <c r="FT92" s="598"/>
      <c r="FU92" s="598"/>
      <c r="FV92" s="598"/>
      <c r="FW92" s="598"/>
      <c r="FX92" s="598"/>
      <c r="FY92" s="598"/>
      <c r="FZ92" s="598"/>
      <c r="GA92" s="598"/>
      <c r="GB92" s="598"/>
      <c r="GC92" s="598"/>
      <c r="GD92" s="598"/>
      <c r="GE92" s="598"/>
      <c r="GF92" s="598"/>
      <c r="GG92" s="598"/>
      <c r="GH92" s="598"/>
      <c r="GI92" s="598"/>
      <c r="GJ92" s="598"/>
      <c r="GK92" s="598"/>
      <c r="GL92" s="598"/>
      <c r="GM92" s="598"/>
      <c r="GN92" s="598"/>
      <c r="GO92" s="598"/>
      <c r="GP92" s="598"/>
      <c r="GQ92" s="598"/>
      <c r="GR92" s="598"/>
      <c r="GS92" s="598"/>
      <c r="GT92" s="598"/>
      <c r="GU92" s="598"/>
      <c r="GV92" s="598"/>
      <c r="GW92" s="598"/>
      <c r="GX92" s="598"/>
      <c r="GY92" s="598"/>
      <c r="GZ92" s="598"/>
      <c r="HA92" s="598"/>
      <c r="HB92" s="598"/>
      <c r="HC92" s="598"/>
      <c r="HD92" s="598"/>
      <c r="HE92" s="598"/>
      <c r="HF92" s="598"/>
      <c r="HG92" s="598"/>
      <c r="HH92" s="598"/>
      <c r="HI92" s="598"/>
      <c r="HJ92" s="598"/>
      <c r="HK92" s="598"/>
      <c r="HL92" s="598"/>
      <c r="HM92" s="598"/>
      <c r="HN92" s="598"/>
      <c r="HO92" s="598"/>
      <c r="HP92" s="598"/>
      <c r="HQ92" s="598"/>
      <c r="HR92" s="598"/>
      <c r="HS92" s="598"/>
      <c r="HT92" s="598"/>
      <c r="HU92" s="598"/>
      <c r="HV92" s="598"/>
      <c r="HW92" s="598"/>
      <c r="HX92" s="598"/>
      <c r="HY92" s="598"/>
      <c r="HZ92" s="598"/>
      <c r="IA92" s="598"/>
      <c r="IB92" s="598"/>
      <c r="IC92" s="598"/>
    </row>
    <row r="93" spans="1:237" ht="12.75" customHeight="1" x14ac:dyDescent="0.2">
      <c r="A93" s="1681" t="s">
        <v>595</v>
      </c>
      <c r="B93" s="1701" t="s">
        <v>1344</v>
      </c>
      <c r="C93" s="654"/>
      <c r="D93" s="697"/>
      <c r="E93" s="662"/>
      <c r="F93" s="654"/>
      <c r="G93" s="697"/>
      <c r="H93" s="662"/>
      <c r="I93" s="654"/>
      <c r="J93" s="697"/>
      <c r="K93" s="662"/>
      <c r="L93" s="654"/>
      <c r="M93" s="697"/>
      <c r="N93" s="662"/>
      <c r="O93" s="654"/>
      <c r="P93" s="697"/>
      <c r="Q93" s="662"/>
      <c r="R93" s="654"/>
      <c r="S93" s="697"/>
      <c r="T93" s="662"/>
      <c r="U93" s="654"/>
      <c r="V93" s="697"/>
      <c r="W93" s="662"/>
      <c r="X93" s="654"/>
      <c r="Y93" s="697"/>
      <c r="Z93" s="662"/>
      <c r="AA93" s="654"/>
      <c r="AB93" s="697"/>
      <c r="AC93" s="662"/>
      <c r="AD93" s="654"/>
      <c r="AE93" s="697"/>
      <c r="AF93" s="662"/>
      <c r="AG93" s="654"/>
      <c r="AH93" s="697"/>
      <c r="AI93" s="662"/>
      <c r="AJ93" s="654"/>
      <c r="AK93" s="697"/>
      <c r="AL93" s="662"/>
      <c r="AM93" s="654"/>
      <c r="AN93" s="697"/>
      <c r="AO93" s="662"/>
      <c r="AP93" s="654"/>
      <c r="AQ93" s="697"/>
      <c r="AR93" s="662"/>
      <c r="AS93" s="654"/>
      <c r="AT93" s="697"/>
      <c r="AU93" s="662"/>
      <c r="AV93" s="654"/>
      <c r="AW93" s="697"/>
      <c r="AX93" s="662"/>
      <c r="AY93" s="654"/>
      <c r="AZ93" s="697"/>
      <c r="BA93" s="662"/>
      <c r="BB93" s="654"/>
      <c r="BC93" s="1785">
        <v>43460.5</v>
      </c>
      <c r="BD93" s="1786">
        <v>82901.19</v>
      </c>
      <c r="BE93" s="654"/>
      <c r="BF93" s="1785"/>
      <c r="BG93" s="1786"/>
      <c r="BH93" s="654">
        <f t="shared" si="221"/>
        <v>0</v>
      </c>
      <c r="BI93" s="1785">
        <f t="shared" si="221"/>
        <v>43460.5</v>
      </c>
      <c r="BJ93" s="1786">
        <f t="shared" si="221"/>
        <v>82901.19</v>
      </c>
      <c r="BK93" s="654"/>
      <c r="BL93" s="697"/>
      <c r="BM93" s="662"/>
      <c r="BN93" s="654"/>
      <c r="BO93" s="697"/>
      <c r="BP93" s="662"/>
      <c r="BQ93" s="654"/>
      <c r="BR93" s="697"/>
      <c r="BS93" s="662"/>
      <c r="BT93" s="654"/>
      <c r="BU93" s="697"/>
      <c r="BV93" s="662"/>
      <c r="BW93" s="654"/>
      <c r="BX93" s="697"/>
      <c r="BY93" s="662"/>
      <c r="BZ93" s="654"/>
      <c r="CA93" s="697"/>
      <c r="CB93" s="662"/>
      <c r="CC93" s="654"/>
      <c r="CD93" s="697"/>
      <c r="CE93" s="662"/>
      <c r="CF93" s="654"/>
      <c r="CG93" s="697"/>
      <c r="CH93" s="662"/>
      <c r="CI93" s="654"/>
      <c r="CJ93" s="697"/>
      <c r="CK93" s="1969"/>
      <c r="CL93" s="654"/>
      <c r="CM93" s="697"/>
      <c r="CN93" s="662"/>
      <c r="CO93" s="654"/>
      <c r="CP93" s="697"/>
      <c r="CQ93" s="662"/>
      <c r="CR93" s="654"/>
      <c r="CS93" s="697"/>
      <c r="CT93" s="662"/>
      <c r="CU93" s="1708">
        <f t="shared" si="222"/>
        <v>0</v>
      </c>
      <c r="CV93" s="1709">
        <f t="shared" si="223"/>
        <v>0</v>
      </c>
      <c r="CW93" s="1710">
        <f t="shared" si="224"/>
        <v>0</v>
      </c>
      <c r="CX93" s="1708">
        <f t="shared" si="179"/>
        <v>0</v>
      </c>
      <c r="CY93" s="1709">
        <f t="shared" si="225"/>
        <v>43460.5</v>
      </c>
      <c r="CZ93" s="1710">
        <f t="shared" si="225"/>
        <v>82901.19</v>
      </c>
      <c r="DA93" s="1784"/>
      <c r="DB93" s="1785"/>
      <c r="DC93" s="1786"/>
      <c r="DD93" s="1784"/>
      <c r="DE93" s="1785"/>
      <c r="DF93" s="1786"/>
      <c r="DG93" s="1784"/>
      <c r="DH93" s="1785"/>
      <c r="DI93" s="1786"/>
      <c r="DJ93" s="1708">
        <f t="shared" si="193"/>
        <v>0</v>
      </c>
      <c r="DK93" s="1709">
        <f t="shared" si="207"/>
        <v>0</v>
      </c>
      <c r="DL93" s="1710">
        <f t="shared" si="208"/>
        <v>0</v>
      </c>
      <c r="DM93" s="1784"/>
      <c r="DN93" s="1785"/>
      <c r="DO93" s="1786"/>
      <c r="DP93" s="1784"/>
      <c r="DQ93" s="1785"/>
      <c r="DR93" s="1786"/>
      <c r="DS93" s="1708">
        <f t="shared" si="186"/>
        <v>0</v>
      </c>
      <c r="DT93" s="1709">
        <f t="shared" si="187"/>
        <v>43460.5</v>
      </c>
      <c r="DU93" s="1710">
        <f t="shared" si="188"/>
        <v>82901.19</v>
      </c>
      <c r="DV93" s="722">
        <f t="shared" si="215"/>
        <v>190.7506586440561</v>
      </c>
      <c r="DW93" s="140"/>
      <c r="DX93" s="140"/>
      <c r="DY93" s="140"/>
      <c r="DZ93" s="140"/>
      <c r="EA93" s="140"/>
      <c r="EB93" s="140"/>
      <c r="EC93" s="140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0"/>
      <c r="GN93" s="140"/>
      <c r="GO93" s="140"/>
      <c r="GP93" s="140"/>
      <c r="GQ93" s="140"/>
      <c r="GR93" s="140"/>
      <c r="GS93" s="140"/>
      <c r="GT93" s="140"/>
      <c r="GU93" s="140"/>
      <c r="GV93" s="140"/>
      <c r="GW93" s="140"/>
      <c r="GX93" s="140"/>
      <c r="GY93" s="140"/>
      <c r="GZ93" s="140"/>
      <c r="HA93" s="140"/>
      <c r="HB93" s="140"/>
      <c r="HC93" s="140"/>
      <c r="HD93" s="140"/>
      <c r="HE93" s="140"/>
      <c r="HF93" s="140"/>
      <c r="HG93" s="140"/>
      <c r="HH93" s="140"/>
      <c r="HI93" s="140"/>
      <c r="HJ93" s="140"/>
      <c r="HK93" s="140"/>
      <c r="HL93" s="140"/>
      <c r="HM93" s="140"/>
      <c r="HN93" s="140"/>
      <c r="HO93" s="140"/>
    </row>
    <row r="94" spans="1:237" ht="12.75" customHeight="1" thickBot="1" x14ac:dyDescent="0.25">
      <c r="A94" s="1681" t="s">
        <v>39</v>
      </c>
      <c r="B94" s="1701" t="s">
        <v>1089</v>
      </c>
      <c r="C94" s="654"/>
      <c r="D94" s="697"/>
      <c r="E94" s="662"/>
      <c r="F94" s="654"/>
      <c r="G94" s="697"/>
      <c r="H94" s="662"/>
      <c r="I94" s="654"/>
      <c r="J94" s="697"/>
      <c r="K94" s="662"/>
      <c r="L94" s="654"/>
      <c r="M94" s="697"/>
      <c r="N94" s="662"/>
      <c r="O94" s="654"/>
      <c r="P94" s="697"/>
      <c r="Q94" s="662"/>
      <c r="R94" s="654"/>
      <c r="S94" s="697"/>
      <c r="T94" s="662"/>
      <c r="U94" s="654"/>
      <c r="V94" s="697"/>
      <c r="W94" s="662"/>
      <c r="X94" s="654"/>
      <c r="Y94" s="697"/>
      <c r="Z94" s="662"/>
      <c r="AA94" s="654"/>
      <c r="AB94" s="697"/>
      <c r="AC94" s="662"/>
      <c r="AD94" s="654"/>
      <c r="AE94" s="697"/>
      <c r="AF94" s="662"/>
      <c r="AG94" s="654"/>
      <c r="AH94" s="697"/>
      <c r="AI94" s="662"/>
      <c r="AJ94" s="654"/>
      <c r="AK94" s="697"/>
      <c r="AL94" s="662"/>
      <c r="AM94" s="654"/>
      <c r="AN94" s="697"/>
      <c r="AO94" s="662"/>
      <c r="AP94" s="654"/>
      <c r="AQ94" s="697"/>
      <c r="AR94" s="662"/>
      <c r="AS94" s="654"/>
      <c r="AT94" s="697"/>
      <c r="AU94" s="662"/>
      <c r="AV94" s="654"/>
      <c r="AW94" s="697"/>
      <c r="AX94" s="662"/>
      <c r="AY94" s="654"/>
      <c r="AZ94" s="697"/>
      <c r="BA94" s="662"/>
      <c r="BB94" s="654"/>
      <c r="BC94" s="697"/>
      <c r="BD94" s="662"/>
      <c r="BE94" s="1784"/>
      <c r="BF94" s="1785"/>
      <c r="BG94" s="1786"/>
      <c r="BH94" s="1784">
        <f t="shared" si="221"/>
        <v>0</v>
      </c>
      <c r="BI94" s="1785">
        <f t="shared" si="221"/>
        <v>0</v>
      </c>
      <c r="BJ94" s="1786">
        <f t="shared" si="221"/>
        <v>0</v>
      </c>
      <c r="BK94" s="654"/>
      <c r="BL94" s="697"/>
      <c r="BM94" s="662"/>
      <c r="BN94" s="654"/>
      <c r="BO94" s="697"/>
      <c r="BP94" s="662"/>
      <c r="BQ94" s="654"/>
      <c r="BR94" s="697"/>
      <c r="BS94" s="662"/>
      <c r="BT94" s="654"/>
      <c r="BU94" s="697"/>
      <c r="BV94" s="662"/>
      <c r="BW94" s="654"/>
      <c r="BX94" s="697"/>
      <c r="BY94" s="662"/>
      <c r="BZ94" s="654"/>
      <c r="CA94" s="697"/>
      <c r="CB94" s="662"/>
      <c r="CC94" s="654"/>
      <c r="CD94" s="697"/>
      <c r="CE94" s="662"/>
      <c r="CF94" s="654"/>
      <c r="CG94" s="697"/>
      <c r="CH94" s="662"/>
      <c r="CI94" s="654"/>
      <c r="CJ94" s="697"/>
      <c r="CK94" s="1969"/>
      <c r="CL94" s="654"/>
      <c r="CM94" s="697"/>
      <c r="CN94" s="662"/>
      <c r="CO94" s="654"/>
      <c r="CP94" s="697"/>
      <c r="CQ94" s="662"/>
      <c r="CR94" s="654"/>
      <c r="CS94" s="697"/>
      <c r="CT94" s="662"/>
      <c r="CU94" s="1708">
        <f t="shared" si="222"/>
        <v>0</v>
      </c>
      <c r="CV94" s="1709">
        <f t="shared" si="223"/>
        <v>0</v>
      </c>
      <c r="CW94" s="1710">
        <f t="shared" si="224"/>
        <v>0</v>
      </c>
      <c r="CX94" s="1708">
        <f t="shared" si="179"/>
        <v>0</v>
      </c>
      <c r="CY94" s="1709">
        <f t="shared" si="225"/>
        <v>0</v>
      </c>
      <c r="CZ94" s="1710">
        <f t="shared" si="225"/>
        <v>0</v>
      </c>
      <c r="DA94" s="654"/>
      <c r="DB94" s="697"/>
      <c r="DC94" s="662"/>
      <c r="DD94" s="654"/>
      <c r="DE94" s="697"/>
      <c r="DF94" s="662"/>
      <c r="DG94" s="1784"/>
      <c r="DH94" s="1785"/>
      <c r="DI94" s="1786"/>
      <c r="DJ94" s="1708">
        <f t="shared" si="193"/>
        <v>0</v>
      </c>
      <c r="DK94" s="1709">
        <f t="shared" si="207"/>
        <v>0</v>
      </c>
      <c r="DL94" s="1710">
        <f t="shared" si="208"/>
        <v>0</v>
      </c>
      <c r="DM94" s="654"/>
      <c r="DN94" s="697"/>
      <c r="DO94" s="662"/>
      <c r="DP94" s="654"/>
      <c r="DQ94" s="697"/>
      <c r="DR94" s="662"/>
      <c r="DS94" s="1708">
        <f t="shared" si="186"/>
        <v>0</v>
      </c>
      <c r="DT94" s="1709">
        <f t="shared" si="187"/>
        <v>0</v>
      </c>
      <c r="DU94" s="1710">
        <f t="shared" si="188"/>
        <v>0</v>
      </c>
      <c r="DV94" s="1794">
        <v>0</v>
      </c>
      <c r="DW94" s="140"/>
      <c r="DX94" s="140"/>
      <c r="DY94" s="140"/>
      <c r="DZ94" s="140"/>
      <c r="EA94" s="140"/>
      <c r="EB94" s="140"/>
      <c r="EC94" s="140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0"/>
      <c r="GN94" s="140"/>
      <c r="GO94" s="140"/>
      <c r="GP94" s="140"/>
      <c r="GQ94" s="140"/>
      <c r="GR94" s="140"/>
      <c r="GS94" s="140"/>
      <c r="GT94" s="140"/>
      <c r="GU94" s="140"/>
      <c r="GV94" s="140"/>
      <c r="GW94" s="140"/>
      <c r="GX94" s="140"/>
      <c r="GY94" s="140"/>
      <c r="GZ94" s="140"/>
      <c r="HA94" s="140"/>
      <c r="HB94" s="140"/>
      <c r="HC94" s="140"/>
      <c r="HD94" s="140"/>
      <c r="HE94" s="140"/>
      <c r="HF94" s="140"/>
      <c r="HG94" s="140"/>
      <c r="HH94" s="140"/>
      <c r="HI94" s="140"/>
      <c r="HJ94" s="140"/>
      <c r="HK94" s="140"/>
      <c r="HL94" s="140"/>
      <c r="HM94" s="140"/>
      <c r="HN94" s="140"/>
      <c r="HO94" s="140"/>
    </row>
    <row r="95" spans="1:237" ht="20.100000000000001" customHeight="1" thickBot="1" x14ac:dyDescent="0.25">
      <c r="A95" s="549"/>
      <c r="B95" s="1704" t="s">
        <v>976</v>
      </c>
      <c r="C95" s="1749">
        <f t="shared" ref="C95:AH95" si="226">C86+C87</f>
        <v>10795</v>
      </c>
      <c r="D95" s="1749">
        <f t="shared" si="226"/>
        <v>227137</v>
      </c>
      <c r="E95" s="1749">
        <f t="shared" si="226"/>
        <v>224251.60399999999</v>
      </c>
      <c r="F95" s="1749">
        <f t="shared" si="226"/>
        <v>1203401</v>
      </c>
      <c r="G95" s="1749">
        <f t="shared" si="226"/>
        <v>1155734</v>
      </c>
      <c r="H95" s="1749">
        <f t="shared" si="226"/>
        <v>1155761.1339999998</v>
      </c>
      <c r="I95" s="1749">
        <f t="shared" si="226"/>
        <v>175476</v>
      </c>
      <c r="J95" s="1749">
        <f t="shared" si="226"/>
        <v>132557</v>
      </c>
      <c r="K95" s="1749">
        <f t="shared" si="226"/>
        <v>180020.72899999999</v>
      </c>
      <c r="L95" s="1749">
        <f t="shared" si="226"/>
        <v>0</v>
      </c>
      <c r="M95" s="1749">
        <f t="shared" si="226"/>
        <v>300</v>
      </c>
      <c r="N95" s="1749">
        <f t="shared" si="226"/>
        <v>600</v>
      </c>
      <c r="O95" s="1749">
        <f t="shared" si="226"/>
        <v>0</v>
      </c>
      <c r="P95" s="1749">
        <f t="shared" si="226"/>
        <v>0</v>
      </c>
      <c r="Q95" s="1749">
        <f t="shared" si="226"/>
        <v>0</v>
      </c>
      <c r="R95" s="1749">
        <f t="shared" si="226"/>
        <v>57806</v>
      </c>
      <c r="S95" s="1749">
        <f t="shared" si="226"/>
        <v>58612</v>
      </c>
      <c r="T95" s="1749">
        <f t="shared" si="226"/>
        <v>57242.440999999999</v>
      </c>
      <c r="U95" s="1749">
        <f t="shared" si="226"/>
        <v>93738</v>
      </c>
      <c r="V95" s="1749">
        <f t="shared" si="226"/>
        <v>165160.611</v>
      </c>
      <c r="W95" s="1749">
        <f t="shared" si="226"/>
        <v>175163.01699999999</v>
      </c>
      <c r="X95" s="1749">
        <f t="shared" si="226"/>
        <v>3044</v>
      </c>
      <c r="Y95" s="1749">
        <f t="shared" si="226"/>
        <v>3043.08</v>
      </c>
      <c r="Z95" s="1749">
        <f t="shared" si="226"/>
        <v>2154.0190000000002</v>
      </c>
      <c r="AA95" s="1749">
        <f t="shared" si="226"/>
        <v>0</v>
      </c>
      <c r="AB95" s="1749">
        <f t="shared" si="226"/>
        <v>0</v>
      </c>
      <c r="AC95" s="1749">
        <f t="shared" si="226"/>
        <v>0</v>
      </c>
      <c r="AD95" s="1749">
        <f t="shared" si="226"/>
        <v>0</v>
      </c>
      <c r="AE95" s="1749">
        <f t="shared" si="226"/>
        <v>0</v>
      </c>
      <c r="AF95" s="1749">
        <f t="shared" si="226"/>
        <v>0</v>
      </c>
      <c r="AG95" s="1749">
        <f t="shared" si="226"/>
        <v>826619</v>
      </c>
      <c r="AH95" s="1749">
        <f t="shared" si="226"/>
        <v>830359</v>
      </c>
      <c r="AI95" s="1749">
        <f t="shared" ref="AI95:BG95" si="227">AI86+AI87</f>
        <v>958053.31400000001</v>
      </c>
      <c r="AJ95" s="1749">
        <f t="shared" si="227"/>
        <v>7785486</v>
      </c>
      <c r="AK95" s="1749">
        <f t="shared" si="227"/>
        <v>7785486</v>
      </c>
      <c r="AL95" s="1749">
        <f t="shared" si="227"/>
        <v>8139946.705000001</v>
      </c>
      <c r="AM95" s="1749">
        <f t="shared" si="227"/>
        <v>0</v>
      </c>
      <c r="AN95" s="1749">
        <f t="shared" si="227"/>
        <v>31900.55</v>
      </c>
      <c r="AO95" s="1749">
        <f t="shared" si="227"/>
        <v>31900.55</v>
      </c>
      <c r="AP95" s="1749">
        <f t="shared" si="227"/>
        <v>0</v>
      </c>
      <c r="AQ95" s="1749">
        <f t="shared" si="227"/>
        <v>1051</v>
      </c>
      <c r="AR95" s="1749">
        <f t="shared" si="227"/>
        <v>1051.105</v>
      </c>
      <c r="AS95" s="1749">
        <f t="shared" si="227"/>
        <v>0</v>
      </c>
      <c r="AT95" s="1749">
        <f t="shared" si="227"/>
        <v>136</v>
      </c>
      <c r="AU95" s="1749">
        <f t="shared" si="227"/>
        <v>135.666</v>
      </c>
      <c r="AV95" s="1749">
        <f t="shared" si="227"/>
        <v>343607</v>
      </c>
      <c r="AW95" s="1749">
        <f t="shared" si="227"/>
        <v>343607</v>
      </c>
      <c r="AX95" s="1749">
        <f t="shared" si="227"/>
        <v>341118.46900000004</v>
      </c>
      <c r="AY95" s="1749">
        <f t="shared" si="227"/>
        <v>0</v>
      </c>
      <c r="AZ95" s="1749">
        <f t="shared" si="227"/>
        <v>267</v>
      </c>
      <c r="BA95" s="1749">
        <f t="shared" si="227"/>
        <v>465.24400000000003</v>
      </c>
      <c r="BB95" s="1749">
        <f t="shared" si="227"/>
        <v>3874533.682</v>
      </c>
      <c r="BC95" s="1749">
        <f t="shared" si="227"/>
        <v>6605342.8719999995</v>
      </c>
      <c r="BD95" s="1749">
        <f t="shared" si="227"/>
        <v>6499421.6109999996</v>
      </c>
      <c r="BE95" s="1749">
        <f t="shared" si="227"/>
        <v>1906029</v>
      </c>
      <c r="BF95" s="1749">
        <f t="shared" si="227"/>
        <v>9895092.6349999998</v>
      </c>
      <c r="BG95" s="1749">
        <f t="shared" si="227"/>
        <v>8762752.7679999992</v>
      </c>
      <c r="BH95" s="661">
        <f t="shared" si="221"/>
        <v>16280534.682</v>
      </c>
      <c r="BI95" s="704">
        <f t="shared" si="221"/>
        <v>27235785.747999996</v>
      </c>
      <c r="BJ95" s="669">
        <f t="shared" si="221"/>
        <v>26530038.376000002</v>
      </c>
      <c r="BK95" s="1749">
        <f t="shared" ref="BK95:CQ95" si="228">BK86+BK87</f>
        <v>0</v>
      </c>
      <c r="BL95" s="1749">
        <f t="shared" si="228"/>
        <v>0</v>
      </c>
      <c r="BM95" s="1749">
        <f t="shared" si="228"/>
        <v>0</v>
      </c>
      <c r="BN95" s="1749">
        <f t="shared" si="228"/>
        <v>1000</v>
      </c>
      <c r="BO95" s="1749">
        <f t="shared" si="228"/>
        <v>1000</v>
      </c>
      <c r="BP95" s="1749">
        <f t="shared" si="228"/>
        <v>635</v>
      </c>
      <c r="BQ95" s="1749">
        <f t="shared" si="228"/>
        <v>0</v>
      </c>
      <c r="BR95" s="1749">
        <f t="shared" si="228"/>
        <v>0</v>
      </c>
      <c r="BS95" s="1749">
        <f t="shared" si="228"/>
        <v>0</v>
      </c>
      <c r="BT95" s="1749">
        <f t="shared" si="228"/>
        <v>0</v>
      </c>
      <c r="BU95" s="1749">
        <f t="shared" si="228"/>
        <v>0</v>
      </c>
      <c r="BV95" s="1749">
        <f t="shared" si="228"/>
        <v>0</v>
      </c>
      <c r="BW95" s="1749">
        <f t="shared" si="228"/>
        <v>0</v>
      </c>
      <c r="BX95" s="1749">
        <f t="shared" si="228"/>
        <v>0</v>
      </c>
      <c r="BY95" s="1749">
        <f t="shared" si="228"/>
        <v>0</v>
      </c>
      <c r="BZ95" s="1749">
        <f t="shared" si="228"/>
        <v>1270</v>
      </c>
      <c r="CA95" s="1749">
        <f t="shared" si="228"/>
        <v>1270</v>
      </c>
      <c r="CB95" s="1749">
        <f t="shared" si="228"/>
        <v>7378.085</v>
      </c>
      <c r="CC95" s="1749">
        <f t="shared" si="228"/>
        <v>400.31799999999998</v>
      </c>
      <c r="CD95" s="1749">
        <f t="shared" si="228"/>
        <v>400.31799999999998</v>
      </c>
      <c r="CE95" s="1749">
        <f t="shared" si="228"/>
        <v>1065.663</v>
      </c>
      <c r="CF95" s="1749">
        <f t="shared" si="228"/>
        <v>0</v>
      </c>
      <c r="CG95" s="1749">
        <f t="shared" si="228"/>
        <v>0</v>
      </c>
      <c r="CH95" s="1749">
        <f t="shared" si="228"/>
        <v>0</v>
      </c>
      <c r="CI95" s="1749">
        <f t="shared" si="228"/>
        <v>16300</v>
      </c>
      <c r="CJ95" s="1749">
        <f t="shared" si="228"/>
        <v>36584.593999999997</v>
      </c>
      <c r="CK95" s="1992">
        <f t="shared" si="228"/>
        <v>31247.263999999999</v>
      </c>
      <c r="CL95" s="661">
        <f t="shared" si="228"/>
        <v>179217</v>
      </c>
      <c r="CM95" s="704">
        <f t="shared" si="228"/>
        <v>179217</v>
      </c>
      <c r="CN95" s="669">
        <f t="shared" si="228"/>
        <v>138937.878</v>
      </c>
      <c r="CO95" s="661">
        <f t="shared" si="228"/>
        <v>150245</v>
      </c>
      <c r="CP95" s="704">
        <f t="shared" si="228"/>
        <v>150245</v>
      </c>
      <c r="CQ95" s="669">
        <f t="shared" si="228"/>
        <v>75448.956000000006</v>
      </c>
      <c r="CR95" s="2061">
        <f t="shared" ref="CR95:CT95" si="229">CR86+CR87</f>
        <v>0</v>
      </c>
      <c r="CS95" s="2061">
        <f t="shared" si="229"/>
        <v>0</v>
      </c>
      <c r="CT95" s="1749">
        <f t="shared" si="229"/>
        <v>0</v>
      </c>
      <c r="CU95" s="661">
        <f t="shared" ref="CU95" si="230">BK95+BN95+BQ95+BT95+BW95+BZ95+CC95+CF95+CI95+CL95+CO95</f>
        <v>348432.31799999997</v>
      </c>
      <c r="CV95" s="704">
        <f t="shared" ref="CV95" si="231">BL95+BO95+BR95+BU95+BX95+CA95+CD95+CG95+CJ95+CM95+CP95</f>
        <v>368716.91200000001</v>
      </c>
      <c r="CW95" s="669">
        <f t="shared" ref="CW95" si="232">BM95+BP95+BS95+BV95+BY95+CB95+CE95+CH95+CK95+CN95+CQ95</f>
        <v>254712.84600000002</v>
      </c>
      <c r="CX95" s="2058">
        <f t="shared" si="179"/>
        <v>16628967</v>
      </c>
      <c r="CY95" s="2059">
        <f t="shared" si="225"/>
        <v>27604502.659999996</v>
      </c>
      <c r="CZ95" s="2060">
        <f t="shared" si="225"/>
        <v>26784751.222000003</v>
      </c>
      <c r="DA95" s="1749">
        <f t="shared" ref="DA95:DH95" si="233">DA86+DA87</f>
        <v>3328</v>
      </c>
      <c r="DB95" s="1749">
        <f t="shared" si="233"/>
        <v>2099</v>
      </c>
      <c r="DC95" s="1749">
        <f t="shared" si="233"/>
        <v>1856.5930000000001</v>
      </c>
      <c r="DD95" s="1749">
        <f t="shared" si="233"/>
        <v>0</v>
      </c>
      <c r="DE95" s="1749">
        <f t="shared" si="233"/>
        <v>0</v>
      </c>
      <c r="DF95" s="1749">
        <f t="shared" si="233"/>
        <v>0</v>
      </c>
      <c r="DG95" s="1749">
        <f t="shared" si="233"/>
        <v>106708</v>
      </c>
      <c r="DH95" s="1749">
        <f t="shared" si="233"/>
        <v>352912.402</v>
      </c>
      <c r="DI95" s="1749">
        <f>DI86+DI87</f>
        <v>352911.99200000003</v>
      </c>
      <c r="DJ95" s="2058">
        <f>DA95+DD95+DG95</f>
        <v>110036</v>
      </c>
      <c r="DK95" s="2059">
        <f t="shared" si="207"/>
        <v>355011.402</v>
      </c>
      <c r="DL95" s="2060">
        <f t="shared" si="208"/>
        <v>354768.58500000002</v>
      </c>
      <c r="DM95" s="1749">
        <f t="shared" ref="DM95:DR95" si="234">DM86+DM87</f>
        <v>121711</v>
      </c>
      <c r="DN95" s="1749">
        <f t="shared" si="234"/>
        <v>168315.56899999999</v>
      </c>
      <c r="DO95" s="1749">
        <f>DO86+DO87</f>
        <v>177591.71500000003</v>
      </c>
      <c r="DP95" s="1749">
        <f t="shared" si="234"/>
        <v>1431565.3399999999</v>
      </c>
      <c r="DQ95" s="1749">
        <f t="shared" si="234"/>
        <v>1484487.9470000002</v>
      </c>
      <c r="DR95" s="1749">
        <f t="shared" si="234"/>
        <v>1482250.55</v>
      </c>
      <c r="DS95" s="661">
        <f t="shared" si="186"/>
        <v>18292279.34</v>
      </c>
      <c r="DT95" s="704">
        <f t="shared" si="187"/>
        <v>29612317.577999994</v>
      </c>
      <c r="DU95" s="669">
        <f t="shared" si="188"/>
        <v>28799362.072000004</v>
      </c>
      <c r="DV95" s="1796">
        <f>DU95/DT95*100</f>
        <v>97.254671121709293</v>
      </c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0"/>
      <c r="GN95" s="140"/>
      <c r="GO95" s="140"/>
      <c r="GP95" s="140"/>
      <c r="GQ95" s="140"/>
      <c r="GR95" s="140"/>
      <c r="GS95" s="140"/>
      <c r="GT95" s="140"/>
      <c r="GU95" s="140"/>
      <c r="GV95" s="140"/>
      <c r="GW95" s="140"/>
      <c r="GX95" s="140"/>
      <c r="GY95" s="140"/>
      <c r="GZ95" s="140"/>
      <c r="HA95" s="140"/>
      <c r="HB95" s="140"/>
      <c r="HC95" s="140"/>
      <c r="HD95" s="140"/>
      <c r="HE95" s="140"/>
      <c r="HF95" s="140"/>
      <c r="HG95" s="140"/>
      <c r="HH95" s="140"/>
      <c r="HI95" s="140"/>
      <c r="HJ95" s="140"/>
      <c r="HK95" s="140"/>
      <c r="HL95" s="140"/>
      <c r="HM95" s="140"/>
      <c r="HN95" s="140"/>
      <c r="HO95" s="140"/>
    </row>
    <row r="96" spans="1:237" x14ac:dyDescent="0.2">
      <c r="CX96" s="138">
        <f>DS96</f>
        <v>0</v>
      </c>
      <c r="CY96" s="138">
        <f>DT96</f>
        <v>0</v>
      </c>
      <c r="CZ96" s="138"/>
      <c r="DA96" s="137"/>
      <c r="DB96" s="137"/>
      <c r="DC96" s="137"/>
      <c r="DD96" s="137"/>
      <c r="DE96" s="137"/>
      <c r="DF96" s="137"/>
      <c r="DG96" s="137"/>
      <c r="DH96" s="137"/>
      <c r="DI96" s="137"/>
      <c r="DJ96" s="137"/>
      <c r="DK96" s="137"/>
      <c r="DL96" s="137"/>
      <c r="DM96" s="137"/>
      <c r="DN96" s="137"/>
      <c r="DO96" s="138"/>
      <c r="DP96" s="137"/>
      <c r="DQ96" s="137"/>
      <c r="DR96" s="137"/>
      <c r="DS96" s="139"/>
      <c r="DT96" s="139"/>
      <c r="DU96" s="139"/>
      <c r="DV96" s="621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0"/>
      <c r="FB96" s="140"/>
      <c r="FC96" s="140"/>
      <c r="FD96" s="140"/>
      <c r="FE96" s="140"/>
      <c r="FF96" s="140"/>
      <c r="FG96" s="14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0"/>
      <c r="GN96" s="140"/>
      <c r="GO96" s="140"/>
      <c r="GP96" s="140"/>
      <c r="GQ96" s="140"/>
      <c r="GR96" s="140"/>
      <c r="GS96" s="140"/>
      <c r="GT96" s="140"/>
      <c r="GU96" s="140"/>
      <c r="GV96" s="140"/>
      <c r="GW96" s="140"/>
      <c r="GX96" s="140"/>
      <c r="GY96" s="140"/>
      <c r="GZ96" s="140"/>
      <c r="HA96" s="140"/>
      <c r="HB96" s="140"/>
      <c r="HC96" s="140"/>
      <c r="HD96" s="140"/>
      <c r="HE96" s="140"/>
      <c r="HF96" s="140"/>
      <c r="HG96" s="140"/>
      <c r="HH96" s="140"/>
      <c r="HI96" s="140"/>
      <c r="HJ96" s="140"/>
      <c r="HK96" s="140"/>
      <c r="HL96" s="140"/>
      <c r="HM96" s="140"/>
      <c r="HN96" s="140"/>
      <c r="HO96" s="140"/>
    </row>
    <row r="97" spans="102:223" x14ac:dyDescent="0.2">
      <c r="CX97" s="141"/>
      <c r="CY97" s="141"/>
      <c r="CZ97" s="141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1"/>
      <c r="DP97" s="140"/>
      <c r="DQ97" s="140"/>
      <c r="DR97" s="140"/>
      <c r="DS97" s="142"/>
      <c r="DT97" s="142"/>
      <c r="DU97" s="142"/>
      <c r="DV97" s="622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0"/>
      <c r="EZ97" s="140"/>
      <c r="FA97" s="140"/>
      <c r="FB97" s="140"/>
      <c r="FC97" s="140"/>
      <c r="FD97" s="140"/>
      <c r="FE97" s="140"/>
      <c r="FF97" s="140"/>
      <c r="FG97" s="14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0"/>
      <c r="GD97" s="140"/>
      <c r="GE97" s="140"/>
      <c r="GF97" s="140"/>
      <c r="GG97" s="140"/>
      <c r="GH97" s="140"/>
      <c r="GI97" s="140"/>
      <c r="GJ97" s="140"/>
      <c r="GK97" s="140"/>
      <c r="GL97" s="140"/>
      <c r="GM97" s="140"/>
      <c r="GN97" s="140"/>
      <c r="GO97" s="140"/>
      <c r="GP97" s="140"/>
      <c r="GQ97" s="140"/>
      <c r="GR97" s="140"/>
      <c r="GS97" s="140"/>
      <c r="GT97" s="140"/>
      <c r="GU97" s="140"/>
      <c r="GV97" s="140"/>
      <c r="GW97" s="140"/>
      <c r="GX97" s="140"/>
      <c r="GY97" s="140"/>
      <c r="GZ97" s="140"/>
      <c r="HA97" s="140"/>
      <c r="HB97" s="140"/>
      <c r="HC97" s="140"/>
      <c r="HD97" s="140"/>
      <c r="HE97" s="140"/>
      <c r="HF97" s="140"/>
      <c r="HG97" s="140"/>
      <c r="HH97" s="140"/>
      <c r="HI97" s="140"/>
      <c r="HJ97" s="140"/>
      <c r="HK97" s="140"/>
      <c r="HL97" s="140"/>
      <c r="HM97" s="140"/>
      <c r="HN97" s="140"/>
      <c r="HO97" s="140"/>
    </row>
    <row r="98" spans="102:223" x14ac:dyDescent="0.2">
      <c r="DU98" s="132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0"/>
      <c r="EZ98" s="140"/>
      <c r="FA98" s="140"/>
      <c r="FB98" s="140"/>
      <c r="FC98" s="140"/>
      <c r="FD98" s="140"/>
      <c r="FE98" s="140"/>
      <c r="FF98" s="140"/>
      <c r="FG98" s="14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  <c r="FZ98" s="140"/>
      <c r="GA98" s="140"/>
      <c r="GB98" s="140"/>
      <c r="GC98" s="140"/>
      <c r="GD98" s="140"/>
      <c r="GE98" s="140"/>
      <c r="GF98" s="140"/>
      <c r="GG98" s="140"/>
      <c r="GH98" s="140"/>
      <c r="GI98" s="140"/>
      <c r="GJ98" s="140"/>
      <c r="GK98" s="140"/>
      <c r="GL98" s="140"/>
      <c r="GM98" s="140"/>
      <c r="GN98" s="140"/>
      <c r="GO98" s="140"/>
      <c r="GP98" s="140"/>
      <c r="GQ98" s="140"/>
      <c r="GR98" s="140"/>
      <c r="GS98" s="140"/>
      <c r="GT98" s="140"/>
      <c r="GU98" s="140"/>
      <c r="GV98" s="140"/>
      <c r="GW98" s="140"/>
      <c r="GX98" s="140"/>
      <c r="GY98" s="140"/>
      <c r="GZ98" s="140"/>
      <c r="HA98" s="140"/>
      <c r="HB98" s="140"/>
      <c r="HC98" s="140"/>
      <c r="HD98" s="140"/>
      <c r="HE98" s="140"/>
      <c r="HF98" s="140"/>
      <c r="HG98" s="140"/>
      <c r="HH98" s="140"/>
      <c r="HI98" s="140"/>
      <c r="HJ98" s="140"/>
      <c r="HK98" s="140"/>
      <c r="HL98" s="140"/>
      <c r="HM98" s="140"/>
      <c r="HN98" s="140"/>
      <c r="HO98" s="140"/>
    </row>
    <row r="99" spans="102:223" x14ac:dyDescent="0.2">
      <c r="DR99" s="132"/>
      <c r="DU99" s="132"/>
      <c r="DW99" s="140"/>
      <c r="DX99" s="140"/>
      <c r="DY99" s="140"/>
      <c r="DZ99" s="140"/>
      <c r="EA99" s="140"/>
      <c r="EB99" s="140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0"/>
      <c r="EZ99" s="140"/>
      <c r="FA99" s="140"/>
      <c r="FB99" s="140"/>
      <c r="FC99" s="140"/>
      <c r="FD99" s="140"/>
      <c r="FE99" s="140"/>
      <c r="FF99" s="140"/>
      <c r="FG99" s="14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0"/>
      <c r="FV99" s="140"/>
      <c r="FW99" s="140"/>
      <c r="FX99" s="140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0"/>
      <c r="GN99" s="140"/>
      <c r="GO99" s="140"/>
      <c r="GP99" s="140"/>
      <c r="GQ99" s="140"/>
      <c r="GR99" s="140"/>
      <c r="GS99" s="140"/>
      <c r="GT99" s="140"/>
      <c r="GU99" s="140"/>
      <c r="GV99" s="140"/>
      <c r="GW99" s="140"/>
      <c r="GX99" s="140"/>
      <c r="GY99" s="140"/>
      <c r="GZ99" s="140"/>
      <c r="HA99" s="140"/>
      <c r="HB99" s="140"/>
      <c r="HC99" s="140"/>
      <c r="HD99" s="140"/>
      <c r="HE99" s="140"/>
      <c r="HF99" s="140"/>
      <c r="HG99" s="140"/>
      <c r="HH99" s="140"/>
      <c r="HI99" s="140"/>
      <c r="HJ99" s="140"/>
      <c r="HK99" s="140"/>
      <c r="HL99" s="140"/>
      <c r="HM99" s="140"/>
      <c r="HN99" s="140"/>
      <c r="HO99" s="140"/>
    </row>
    <row r="100" spans="102:223" ht="12.75" customHeight="1" x14ac:dyDescent="0.2">
      <c r="CX100" s="132"/>
      <c r="CY100" s="132"/>
      <c r="CZ100" s="132"/>
      <c r="DO100" s="132"/>
      <c r="DU100" s="132"/>
      <c r="DW100" s="140"/>
      <c r="DX100" s="140"/>
      <c r="DY100" s="140"/>
      <c r="DZ100" s="140"/>
      <c r="EA100" s="140"/>
      <c r="EB100" s="140"/>
      <c r="EC100" s="140"/>
      <c r="ED100" s="140"/>
    </row>
    <row r="101" spans="102:223" x14ac:dyDescent="0.2">
      <c r="DO101" s="132"/>
      <c r="DR101" s="132"/>
      <c r="DU101" s="122"/>
      <c r="DW101" s="140"/>
      <c r="DX101" s="140"/>
      <c r="DY101" s="140"/>
      <c r="DZ101" s="140"/>
      <c r="EA101" s="140"/>
      <c r="EB101" s="140"/>
      <c r="EC101" s="140"/>
      <c r="ED101" s="140"/>
    </row>
    <row r="102" spans="102:223" x14ac:dyDescent="0.2">
      <c r="DO102" s="132"/>
      <c r="DW102" s="140"/>
      <c r="DX102" s="140"/>
      <c r="DY102" s="140"/>
      <c r="DZ102" s="140"/>
      <c r="EA102" s="140"/>
      <c r="EB102" s="140"/>
      <c r="EC102" s="140"/>
      <c r="ED102" s="140"/>
    </row>
    <row r="103" spans="102:223" x14ac:dyDescent="0.2">
      <c r="DO103" s="132"/>
      <c r="DW103" s="140"/>
      <c r="DX103" s="140"/>
      <c r="DY103" s="140"/>
      <c r="DZ103" s="140"/>
      <c r="EA103" s="140"/>
      <c r="EB103" s="140"/>
      <c r="EC103" s="140"/>
      <c r="ED103" s="140"/>
    </row>
    <row r="104" spans="102:223" x14ac:dyDescent="0.2">
      <c r="DK104" s="132"/>
    </row>
    <row r="107" spans="102:223" x14ac:dyDescent="0.2">
      <c r="DQ107" s="132"/>
    </row>
    <row r="108" spans="102:223" x14ac:dyDescent="0.2">
      <c r="DO108" s="132"/>
    </row>
    <row r="110" spans="102:223" x14ac:dyDescent="0.2">
      <c r="DO110" s="132"/>
    </row>
  </sheetData>
  <mergeCells count="112">
    <mergeCell ref="CF10:CG10"/>
    <mergeCell ref="CU10:CV10"/>
    <mergeCell ref="CI10:CJ10"/>
    <mergeCell ref="BT10:BU10"/>
    <mergeCell ref="BW10:BX10"/>
    <mergeCell ref="CC10:CD10"/>
    <mergeCell ref="BZ10:CA10"/>
    <mergeCell ref="DS10:DT10"/>
    <mergeCell ref="CX10:CY10"/>
    <mergeCell ref="DA10:DB10"/>
    <mergeCell ref="DG10:DH10"/>
    <mergeCell ref="DP10:DQ10"/>
    <mergeCell ref="DJ10:DK10"/>
    <mergeCell ref="DM10:DN10"/>
    <mergeCell ref="DD10:DE10"/>
    <mergeCell ref="CL10:CM10"/>
    <mergeCell ref="CO10:CP10"/>
    <mergeCell ref="CR10:CS10"/>
    <mergeCell ref="BH10:BI10"/>
    <mergeCell ref="AS10:AT10"/>
    <mergeCell ref="AG7:AI7"/>
    <mergeCell ref="X7:Z7"/>
    <mergeCell ref="X8:Z8"/>
    <mergeCell ref="AD7:AF7"/>
    <mergeCell ref="AD10:AE10"/>
    <mergeCell ref="AG10:AH10"/>
    <mergeCell ref="O10:P10"/>
    <mergeCell ref="R10:S10"/>
    <mergeCell ref="U8:W8"/>
    <mergeCell ref="R8:T8"/>
    <mergeCell ref="C10:D10"/>
    <mergeCell ref="F10:G10"/>
    <mergeCell ref="I10:J10"/>
    <mergeCell ref="L10:M10"/>
    <mergeCell ref="AP10:AQ10"/>
    <mergeCell ref="U10:V10"/>
    <mergeCell ref="AJ10:AK10"/>
    <mergeCell ref="AM10:AN10"/>
    <mergeCell ref="AV10:AW10"/>
    <mergeCell ref="AA10:AB10"/>
    <mergeCell ref="X10:Y10"/>
    <mergeCell ref="CU7:CW7"/>
    <mergeCell ref="CI7:CK7"/>
    <mergeCell ref="BB7:BD7"/>
    <mergeCell ref="BW7:BY7"/>
    <mergeCell ref="BZ7:CB7"/>
    <mergeCell ref="CC7:CE7"/>
    <mergeCell ref="CF7:CH7"/>
    <mergeCell ref="U7:W7"/>
    <mergeCell ref="BH8:BJ8"/>
    <mergeCell ref="BB8:BD8"/>
    <mergeCell ref="BH7:BJ7"/>
    <mergeCell ref="BN7:BP7"/>
    <mergeCell ref="CL7:CN7"/>
    <mergeCell ref="CL8:CN8"/>
    <mergeCell ref="CO7:CQ7"/>
    <mergeCell ref="CO8:CQ8"/>
    <mergeCell ref="CR7:CT7"/>
    <mergeCell ref="CR8:CT8"/>
    <mergeCell ref="BN10:BO10"/>
    <mergeCell ref="AV7:AX7"/>
    <mergeCell ref="AY10:AZ10"/>
    <mergeCell ref="BB10:BC10"/>
    <mergeCell ref="BK10:BL10"/>
    <mergeCell ref="C7:E7"/>
    <mergeCell ref="C8:E8"/>
    <mergeCell ref="DM7:DO7"/>
    <mergeCell ref="DM8:DO8"/>
    <mergeCell ref="DJ7:DL7"/>
    <mergeCell ref="DJ8:DL8"/>
    <mergeCell ref="AY7:BA7"/>
    <mergeCell ref="BK7:BM7"/>
    <mergeCell ref="CI8:CK8"/>
    <mergeCell ref="CU8:CW8"/>
    <mergeCell ref="F7:H7"/>
    <mergeCell ref="L7:N7"/>
    <mergeCell ref="AA7:AC7"/>
    <mergeCell ref="BE7:BG7"/>
    <mergeCell ref="O7:Q7"/>
    <mergeCell ref="AP7:AR7"/>
    <mergeCell ref="AJ7:AL7"/>
    <mergeCell ref="R7:T7"/>
    <mergeCell ref="AM7:AO7"/>
    <mergeCell ref="DS8:DU8"/>
    <mergeCell ref="DS7:DU7"/>
    <mergeCell ref="CX7:CZ7"/>
    <mergeCell ref="DG7:DI7"/>
    <mergeCell ref="DG8:DI8"/>
    <mergeCell ref="DA7:DC7"/>
    <mergeCell ref="CX8:CZ8"/>
    <mergeCell ref="DA8:DC8"/>
    <mergeCell ref="DP8:DR8"/>
    <mergeCell ref="DD7:DF7"/>
    <mergeCell ref="DD8:DF8"/>
    <mergeCell ref="DP7:DR7"/>
    <mergeCell ref="L8:N8"/>
    <mergeCell ref="AA8:AC8"/>
    <mergeCell ref="BK8:BM8"/>
    <mergeCell ref="BN8:BP8"/>
    <mergeCell ref="BZ8:CB8"/>
    <mergeCell ref="CC8:CE8"/>
    <mergeCell ref="CF8:CH8"/>
    <mergeCell ref="AV8:AX8"/>
    <mergeCell ref="AS7:AU7"/>
    <mergeCell ref="AD8:AF8"/>
    <mergeCell ref="AJ8:AL8"/>
    <mergeCell ref="O8:Q8"/>
    <mergeCell ref="BE8:BG8"/>
    <mergeCell ref="AM8:AO8"/>
    <mergeCell ref="BT7:BV7"/>
    <mergeCell ref="BQ8:BS8"/>
    <mergeCell ref="BQ7:BS7"/>
  </mergeCells>
  <phoneticPr fontId="0" type="noConversion"/>
  <printOptions horizontalCentered="1" verticalCentered="1"/>
  <pageMargins left="0.19685039370078741" right="0.19685039370078741" top="0.94488188976377963" bottom="0.23622047244094491" header="0.47244094488188981" footer="0.11811023622047245"/>
  <pageSetup paperSize="9" scale="64" orientation="portrait" r:id="rId1"/>
  <headerFooter alignWithMargins="0">
    <oddHeader>&amp;C&amp;"Times New Roman,Félkövér"&amp;14Budapest Főváros II. Kerületi Önkormányzat 
2017. évi bevételi előirányzatai és teljesítései feladatonkénti bontásban&amp;12
(eFt)&amp;R&amp;"Times New Roman,Normál"5.sz. tábla  &amp;P. o.</oddHeader>
  </headerFooter>
  <rowBreaks count="1" manualBreakCount="1">
    <brk id="95" max="125" man="1"/>
  </rowBreaks>
  <colBreaks count="12" manualBreakCount="12">
    <brk id="11" min="1" max="98" man="1"/>
    <brk id="20" min="1" max="98" man="1"/>
    <brk id="29" min="1" max="102" man="1"/>
    <brk id="38" min="1" max="101" man="1"/>
    <brk id="47" min="1" max="98" man="1"/>
    <brk id="56" min="1" max="98" man="1"/>
    <brk id="65" min="1" max="98" man="1"/>
    <brk id="74" min="1" max="98" man="1"/>
    <brk id="83" min="1" max="98" man="1"/>
    <brk id="92" min="1" max="94" man="1"/>
    <brk id="101" min="1" max="98" man="1"/>
    <brk id="116" min="1" max="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zoomScale="110" zoomScaleNormal="110" workbookViewId="0">
      <pane xSplit="4" ySplit="17" topLeftCell="E36" activePane="bottomRight" state="frozen"/>
      <selection activeCell="V58" sqref="V58"/>
      <selection pane="topRight" activeCell="V58" sqref="V58"/>
      <selection pane="bottomLeft" activeCell="V58" sqref="V58"/>
      <selection pane="bottomRight" activeCell="Q1" sqref="Q1"/>
    </sheetView>
  </sheetViews>
  <sheetFormatPr defaultRowHeight="12.75" x14ac:dyDescent="0.2"/>
  <cols>
    <col min="1" max="1" width="3.85546875" style="881" customWidth="1"/>
    <col min="2" max="2" width="30.7109375" style="881" customWidth="1"/>
    <col min="3" max="15" width="10.7109375" style="881" customWidth="1"/>
    <col min="16" max="16" width="7.7109375" style="881" customWidth="1"/>
    <col min="17" max="17" width="8.140625" style="881" customWidth="1"/>
    <col min="18" max="18" width="8.7109375" style="881" customWidth="1"/>
    <col min="19" max="19" width="7" style="881" customWidth="1"/>
    <col min="20" max="20" width="12.7109375" style="881" customWidth="1"/>
    <col min="21" max="16384" width="9.140625" style="881"/>
  </cols>
  <sheetData>
    <row r="1" spans="1:19" x14ac:dyDescent="0.2">
      <c r="O1" s="882"/>
      <c r="P1" s="882"/>
      <c r="Q1" s="1894" t="s">
        <v>1285</v>
      </c>
    </row>
    <row r="2" spans="1:19" x14ac:dyDescent="0.2">
      <c r="O2" s="882"/>
      <c r="P2" s="882"/>
      <c r="Q2" s="1894" t="s">
        <v>57</v>
      </c>
    </row>
    <row r="3" spans="1:19" x14ac:dyDescent="0.2">
      <c r="O3" s="882"/>
      <c r="P3" s="882"/>
      <c r="Q3" s="545"/>
    </row>
    <row r="4" spans="1:19" x14ac:dyDescent="0.2">
      <c r="A4" s="2314" t="s">
        <v>1286</v>
      </c>
      <c r="B4" s="2314"/>
      <c r="C4" s="2314"/>
      <c r="D4" s="2314"/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4"/>
      <c r="Q4" s="2314"/>
    </row>
    <row r="5" spans="1:19" hidden="1" x14ac:dyDescent="0.2">
      <c r="A5" s="883"/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5"/>
    </row>
    <row r="6" spans="1:19" x14ac:dyDescent="0.2">
      <c r="A6" s="883"/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5"/>
    </row>
    <row r="7" spans="1:19" x14ac:dyDescent="0.2">
      <c r="A7" s="883"/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  <c r="M7" s="884"/>
      <c r="N7" s="884"/>
      <c r="O7" s="886"/>
      <c r="P7" s="884"/>
      <c r="Q7" s="884"/>
      <c r="R7" s="884"/>
      <c r="S7" s="885"/>
    </row>
    <row r="8" spans="1:19" ht="13.5" thickBot="1" x14ac:dyDescent="0.25">
      <c r="A8" s="883"/>
      <c r="B8" s="884"/>
      <c r="C8" s="884"/>
      <c r="D8" s="884"/>
      <c r="E8" s="884"/>
      <c r="F8" s="884"/>
      <c r="G8" s="2069"/>
      <c r="H8" s="884"/>
      <c r="I8" s="884"/>
      <c r="J8" s="884"/>
      <c r="K8" s="884"/>
      <c r="L8" s="884"/>
      <c r="M8" s="884"/>
      <c r="N8" s="884"/>
      <c r="O8" s="1299" t="s">
        <v>663</v>
      </c>
      <c r="P8" s="884"/>
      <c r="Q8" s="884"/>
      <c r="R8" s="884"/>
      <c r="S8" s="885"/>
    </row>
    <row r="9" spans="1:19" ht="13.5" thickBot="1" x14ac:dyDescent="0.25">
      <c r="A9" s="1815"/>
      <c r="B9" s="1345"/>
      <c r="C9" s="1816"/>
      <c r="D9" s="1816"/>
      <c r="E9" s="1816"/>
      <c r="F9" s="2315" t="s">
        <v>524</v>
      </c>
      <c r="G9" s="2315"/>
      <c r="H9" s="2315"/>
      <c r="I9" s="2315"/>
      <c r="J9" s="2315"/>
      <c r="K9" s="2315"/>
      <c r="L9" s="2315"/>
      <c r="M9" s="2315"/>
      <c r="N9" s="1302" t="s">
        <v>534</v>
      </c>
      <c r="O9" s="1303"/>
      <c r="P9" s="2073"/>
      <c r="Q9" s="1304"/>
    </row>
    <row r="10" spans="1:19" ht="13.5" thickBot="1" x14ac:dyDescent="0.25">
      <c r="A10" s="1817"/>
      <c r="B10" s="1305"/>
      <c r="C10" s="1817"/>
      <c r="D10" s="1817"/>
      <c r="E10" s="1817"/>
      <c r="F10" s="2316" t="s">
        <v>715</v>
      </c>
      <c r="G10" s="2316"/>
      <c r="H10" s="2316"/>
      <c r="I10" s="2316"/>
      <c r="J10" s="2316"/>
      <c r="K10" s="2317" t="s">
        <v>64</v>
      </c>
      <c r="L10" s="2316"/>
      <c r="M10" s="2316"/>
      <c r="N10" s="1307"/>
      <c r="O10" s="1301"/>
      <c r="P10" s="1344"/>
      <c r="Q10" s="1308"/>
    </row>
    <row r="11" spans="1:19" ht="12.75" customHeight="1" x14ac:dyDescent="0.2">
      <c r="A11" s="1818"/>
      <c r="B11" s="1968"/>
      <c r="C11" s="1819" t="s">
        <v>158</v>
      </c>
      <c r="D11" s="1819" t="s">
        <v>1287</v>
      </c>
      <c r="E11" s="1819" t="s">
        <v>223</v>
      </c>
      <c r="F11" s="889"/>
      <c r="G11" s="1309" t="s">
        <v>635</v>
      </c>
      <c r="H11" s="1309"/>
      <c r="I11" s="1310"/>
      <c r="J11" s="1309"/>
      <c r="K11" s="1305"/>
      <c r="L11" s="1311"/>
      <c r="M11" s="1309"/>
      <c r="N11" s="1312"/>
      <c r="O11" s="1313"/>
      <c r="P11" s="2318"/>
      <c r="Q11" s="2319"/>
    </row>
    <row r="12" spans="1:19" ht="13.5" thickBot="1" x14ac:dyDescent="0.25">
      <c r="A12" s="1818"/>
      <c r="B12" s="1350" t="s">
        <v>1033</v>
      </c>
      <c r="C12" s="1819" t="s">
        <v>8</v>
      </c>
      <c r="D12" s="1819" t="s">
        <v>8</v>
      </c>
      <c r="E12" s="1819" t="s">
        <v>638</v>
      </c>
      <c r="F12" s="887" t="s">
        <v>226</v>
      </c>
      <c r="G12" s="1309" t="s">
        <v>227</v>
      </c>
      <c r="H12" s="1309" t="s">
        <v>228</v>
      </c>
      <c r="I12" s="1310" t="s">
        <v>637</v>
      </c>
      <c r="J12" s="1309" t="s">
        <v>636</v>
      </c>
      <c r="K12" s="1312" t="s">
        <v>394</v>
      </c>
      <c r="L12" s="1314" t="s">
        <v>395</v>
      </c>
      <c r="M12" s="1309" t="s">
        <v>636</v>
      </c>
      <c r="N12" s="1312" t="s">
        <v>224</v>
      </c>
      <c r="O12" s="1313" t="s">
        <v>225</v>
      </c>
      <c r="P12" s="2074"/>
      <c r="Q12" s="2010"/>
    </row>
    <row r="13" spans="1:19" x14ac:dyDescent="0.2">
      <c r="A13" s="1820"/>
      <c r="B13" s="1350" t="s">
        <v>89</v>
      </c>
      <c r="C13" s="1819" t="s">
        <v>572</v>
      </c>
      <c r="D13" s="1819" t="s">
        <v>572</v>
      </c>
      <c r="E13" s="1819" t="s">
        <v>396</v>
      </c>
      <c r="F13" s="887" t="s">
        <v>231</v>
      </c>
      <c r="G13" s="1309" t="s">
        <v>1034</v>
      </c>
      <c r="H13" s="1309" t="s">
        <v>638</v>
      </c>
      <c r="I13" s="1310" t="s">
        <v>233</v>
      </c>
      <c r="J13" s="1309" t="s">
        <v>408</v>
      </c>
      <c r="K13" s="1312"/>
      <c r="L13" s="1314"/>
      <c r="M13" s="1309" t="s">
        <v>230</v>
      </c>
      <c r="N13" s="1312" t="s">
        <v>229</v>
      </c>
      <c r="O13" s="1313" t="s">
        <v>229</v>
      </c>
      <c r="P13" s="2075" t="s">
        <v>1129</v>
      </c>
      <c r="Q13" s="1316" t="s">
        <v>234</v>
      </c>
    </row>
    <row r="14" spans="1:19" x14ac:dyDescent="0.2">
      <c r="A14" s="1821" t="s">
        <v>369</v>
      </c>
      <c r="B14" s="1350"/>
      <c r="C14" s="1823"/>
      <c r="D14" s="1823"/>
      <c r="E14" s="1823" t="s">
        <v>572</v>
      </c>
      <c r="F14" s="889"/>
      <c r="G14" s="1314" t="s">
        <v>235</v>
      </c>
      <c r="H14" s="1309"/>
      <c r="I14" s="1310" t="s">
        <v>236</v>
      </c>
      <c r="J14" s="1309" t="s">
        <v>229</v>
      </c>
      <c r="K14" s="1305"/>
      <c r="L14" s="1311"/>
      <c r="M14" s="1309" t="s">
        <v>229</v>
      </c>
      <c r="N14" s="1312"/>
      <c r="O14" s="1313"/>
      <c r="P14" s="2076" t="s">
        <v>1130</v>
      </c>
      <c r="Q14" s="1316" t="s">
        <v>237</v>
      </c>
    </row>
    <row r="15" spans="1:19" x14ac:dyDescent="0.2">
      <c r="A15" s="1822"/>
      <c r="B15" s="1350"/>
      <c r="C15" s="1823"/>
      <c r="D15" s="1823"/>
      <c r="E15" s="1823"/>
      <c r="F15" s="889"/>
      <c r="G15" s="1314" t="s">
        <v>238</v>
      </c>
      <c r="H15" s="1309"/>
      <c r="I15" s="1310"/>
      <c r="J15" s="1309" t="s">
        <v>638</v>
      </c>
      <c r="K15" s="1318"/>
      <c r="L15" s="1319"/>
      <c r="M15" s="1309" t="s">
        <v>638</v>
      </c>
      <c r="N15" s="1312"/>
      <c r="O15" s="1313"/>
      <c r="P15" s="2077"/>
      <c r="Q15" s="1316"/>
    </row>
    <row r="16" spans="1:19" x14ac:dyDescent="0.2">
      <c r="A16" s="1820"/>
      <c r="B16" s="1895"/>
      <c r="C16" s="1818"/>
      <c r="D16" s="1818"/>
      <c r="E16" s="1818"/>
      <c r="F16" s="889"/>
      <c r="G16" s="1314" t="s">
        <v>239</v>
      </c>
      <c r="H16" s="1309"/>
      <c r="I16" s="889"/>
      <c r="J16" s="1311"/>
      <c r="K16" s="1320"/>
      <c r="L16" s="1321"/>
      <c r="M16" s="1311"/>
      <c r="N16" s="1305"/>
      <c r="O16" s="1322"/>
      <c r="P16" s="2078" t="s">
        <v>193</v>
      </c>
      <c r="Q16" s="1316" t="s">
        <v>193</v>
      </c>
    </row>
    <row r="17" spans="1:20" x14ac:dyDescent="0.2">
      <c r="A17" s="1824">
        <v>1</v>
      </c>
      <c r="B17" s="1329">
        <v>2</v>
      </c>
      <c r="C17" s="1824">
        <v>2</v>
      </c>
      <c r="D17" s="1824">
        <v>3</v>
      </c>
      <c r="E17" s="1824">
        <v>4</v>
      </c>
      <c r="F17" s="1326">
        <v>4</v>
      </c>
      <c r="G17" s="1327">
        <v>5</v>
      </c>
      <c r="H17" s="1327">
        <v>6</v>
      </c>
      <c r="I17" s="1327">
        <v>7</v>
      </c>
      <c r="J17" s="1327">
        <v>8</v>
      </c>
      <c r="K17" s="1323">
        <v>9</v>
      </c>
      <c r="L17" s="1328">
        <v>10</v>
      </c>
      <c r="M17" s="1327">
        <v>11</v>
      </c>
      <c r="N17" s="1329">
        <v>12</v>
      </c>
      <c r="O17" s="1330">
        <v>13</v>
      </c>
      <c r="P17" s="2079">
        <v>15</v>
      </c>
      <c r="Q17" s="1866">
        <v>16</v>
      </c>
    </row>
    <row r="18" spans="1:20" x14ac:dyDescent="0.2">
      <c r="A18" s="1819"/>
      <c r="B18" s="1350"/>
      <c r="C18" s="1825"/>
      <c r="D18" s="1825"/>
      <c r="E18" s="1825"/>
      <c r="F18" s="889"/>
      <c r="G18" s="889"/>
      <c r="H18" s="889"/>
      <c r="I18" s="889"/>
      <c r="J18" s="889"/>
      <c r="K18" s="1305"/>
      <c r="L18" s="889"/>
      <c r="M18" s="889"/>
      <c r="N18" s="1305"/>
      <c r="O18" s="1331"/>
      <c r="P18" s="1311"/>
      <c r="Q18" s="1896"/>
    </row>
    <row r="19" spans="1:20" s="2086" customFormat="1" x14ac:dyDescent="0.2">
      <c r="A19" s="2080" t="s">
        <v>327</v>
      </c>
      <c r="B19" s="2081" t="s">
        <v>240</v>
      </c>
      <c r="C19" s="2082">
        <v>579463</v>
      </c>
      <c r="D19" s="2082">
        <v>655703</v>
      </c>
      <c r="E19" s="2082">
        <f>SUM(F19:O19)</f>
        <v>634482</v>
      </c>
      <c r="F19" s="2083">
        <v>409261</v>
      </c>
      <c r="G19" s="2083">
        <v>106251</v>
      </c>
      <c r="H19" s="2083">
        <v>96417</v>
      </c>
      <c r="I19" s="2083"/>
      <c r="J19" s="2083"/>
      <c r="K19" s="1351">
        <v>17421</v>
      </c>
      <c r="L19" s="2083">
        <v>5132</v>
      </c>
      <c r="M19" s="2083"/>
      <c r="N19" s="1351"/>
      <c r="O19" s="2011"/>
      <c r="P19" s="2084">
        <v>150</v>
      </c>
      <c r="Q19" s="1896"/>
      <c r="R19" s="2085"/>
      <c r="S19" s="2085"/>
      <c r="T19" s="2085"/>
    </row>
    <row r="20" spans="1:20" s="2086" customFormat="1" x14ac:dyDescent="0.2">
      <c r="A20" s="2087"/>
      <c r="B20" s="1897"/>
      <c r="C20" s="2082"/>
      <c r="D20" s="2082"/>
      <c r="E20" s="2082"/>
      <c r="F20" s="2083"/>
      <c r="G20" s="2083"/>
      <c r="H20" s="2083"/>
      <c r="I20" s="2083"/>
      <c r="J20" s="2083"/>
      <c r="K20" s="1351"/>
      <c r="L20" s="2083"/>
      <c r="M20" s="2083"/>
      <c r="N20" s="1351"/>
      <c r="O20" s="2011"/>
      <c r="P20" s="2088"/>
      <c r="Q20" s="1896"/>
      <c r="R20" s="2085"/>
      <c r="S20" s="2085"/>
      <c r="T20" s="2085"/>
    </row>
    <row r="21" spans="1:20" s="2086" customFormat="1" ht="15" customHeight="1" x14ac:dyDescent="0.2">
      <c r="A21" s="2089"/>
      <c r="B21" s="2090" t="s">
        <v>146</v>
      </c>
      <c r="C21" s="2091">
        <f>SUM(C19:C20)</f>
        <v>579463</v>
      </c>
      <c r="D21" s="2091">
        <f>SUM(D19:D20)</f>
        <v>655703</v>
      </c>
      <c r="E21" s="2091">
        <f>SUM(E19:E20)</f>
        <v>634482</v>
      </c>
      <c r="F21" s="2092">
        <f>SUM(F19:F20)</f>
        <v>409261</v>
      </c>
      <c r="G21" s="2093">
        <f t="shared" ref="G21:P21" si="0">SUM(G19:G20)</f>
        <v>106251</v>
      </c>
      <c r="H21" s="2093">
        <f t="shared" si="0"/>
        <v>96417</v>
      </c>
      <c r="I21" s="2093">
        <f t="shared" si="0"/>
        <v>0</v>
      </c>
      <c r="J21" s="2093">
        <f t="shared" si="0"/>
        <v>0</v>
      </c>
      <c r="K21" s="2094">
        <f t="shared" si="0"/>
        <v>17421</v>
      </c>
      <c r="L21" s="2093">
        <f t="shared" si="0"/>
        <v>5132</v>
      </c>
      <c r="M21" s="2095">
        <f t="shared" si="0"/>
        <v>0</v>
      </c>
      <c r="N21" s="2094">
        <f t="shared" si="0"/>
        <v>0</v>
      </c>
      <c r="O21" s="2096">
        <f t="shared" si="0"/>
        <v>0</v>
      </c>
      <c r="P21" s="2097">
        <f t="shared" si="0"/>
        <v>150</v>
      </c>
      <c r="Q21" s="2098">
        <v>0</v>
      </c>
      <c r="R21" s="2085"/>
      <c r="S21" s="2085"/>
      <c r="T21" s="2085"/>
    </row>
    <row r="22" spans="1:20" s="2086" customFormat="1" x14ac:dyDescent="0.2">
      <c r="A22" s="2087"/>
      <c r="B22" s="2099"/>
      <c r="C22" s="2100"/>
      <c r="D22" s="2100"/>
      <c r="E22" s="2082"/>
      <c r="F22" s="2083"/>
      <c r="G22" s="2083"/>
      <c r="H22" s="2083"/>
      <c r="I22" s="2083"/>
      <c r="J22" s="2083"/>
      <c r="K22" s="1351"/>
      <c r="L22" s="2083"/>
      <c r="M22" s="2083"/>
      <c r="N22" s="1351"/>
      <c r="O22" s="2011"/>
      <c r="P22" s="2101"/>
      <c r="Q22" s="1896"/>
      <c r="R22" s="2085"/>
      <c r="S22" s="2085"/>
      <c r="T22" s="2085"/>
    </row>
    <row r="23" spans="1:20" s="2086" customFormat="1" x14ac:dyDescent="0.2">
      <c r="A23" s="2080" t="s">
        <v>327</v>
      </c>
      <c r="B23" s="2081" t="s">
        <v>397</v>
      </c>
      <c r="C23" s="2082">
        <v>128813</v>
      </c>
      <c r="D23" s="2082">
        <v>138886.361</v>
      </c>
      <c r="E23" s="2082">
        <f>SUM(F23:O23)</f>
        <v>137127</v>
      </c>
      <c r="F23" s="2083">
        <v>96807</v>
      </c>
      <c r="G23" s="2083">
        <v>23771</v>
      </c>
      <c r="H23" s="2083">
        <v>11079</v>
      </c>
      <c r="I23" s="2083"/>
      <c r="J23" s="2083"/>
      <c r="K23" s="1351">
        <v>5470</v>
      </c>
      <c r="L23" s="2083"/>
      <c r="M23" s="2083"/>
      <c r="N23" s="1351"/>
      <c r="O23" s="2011"/>
      <c r="P23" s="2084">
        <v>27</v>
      </c>
      <c r="Q23" s="1898">
        <v>2</v>
      </c>
      <c r="R23" s="2085"/>
      <c r="S23" s="2085"/>
      <c r="T23" s="2085"/>
    </row>
    <row r="24" spans="1:20" s="2086" customFormat="1" x14ac:dyDescent="0.2">
      <c r="A24" s="2080" t="s">
        <v>116</v>
      </c>
      <c r="B24" s="2081" t="s">
        <v>398</v>
      </c>
      <c r="C24" s="2082">
        <v>164714</v>
      </c>
      <c r="D24" s="2082">
        <v>170542</v>
      </c>
      <c r="E24" s="2082">
        <f t="shared" ref="E24:E50" si="1">SUM(F24:O24)</f>
        <v>170039</v>
      </c>
      <c r="F24" s="2083">
        <v>123988</v>
      </c>
      <c r="G24" s="2083">
        <v>30790</v>
      </c>
      <c r="H24" s="2083">
        <v>12294</v>
      </c>
      <c r="I24" s="2083"/>
      <c r="J24" s="2083">
        <v>878</v>
      </c>
      <c r="K24" s="1351">
        <v>2089</v>
      </c>
      <c r="L24" s="2083"/>
      <c r="M24" s="2083"/>
      <c r="N24" s="1351"/>
      <c r="O24" s="2011"/>
      <c r="P24" s="2084">
        <f>37+1</f>
        <v>38</v>
      </c>
      <c r="Q24" s="1896"/>
      <c r="R24" s="2085"/>
      <c r="S24" s="2085"/>
      <c r="T24" s="2085"/>
    </row>
    <row r="25" spans="1:20" s="2086" customFormat="1" x14ac:dyDescent="0.2">
      <c r="A25" s="2080" t="s">
        <v>117</v>
      </c>
      <c r="B25" s="2081" t="s">
        <v>399</v>
      </c>
      <c r="C25" s="2082">
        <v>115756</v>
      </c>
      <c r="D25" s="2082">
        <v>123793.287</v>
      </c>
      <c r="E25" s="2082">
        <f t="shared" si="1"/>
        <v>118139</v>
      </c>
      <c r="F25" s="2083">
        <v>85308</v>
      </c>
      <c r="G25" s="2083">
        <v>21255</v>
      </c>
      <c r="H25" s="2083">
        <v>7784</v>
      </c>
      <c r="I25" s="2083"/>
      <c r="J25" s="2083"/>
      <c r="K25" s="1351">
        <v>3792</v>
      </c>
      <c r="L25" s="2083"/>
      <c r="M25" s="2083"/>
      <c r="N25" s="1351"/>
      <c r="O25" s="2011"/>
      <c r="P25" s="2084">
        <v>26</v>
      </c>
      <c r="Q25" s="1896"/>
      <c r="R25" s="2085"/>
      <c r="S25" s="2085"/>
      <c r="T25" s="2085"/>
    </row>
    <row r="26" spans="1:20" s="2086" customFormat="1" x14ac:dyDescent="0.2">
      <c r="A26" s="2080" t="s">
        <v>118</v>
      </c>
      <c r="B26" s="2081" t="s">
        <v>400</v>
      </c>
      <c r="C26" s="2082">
        <v>110085</v>
      </c>
      <c r="D26" s="2082">
        <v>118381.40599999999</v>
      </c>
      <c r="E26" s="2082">
        <f t="shared" si="1"/>
        <v>111958</v>
      </c>
      <c r="F26" s="2083">
        <v>79714</v>
      </c>
      <c r="G26" s="2083">
        <v>19719</v>
      </c>
      <c r="H26" s="2083">
        <v>11024</v>
      </c>
      <c r="I26" s="2083"/>
      <c r="J26" s="2083"/>
      <c r="K26" s="1351">
        <v>1501</v>
      </c>
      <c r="L26" s="2083"/>
      <c r="M26" s="2083"/>
      <c r="N26" s="1351"/>
      <c r="O26" s="2011"/>
      <c r="P26" s="2084">
        <v>25</v>
      </c>
      <c r="Q26" s="1896"/>
      <c r="R26" s="2085"/>
      <c r="S26" s="2085"/>
      <c r="T26" s="2085"/>
    </row>
    <row r="27" spans="1:20" s="2086" customFormat="1" x14ac:dyDescent="0.2">
      <c r="A27" s="2080" t="s">
        <v>119</v>
      </c>
      <c r="B27" s="2081" t="s">
        <v>401</v>
      </c>
      <c r="C27" s="2082">
        <v>232001</v>
      </c>
      <c r="D27" s="2082">
        <v>242398.80000000005</v>
      </c>
      <c r="E27" s="2082">
        <f t="shared" si="1"/>
        <v>239431</v>
      </c>
      <c r="F27" s="2083">
        <v>170756</v>
      </c>
      <c r="G27" s="2083">
        <v>41891</v>
      </c>
      <c r="H27" s="2083">
        <v>21387</v>
      </c>
      <c r="I27" s="2083"/>
      <c r="J27" s="2083"/>
      <c r="K27" s="1351">
        <v>5192</v>
      </c>
      <c r="L27" s="2083">
        <v>205</v>
      </c>
      <c r="M27" s="2083"/>
      <c r="N27" s="1351"/>
      <c r="O27" s="2011"/>
      <c r="P27" s="2084">
        <v>50</v>
      </c>
      <c r="Q27" s="1896"/>
      <c r="R27" s="2085"/>
      <c r="S27" s="2085"/>
      <c r="T27" s="2085"/>
    </row>
    <row r="28" spans="1:20" s="2086" customFormat="1" x14ac:dyDescent="0.2">
      <c r="A28" s="2080" t="s">
        <v>120</v>
      </c>
      <c r="B28" s="2081" t="s">
        <v>402</v>
      </c>
      <c r="C28" s="2082">
        <v>114807</v>
      </c>
      <c r="D28" s="2082">
        <v>137350.84999999998</v>
      </c>
      <c r="E28" s="2082">
        <f t="shared" si="1"/>
        <v>135313</v>
      </c>
      <c r="F28" s="2083">
        <v>85107</v>
      </c>
      <c r="G28" s="2083">
        <v>21914</v>
      </c>
      <c r="H28" s="2083">
        <v>11565</v>
      </c>
      <c r="I28" s="2083"/>
      <c r="J28" s="2083"/>
      <c r="K28" s="1351">
        <v>16727</v>
      </c>
      <c r="L28" s="2083"/>
      <c r="M28" s="2083"/>
      <c r="N28" s="1351"/>
      <c r="O28" s="2011"/>
      <c r="P28" s="2084">
        <v>27</v>
      </c>
      <c r="Q28" s="1896"/>
      <c r="R28" s="2085"/>
      <c r="S28" s="2085"/>
      <c r="T28" s="2085"/>
    </row>
    <row r="29" spans="1:20" s="2086" customFormat="1" x14ac:dyDescent="0.2">
      <c r="A29" s="2080" t="s">
        <v>121</v>
      </c>
      <c r="B29" s="2081" t="s">
        <v>403</v>
      </c>
      <c r="C29" s="2082">
        <v>119531</v>
      </c>
      <c r="D29" s="2082">
        <v>126962.34199999999</v>
      </c>
      <c r="E29" s="2082">
        <f t="shared" si="1"/>
        <v>115471</v>
      </c>
      <c r="F29" s="2083">
        <v>83184</v>
      </c>
      <c r="G29" s="2083">
        <v>19315</v>
      </c>
      <c r="H29" s="2083">
        <v>6482</v>
      </c>
      <c r="I29" s="2083"/>
      <c r="J29" s="2083"/>
      <c r="K29" s="1351">
        <v>6490</v>
      </c>
      <c r="L29" s="2083"/>
      <c r="M29" s="2083"/>
      <c r="N29" s="1351"/>
      <c r="O29" s="2011"/>
      <c r="P29" s="2084">
        <v>25</v>
      </c>
      <c r="Q29" s="1896"/>
      <c r="R29" s="2085"/>
      <c r="S29" s="2085"/>
      <c r="T29" s="2085"/>
    </row>
    <row r="30" spans="1:20" s="2086" customFormat="1" x14ac:dyDescent="0.2">
      <c r="A30" s="2080" t="s">
        <v>122</v>
      </c>
      <c r="B30" s="2081" t="s">
        <v>404</v>
      </c>
      <c r="C30" s="2082">
        <v>253876</v>
      </c>
      <c r="D30" s="2082">
        <v>274452.43300000008</v>
      </c>
      <c r="E30" s="2082">
        <f t="shared" si="1"/>
        <v>263512</v>
      </c>
      <c r="F30" s="2083">
        <v>183271</v>
      </c>
      <c r="G30" s="2083">
        <v>44238</v>
      </c>
      <c r="H30" s="2083">
        <v>28828</v>
      </c>
      <c r="I30" s="2083"/>
      <c r="J30" s="2083"/>
      <c r="K30" s="1351">
        <v>6071</v>
      </c>
      <c r="L30" s="2083">
        <v>1104</v>
      </c>
      <c r="M30" s="2083"/>
      <c r="N30" s="1351"/>
      <c r="O30" s="2011"/>
      <c r="P30" s="2084">
        <v>53</v>
      </c>
      <c r="Q30" s="1896"/>
      <c r="R30" s="2085"/>
      <c r="S30" s="2085"/>
      <c r="T30" s="2085"/>
    </row>
    <row r="31" spans="1:20" s="2086" customFormat="1" x14ac:dyDescent="0.2">
      <c r="A31" s="2080" t="s">
        <v>123</v>
      </c>
      <c r="B31" s="2081" t="s">
        <v>405</v>
      </c>
      <c r="C31" s="2082">
        <v>181359</v>
      </c>
      <c r="D31" s="2082">
        <v>196717.927</v>
      </c>
      <c r="E31" s="2082">
        <f t="shared" si="1"/>
        <v>190616</v>
      </c>
      <c r="F31" s="2083">
        <v>133167</v>
      </c>
      <c r="G31" s="2083">
        <v>33057</v>
      </c>
      <c r="H31" s="2083">
        <v>20083</v>
      </c>
      <c r="I31" s="2083"/>
      <c r="J31" s="2083"/>
      <c r="K31" s="1351">
        <v>4309</v>
      </c>
      <c r="L31" s="2083"/>
      <c r="M31" s="2083"/>
      <c r="N31" s="1351"/>
      <c r="O31" s="2011"/>
      <c r="P31" s="2084">
        <f>39+1</f>
        <v>40</v>
      </c>
      <c r="Q31" s="1896"/>
      <c r="R31" s="2085"/>
      <c r="S31" s="2085"/>
      <c r="T31" s="2085"/>
    </row>
    <row r="32" spans="1:20" s="2086" customFormat="1" x14ac:dyDescent="0.2">
      <c r="A32" s="2080" t="s">
        <v>124</v>
      </c>
      <c r="B32" s="2081" t="s">
        <v>406</v>
      </c>
      <c r="C32" s="2082">
        <v>125694</v>
      </c>
      <c r="D32" s="2082">
        <v>130434.68700000002</v>
      </c>
      <c r="E32" s="2082">
        <f t="shared" si="1"/>
        <v>120133</v>
      </c>
      <c r="F32" s="2083">
        <v>85881</v>
      </c>
      <c r="G32" s="2083">
        <v>21864</v>
      </c>
      <c r="H32" s="2083">
        <v>10003</v>
      </c>
      <c r="I32" s="2083"/>
      <c r="J32" s="2083"/>
      <c r="K32" s="1351">
        <v>2385</v>
      </c>
      <c r="L32" s="2083"/>
      <c r="M32" s="2083"/>
      <c r="N32" s="1351"/>
      <c r="O32" s="2011"/>
      <c r="P32" s="2084">
        <v>28</v>
      </c>
      <c r="Q32" s="1896"/>
      <c r="R32" s="2085"/>
      <c r="S32" s="2085"/>
      <c r="T32" s="2085"/>
    </row>
    <row r="33" spans="1:20" s="2086" customFormat="1" x14ac:dyDescent="0.2">
      <c r="A33" s="2080" t="s">
        <v>125</v>
      </c>
      <c r="B33" s="2081" t="s">
        <v>416</v>
      </c>
      <c r="C33" s="2082">
        <v>182080</v>
      </c>
      <c r="D33" s="2082">
        <v>190064.30599999998</v>
      </c>
      <c r="E33" s="2082">
        <f t="shared" si="1"/>
        <v>188136</v>
      </c>
      <c r="F33" s="2083">
        <v>135461</v>
      </c>
      <c r="G33" s="2083">
        <f>33407+1</f>
        <v>33408</v>
      </c>
      <c r="H33" s="2083">
        <v>15800</v>
      </c>
      <c r="I33" s="2083"/>
      <c r="J33" s="2083"/>
      <c r="K33" s="1351">
        <v>3467</v>
      </c>
      <c r="L33" s="2083"/>
      <c r="M33" s="2083"/>
      <c r="N33" s="1351"/>
      <c r="O33" s="2011"/>
      <c r="P33" s="2084">
        <v>41</v>
      </c>
      <c r="Q33" s="1896"/>
      <c r="R33" s="2085"/>
      <c r="S33" s="2085"/>
      <c r="T33" s="2085"/>
    </row>
    <row r="34" spans="1:20" s="2086" customFormat="1" x14ac:dyDescent="0.2">
      <c r="A34" s="2080" t="s">
        <v>126</v>
      </c>
      <c r="B34" s="2081" t="s">
        <v>1059</v>
      </c>
      <c r="C34" s="2082">
        <v>197392</v>
      </c>
      <c r="D34" s="2082">
        <v>204951.609</v>
      </c>
      <c r="E34" s="2082">
        <f t="shared" si="1"/>
        <v>199964</v>
      </c>
      <c r="F34" s="2083">
        <v>135754</v>
      </c>
      <c r="G34" s="2083">
        <v>34536</v>
      </c>
      <c r="H34" s="2083">
        <v>24158</v>
      </c>
      <c r="I34" s="2083"/>
      <c r="J34" s="2083"/>
      <c r="K34" s="1351">
        <v>5516</v>
      </c>
      <c r="L34" s="2083"/>
      <c r="M34" s="2083"/>
      <c r="N34" s="1351"/>
      <c r="O34" s="2011"/>
      <c r="P34" s="2084">
        <v>46</v>
      </c>
      <c r="Q34" s="1896"/>
      <c r="R34" s="2085"/>
      <c r="S34" s="2085"/>
      <c r="T34" s="2085"/>
    </row>
    <row r="35" spans="1:20" s="2086" customFormat="1" x14ac:dyDescent="0.2">
      <c r="A35" s="2080"/>
      <c r="B35" s="1899"/>
      <c r="C35" s="2082"/>
      <c r="D35" s="2082"/>
      <c r="E35" s="2082"/>
      <c r="F35" s="2083"/>
      <c r="G35" s="2083"/>
      <c r="H35" s="2083"/>
      <c r="I35" s="2083"/>
      <c r="J35" s="2083"/>
      <c r="K35" s="1351"/>
      <c r="L35" s="2083"/>
      <c r="M35" s="2083"/>
      <c r="N35" s="1351"/>
      <c r="O35" s="2011"/>
      <c r="P35" s="2102"/>
      <c r="Q35" s="1896"/>
      <c r="R35" s="2085"/>
      <c r="S35" s="2085"/>
      <c r="T35" s="2085"/>
    </row>
    <row r="36" spans="1:20" ht="15" customHeight="1" x14ac:dyDescent="0.2">
      <c r="A36" s="2103"/>
      <c r="B36" s="2090" t="s">
        <v>44</v>
      </c>
      <c r="C36" s="2091">
        <f>SUM(C23:C35)</f>
        <v>1926108</v>
      </c>
      <c r="D36" s="2091">
        <f>SUM(D23:D35)</f>
        <v>2054936.0080000001</v>
      </c>
      <c r="E36" s="2091">
        <f>SUM(E23:E35)</f>
        <v>1989839</v>
      </c>
      <c r="F36" s="2104">
        <f>SUM(F23:F35)</f>
        <v>1398398</v>
      </c>
      <c r="G36" s="2105">
        <f>SUM(G23:G35)</f>
        <v>345758</v>
      </c>
      <c r="H36" s="2105">
        <f t="shared" ref="H36:Q36" si="2">SUM(H23:H35)</f>
        <v>180487</v>
      </c>
      <c r="I36" s="2104">
        <f t="shared" si="2"/>
        <v>0</v>
      </c>
      <c r="J36" s="2105">
        <f t="shared" si="2"/>
        <v>878</v>
      </c>
      <c r="K36" s="2106">
        <f t="shared" si="2"/>
        <v>63009</v>
      </c>
      <c r="L36" s="2105">
        <f t="shared" si="2"/>
        <v>1309</v>
      </c>
      <c r="M36" s="2104">
        <f t="shared" si="2"/>
        <v>0</v>
      </c>
      <c r="N36" s="2106">
        <f t="shared" si="2"/>
        <v>0</v>
      </c>
      <c r="O36" s="2107">
        <f t="shared" si="2"/>
        <v>0</v>
      </c>
      <c r="P36" s="2108">
        <f t="shared" si="2"/>
        <v>426</v>
      </c>
      <c r="Q36" s="2098">
        <f t="shared" si="2"/>
        <v>2</v>
      </c>
      <c r="R36" s="895"/>
      <c r="S36" s="895"/>
      <c r="T36" s="895"/>
    </row>
    <row r="37" spans="1:20" x14ac:dyDescent="0.2">
      <c r="A37" s="1817"/>
      <c r="B37" s="1305"/>
      <c r="C37" s="2082"/>
      <c r="D37" s="2082"/>
      <c r="E37" s="1826"/>
      <c r="F37" s="891"/>
      <c r="G37" s="891"/>
      <c r="H37" s="891"/>
      <c r="I37" s="891"/>
      <c r="J37" s="891"/>
      <c r="K37" s="1332"/>
      <c r="L37" s="891"/>
      <c r="M37" s="891"/>
      <c r="N37" s="1332"/>
      <c r="O37" s="1333"/>
      <c r="P37" s="1311"/>
      <c r="Q37" s="1896"/>
      <c r="R37" s="895"/>
      <c r="S37" s="895"/>
      <c r="T37" s="895"/>
    </row>
    <row r="38" spans="1:20" x14ac:dyDescent="0.2">
      <c r="A38" s="1819" t="s">
        <v>327</v>
      </c>
      <c r="B38" s="1828" t="s">
        <v>150</v>
      </c>
      <c r="C38" s="2082">
        <v>55657</v>
      </c>
      <c r="D38" s="2082">
        <v>71134.357999999993</v>
      </c>
      <c r="E38" s="1826">
        <f t="shared" si="1"/>
        <v>67938</v>
      </c>
      <c r="F38" s="891">
        <v>39282</v>
      </c>
      <c r="G38" s="891">
        <v>9279</v>
      </c>
      <c r="H38" s="891">
        <v>18651</v>
      </c>
      <c r="I38" s="891"/>
      <c r="J38" s="891"/>
      <c r="K38" s="1332">
        <v>726</v>
      </c>
      <c r="L38" s="891"/>
      <c r="M38" s="891"/>
      <c r="N38" s="1332"/>
      <c r="O38" s="1333"/>
      <c r="P38" s="2109">
        <v>11</v>
      </c>
      <c r="Q38" s="1898"/>
      <c r="R38" s="895"/>
      <c r="S38" s="895"/>
      <c r="T38" s="895"/>
    </row>
    <row r="39" spans="1:20" x14ac:dyDescent="0.2">
      <c r="A39" s="1819" t="s">
        <v>116</v>
      </c>
      <c r="B39" s="1828" t="s">
        <v>609</v>
      </c>
      <c r="C39" s="2082">
        <v>164180</v>
      </c>
      <c r="D39" s="2082">
        <v>185222.641</v>
      </c>
      <c r="E39" s="1826">
        <f t="shared" si="1"/>
        <v>170401</v>
      </c>
      <c r="F39" s="891">
        <v>95099</v>
      </c>
      <c r="G39" s="891">
        <v>23737</v>
      </c>
      <c r="H39" s="891">
        <v>49236</v>
      </c>
      <c r="I39" s="891"/>
      <c r="J39" s="891">
        <v>1240</v>
      </c>
      <c r="K39" s="1332">
        <v>1089</v>
      </c>
      <c r="L39" s="891"/>
      <c r="M39" s="891"/>
      <c r="N39" s="1332"/>
      <c r="O39" s="1333"/>
      <c r="P39" s="2109">
        <v>29</v>
      </c>
      <c r="Q39" s="1896"/>
      <c r="R39" s="895"/>
      <c r="S39" s="895"/>
      <c r="T39" s="895"/>
    </row>
    <row r="40" spans="1:20" x14ac:dyDescent="0.2">
      <c r="A40" s="1819" t="s">
        <v>117</v>
      </c>
      <c r="B40" s="1828" t="s">
        <v>610</v>
      </c>
      <c r="C40" s="2082">
        <v>138806</v>
      </c>
      <c r="D40" s="2082">
        <v>159817.755</v>
      </c>
      <c r="E40" s="1826">
        <f t="shared" si="1"/>
        <v>151894</v>
      </c>
      <c r="F40" s="891">
        <v>85172</v>
      </c>
      <c r="G40" s="891">
        <v>21427</v>
      </c>
      <c r="H40" s="891">
        <v>44280</v>
      </c>
      <c r="I40" s="891"/>
      <c r="J40" s="891"/>
      <c r="K40" s="1332">
        <v>1015</v>
      </c>
      <c r="L40" s="891"/>
      <c r="M40" s="891"/>
      <c r="N40" s="1332"/>
      <c r="O40" s="1333"/>
      <c r="P40" s="2109">
        <v>28</v>
      </c>
      <c r="Q40" s="1900"/>
      <c r="R40" s="895"/>
      <c r="S40" s="895"/>
      <c r="T40" s="895"/>
    </row>
    <row r="41" spans="1:20" x14ac:dyDescent="0.2">
      <c r="A41" s="1819" t="s">
        <v>118</v>
      </c>
      <c r="B41" s="1828" t="s">
        <v>611</v>
      </c>
      <c r="C41" s="2082">
        <v>94958</v>
      </c>
      <c r="D41" s="2082">
        <v>112682.435</v>
      </c>
      <c r="E41" s="1826">
        <f t="shared" si="1"/>
        <v>105680</v>
      </c>
      <c r="F41" s="891">
        <v>56205</v>
      </c>
      <c r="G41" s="2083">
        <v>13125</v>
      </c>
      <c r="H41" s="891">
        <v>35988</v>
      </c>
      <c r="I41" s="891"/>
      <c r="J41" s="891"/>
      <c r="K41" s="1332">
        <v>362</v>
      </c>
      <c r="L41" s="891"/>
      <c r="M41" s="891"/>
      <c r="N41" s="1332"/>
      <c r="O41" s="1333"/>
      <c r="P41" s="2109">
        <v>16</v>
      </c>
      <c r="Q41" s="1898"/>
      <c r="R41" s="895"/>
      <c r="S41" s="895"/>
      <c r="T41" s="895"/>
    </row>
    <row r="42" spans="1:20" x14ac:dyDescent="0.2">
      <c r="A42" s="1819" t="s">
        <v>119</v>
      </c>
      <c r="B42" s="1843" t="s">
        <v>1288</v>
      </c>
      <c r="C42" s="2082">
        <v>168050</v>
      </c>
      <c r="D42" s="2082">
        <v>215401.16500000004</v>
      </c>
      <c r="E42" s="1826">
        <f t="shared" si="1"/>
        <v>200909</v>
      </c>
      <c r="F42" s="891">
        <v>133235</v>
      </c>
      <c r="G42" s="891">
        <v>33234</v>
      </c>
      <c r="H42" s="891">
        <f>31945+1</f>
        <v>31946</v>
      </c>
      <c r="I42" s="891"/>
      <c r="J42" s="891"/>
      <c r="K42" s="1332">
        <v>2239</v>
      </c>
      <c r="L42" s="891">
        <v>255</v>
      </c>
      <c r="M42" s="891"/>
      <c r="N42" s="1332"/>
      <c r="O42" s="1333"/>
      <c r="P42" s="2109">
        <v>33</v>
      </c>
      <c r="Q42" s="1898"/>
      <c r="R42" s="895"/>
      <c r="S42" s="895"/>
      <c r="T42" s="895"/>
    </row>
    <row r="43" spans="1:20" x14ac:dyDescent="0.2">
      <c r="A43" s="1819"/>
      <c r="B43" s="1305"/>
      <c r="C43" s="2082"/>
      <c r="D43" s="2082"/>
      <c r="E43" s="1826"/>
      <c r="F43" s="891"/>
      <c r="G43" s="891"/>
      <c r="H43" s="891"/>
      <c r="I43" s="891"/>
      <c r="J43" s="891"/>
      <c r="K43" s="1332"/>
      <c r="L43" s="891"/>
      <c r="M43" s="891"/>
      <c r="N43" s="1332"/>
      <c r="O43" s="1333"/>
      <c r="P43" s="1311"/>
      <c r="Q43" s="1896"/>
      <c r="R43" s="895"/>
      <c r="S43" s="895"/>
      <c r="T43" s="895"/>
    </row>
    <row r="44" spans="1:20" ht="15" customHeight="1" x14ac:dyDescent="0.2">
      <c r="A44" s="2103"/>
      <c r="B44" s="2110" t="s">
        <v>151</v>
      </c>
      <c r="C44" s="2091">
        <f t="shared" ref="C44:Q44" si="3">SUM(C38:C43)</f>
        <v>621651</v>
      </c>
      <c r="D44" s="2091">
        <f t="shared" si="3"/>
        <v>744258.35400000005</v>
      </c>
      <c r="E44" s="2091">
        <f t="shared" si="3"/>
        <v>696822</v>
      </c>
      <c r="F44" s="2104">
        <f>SUM(F38:F43)</f>
        <v>408993</v>
      </c>
      <c r="G44" s="2105">
        <f t="shared" si="3"/>
        <v>100802</v>
      </c>
      <c r="H44" s="2104">
        <f t="shared" si="3"/>
        <v>180101</v>
      </c>
      <c r="I44" s="2105">
        <f t="shared" si="3"/>
        <v>0</v>
      </c>
      <c r="J44" s="2105">
        <f t="shared" si="3"/>
        <v>1240</v>
      </c>
      <c r="K44" s="2106">
        <f t="shared" si="3"/>
        <v>5431</v>
      </c>
      <c r="L44" s="2105">
        <f t="shared" si="3"/>
        <v>255</v>
      </c>
      <c r="M44" s="2105">
        <f t="shared" si="3"/>
        <v>0</v>
      </c>
      <c r="N44" s="2106">
        <f t="shared" si="3"/>
        <v>0</v>
      </c>
      <c r="O44" s="2107">
        <f t="shared" si="3"/>
        <v>0</v>
      </c>
      <c r="P44" s="2108">
        <f t="shared" si="3"/>
        <v>117</v>
      </c>
      <c r="Q44" s="2098">
        <f t="shared" si="3"/>
        <v>0</v>
      </c>
      <c r="R44" s="895"/>
      <c r="S44" s="895"/>
      <c r="T44" s="895"/>
    </row>
    <row r="45" spans="1:20" x14ac:dyDescent="0.2">
      <c r="A45" s="1829"/>
      <c r="B45" s="1845"/>
      <c r="C45" s="2111"/>
      <c r="D45" s="2111"/>
      <c r="E45" s="1826"/>
      <c r="F45" s="896"/>
      <c r="G45" s="896"/>
      <c r="H45" s="896"/>
      <c r="I45" s="896"/>
      <c r="J45" s="896"/>
      <c r="K45" s="1338"/>
      <c r="L45" s="896"/>
      <c r="M45" s="896"/>
      <c r="N45" s="1338"/>
      <c r="O45" s="1339"/>
      <c r="P45" s="2112"/>
      <c r="Q45" s="1901"/>
      <c r="R45" s="895"/>
      <c r="S45" s="895"/>
      <c r="T45" s="895"/>
    </row>
    <row r="46" spans="1:20" x14ac:dyDescent="0.2">
      <c r="A46" s="1824" t="s">
        <v>327</v>
      </c>
      <c r="B46" s="1846" t="s">
        <v>1035</v>
      </c>
      <c r="C46" s="2113">
        <v>304399</v>
      </c>
      <c r="D46" s="2113">
        <v>402637</v>
      </c>
      <c r="E46" s="2113">
        <f>SUM(F46:O46)</f>
        <v>401327</v>
      </c>
      <c r="F46" s="1902">
        <v>175070</v>
      </c>
      <c r="G46" s="1341">
        <v>46929</v>
      </c>
      <c r="H46" s="1341">
        <v>137224</v>
      </c>
      <c r="I46" s="1341"/>
      <c r="J46" s="1341"/>
      <c r="K46" s="1342">
        <v>36442</v>
      </c>
      <c r="L46" s="1341">
        <v>5662</v>
      </c>
      <c r="M46" s="1343"/>
      <c r="N46" s="1336"/>
      <c r="O46" s="1334"/>
      <c r="P46" s="2114">
        <f>76</f>
        <v>76</v>
      </c>
      <c r="Q46" s="1903">
        <v>4</v>
      </c>
      <c r="R46" s="895"/>
      <c r="S46" s="895"/>
      <c r="T46" s="895"/>
    </row>
    <row r="47" spans="1:20" x14ac:dyDescent="0.2">
      <c r="A47" s="1827"/>
      <c r="B47" s="1335"/>
      <c r="C47" s="2115"/>
      <c r="D47" s="2115"/>
      <c r="E47" s="1826"/>
      <c r="F47" s="1904"/>
      <c r="G47" s="2116"/>
      <c r="H47" s="2116"/>
      <c r="I47" s="2116"/>
      <c r="J47" s="2116"/>
      <c r="K47" s="1904"/>
      <c r="L47" s="2116"/>
      <c r="M47" s="2116"/>
      <c r="N47" s="1904"/>
      <c r="O47" s="1905"/>
      <c r="P47" s="2117"/>
      <c r="Q47" s="1906"/>
      <c r="R47" s="895"/>
      <c r="S47" s="895"/>
      <c r="T47" s="895"/>
    </row>
    <row r="48" spans="1:20" hidden="1" x14ac:dyDescent="0.2">
      <c r="A48" s="1817"/>
      <c r="B48" s="1855"/>
      <c r="C48" s="2082"/>
      <c r="D48" s="2082"/>
      <c r="E48" s="1826">
        <f t="shared" si="1"/>
        <v>0</v>
      </c>
      <c r="F48" s="891"/>
      <c r="G48" s="891"/>
      <c r="H48" s="891"/>
      <c r="I48" s="891"/>
      <c r="J48" s="891"/>
      <c r="K48" s="1332"/>
      <c r="L48" s="891"/>
      <c r="M48" s="891"/>
      <c r="N48" s="1332"/>
      <c r="O48" s="1333"/>
      <c r="P48" s="1311"/>
      <c r="Q48" s="1896"/>
      <c r="R48" s="895"/>
      <c r="S48" s="895"/>
      <c r="T48" s="895"/>
    </row>
    <row r="49" spans="1:20" hidden="1" x14ac:dyDescent="0.2">
      <c r="A49" s="1817"/>
      <c r="B49" s="1855"/>
      <c r="C49" s="2082"/>
      <c r="D49" s="2082"/>
      <c r="E49" s="1826">
        <f t="shared" si="1"/>
        <v>0</v>
      </c>
      <c r="F49" s="891"/>
      <c r="G49" s="891"/>
      <c r="H49" s="891"/>
      <c r="I49" s="891"/>
      <c r="J49" s="891"/>
      <c r="K49" s="1332"/>
      <c r="L49" s="891"/>
      <c r="M49" s="891"/>
      <c r="N49" s="1332"/>
      <c r="O49" s="1333"/>
      <c r="P49" s="1311"/>
      <c r="Q49" s="1896"/>
      <c r="R49" s="895"/>
      <c r="S49" s="895"/>
      <c r="T49" s="895"/>
    </row>
    <row r="50" spans="1:20" hidden="1" x14ac:dyDescent="0.2">
      <c r="A50" s="1817"/>
      <c r="B50" s="1907"/>
      <c r="C50" s="2082"/>
      <c r="D50" s="2082"/>
      <c r="E50" s="1826">
        <f t="shared" si="1"/>
        <v>0</v>
      </c>
      <c r="F50" s="891"/>
      <c r="G50" s="891"/>
      <c r="H50" s="891"/>
      <c r="I50" s="891"/>
      <c r="J50" s="891"/>
      <c r="K50" s="1332"/>
      <c r="L50" s="891"/>
      <c r="M50" s="891"/>
      <c r="N50" s="1332"/>
      <c r="O50" s="1333"/>
      <c r="P50" s="1311"/>
      <c r="Q50" s="1896"/>
      <c r="R50" s="895"/>
      <c r="S50" s="895"/>
      <c r="T50" s="895"/>
    </row>
    <row r="51" spans="1:20" ht="15" customHeight="1" thickBot="1" x14ac:dyDescent="0.25">
      <c r="A51" s="2118"/>
      <c r="B51" s="2119" t="s">
        <v>417</v>
      </c>
      <c r="C51" s="2120">
        <f t="shared" ref="C51:Q51" si="4">C21+C36+C44+C46</f>
        <v>3431621</v>
      </c>
      <c r="D51" s="2120">
        <f t="shared" si="4"/>
        <v>3857534.3620000007</v>
      </c>
      <c r="E51" s="2120">
        <f t="shared" si="4"/>
        <v>3722470</v>
      </c>
      <c r="F51" s="2121">
        <f t="shared" si="4"/>
        <v>2391722</v>
      </c>
      <c r="G51" s="2122">
        <f t="shared" si="4"/>
        <v>599740</v>
      </c>
      <c r="H51" s="2122">
        <f t="shared" si="4"/>
        <v>594229</v>
      </c>
      <c r="I51" s="2122">
        <f t="shared" si="4"/>
        <v>0</v>
      </c>
      <c r="J51" s="2122">
        <f t="shared" si="4"/>
        <v>2118</v>
      </c>
      <c r="K51" s="2123">
        <f t="shared" si="4"/>
        <v>122303</v>
      </c>
      <c r="L51" s="2122">
        <f t="shared" si="4"/>
        <v>12358</v>
      </c>
      <c r="M51" s="2124">
        <f t="shared" si="4"/>
        <v>0</v>
      </c>
      <c r="N51" s="2125">
        <f t="shared" si="4"/>
        <v>0</v>
      </c>
      <c r="O51" s="2126">
        <f t="shared" si="4"/>
        <v>0</v>
      </c>
      <c r="P51" s="2127">
        <f t="shared" si="4"/>
        <v>769</v>
      </c>
      <c r="Q51" s="2128">
        <f t="shared" si="4"/>
        <v>6</v>
      </c>
      <c r="R51" s="895"/>
      <c r="S51" s="895"/>
      <c r="T51" s="895"/>
    </row>
    <row r="52" spans="1:20" x14ac:dyDescent="0.2">
      <c r="C52" s="2129"/>
      <c r="D52" s="2129"/>
      <c r="E52" s="2129"/>
      <c r="F52" s="2130"/>
      <c r="G52" s="883"/>
      <c r="H52" s="883"/>
      <c r="I52" s="883"/>
      <c r="J52" s="883"/>
      <c r="K52" s="883"/>
      <c r="L52" s="883"/>
      <c r="M52" s="883"/>
      <c r="N52" s="883"/>
      <c r="O52" s="883"/>
      <c r="P52" s="883"/>
      <c r="Q52" s="883"/>
      <c r="R52" s="895"/>
      <c r="T52" s="895"/>
    </row>
    <row r="53" spans="1:20" x14ac:dyDescent="0.2">
      <c r="A53" s="890"/>
      <c r="B53" s="891"/>
      <c r="C53" s="2129"/>
      <c r="D53" s="2129"/>
      <c r="E53" s="2129"/>
      <c r="F53" s="883"/>
      <c r="G53" s="894"/>
      <c r="H53" s="894"/>
      <c r="I53" s="883"/>
      <c r="J53" s="883"/>
      <c r="K53" s="883"/>
      <c r="L53" s="894"/>
      <c r="M53" s="883"/>
      <c r="N53" s="883"/>
      <c r="O53" s="883"/>
      <c r="P53" s="883"/>
      <c r="Q53" s="883"/>
      <c r="R53" s="895"/>
      <c r="T53" s="895"/>
    </row>
    <row r="54" spans="1:20" x14ac:dyDescent="0.2">
      <c r="A54" s="890"/>
      <c r="B54" s="891"/>
      <c r="C54" s="2129"/>
      <c r="D54" s="2129"/>
      <c r="E54" s="2129"/>
      <c r="F54" s="894"/>
      <c r="G54" s="894"/>
      <c r="H54" s="894"/>
      <c r="I54" s="883"/>
      <c r="J54" s="883"/>
      <c r="K54" s="883"/>
      <c r="L54" s="894"/>
      <c r="M54" s="883"/>
      <c r="N54" s="883"/>
      <c r="O54" s="883"/>
      <c r="P54" s="883"/>
      <c r="Q54" s="883"/>
      <c r="R54" s="895"/>
      <c r="T54" s="895"/>
    </row>
    <row r="55" spans="1:20" x14ac:dyDescent="0.2">
      <c r="A55" s="890"/>
      <c r="B55" s="891"/>
      <c r="C55" s="2129"/>
      <c r="D55" s="2129"/>
      <c r="E55" s="2129"/>
      <c r="F55" s="894"/>
      <c r="G55" s="894"/>
      <c r="H55" s="894"/>
      <c r="I55" s="883"/>
      <c r="J55" s="883"/>
      <c r="K55" s="883"/>
      <c r="L55" s="894"/>
      <c r="M55" s="883"/>
      <c r="N55" s="883"/>
      <c r="O55" s="883"/>
      <c r="P55" s="883"/>
      <c r="Q55" s="883"/>
      <c r="R55" s="895"/>
      <c r="T55" s="895"/>
    </row>
    <row r="56" spans="1:20" x14ac:dyDescent="0.2">
      <c r="A56" s="890"/>
      <c r="B56" s="891"/>
      <c r="C56" s="2129"/>
      <c r="D56" s="2129"/>
      <c r="E56" s="2129"/>
      <c r="F56" s="894"/>
      <c r="G56" s="894"/>
      <c r="H56" s="894"/>
      <c r="I56" s="894"/>
      <c r="J56" s="894"/>
      <c r="K56" s="894"/>
      <c r="L56" s="894"/>
      <c r="M56" s="894"/>
      <c r="N56" s="883"/>
      <c r="O56" s="883"/>
      <c r="P56" s="883"/>
      <c r="Q56" s="883"/>
      <c r="R56" s="895"/>
      <c r="T56" s="895"/>
    </row>
    <row r="57" spans="1:20" x14ac:dyDescent="0.2">
      <c r="A57" s="890"/>
      <c r="B57" s="891"/>
      <c r="C57" s="2129"/>
      <c r="D57" s="2129"/>
      <c r="E57" s="2129"/>
      <c r="F57" s="894"/>
      <c r="G57" s="894"/>
      <c r="H57" s="894"/>
      <c r="I57" s="894"/>
      <c r="J57" s="894"/>
      <c r="K57" s="894"/>
      <c r="L57" s="894"/>
      <c r="M57" s="894"/>
      <c r="N57" s="883"/>
      <c r="O57" s="883"/>
      <c r="P57" s="883"/>
      <c r="Q57" s="883"/>
      <c r="R57" s="895"/>
      <c r="T57" s="895"/>
    </row>
    <row r="58" spans="1:20" x14ac:dyDescent="0.2">
      <c r="B58" s="891"/>
      <c r="C58" s="2131"/>
      <c r="D58" s="2131"/>
      <c r="E58" s="2131"/>
      <c r="F58" s="894"/>
      <c r="G58" s="894"/>
      <c r="H58" s="894"/>
      <c r="I58" s="883"/>
      <c r="J58" s="883"/>
      <c r="K58" s="891"/>
      <c r="L58" s="883"/>
      <c r="M58" s="883"/>
      <c r="N58" s="883"/>
      <c r="O58" s="883"/>
      <c r="P58" s="883"/>
      <c r="Q58" s="883"/>
      <c r="R58" s="895"/>
      <c r="T58" s="895"/>
    </row>
    <row r="59" spans="1:20" x14ac:dyDescent="0.2">
      <c r="B59" s="891"/>
      <c r="C59" s="2131"/>
      <c r="D59" s="2131"/>
      <c r="E59" s="2131"/>
      <c r="F59" s="894"/>
      <c r="G59" s="894"/>
      <c r="H59" s="894"/>
      <c r="I59" s="883"/>
      <c r="J59" s="883"/>
      <c r="K59" s="891"/>
      <c r="L59" s="883"/>
      <c r="M59" s="883"/>
      <c r="N59" s="883"/>
      <c r="O59" s="883"/>
      <c r="P59" s="883"/>
      <c r="Q59" s="883"/>
      <c r="R59" s="895"/>
      <c r="T59" s="895"/>
    </row>
    <row r="60" spans="1:20" x14ac:dyDescent="0.2">
      <c r="B60" s="891"/>
      <c r="C60" s="2129"/>
      <c r="D60" s="2129"/>
      <c r="E60" s="2129"/>
      <c r="F60" s="894"/>
      <c r="G60" s="894"/>
      <c r="H60" s="894"/>
      <c r="I60" s="883"/>
      <c r="J60" s="883"/>
      <c r="K60" s="891"/>
      <c r="L60" s="883"/>
      <c r="M60" s="883"/>
      <c r="N60" s="883"/>
      <c r="O60" s="883"/>
      <c r="P60" s="883"/>
      <c r="Q60" s="883"/>
      <c r="R60" s="895"/>
      <c r="T60" s="895"/>
    </row>
    <row r="61" spans="1:20" x14ac:dyDescent="0.2">
      <c r="B61" s="891"/>
      <c r="C61" s="2131"/>
      <c r="D61" s="2131"/>
      <c r="E61" s="2131"/>
      <c r="F61" s="892"/>
      <c r="G61" s="892"/>
      <c r="H61" s="892"/>
      <c r="I61" s="893"/>
      <c r="J61" s="893"/>
      <c r="K61" s="891"/>
      <c r="L61" s="893"/>
      <c r="M61" s="893"/>
      <c r="N61" s="893"/>
      <c r="O61" s="893"/>
      <c r="P61" s="893"/>
      <c r="Q61" s="893"/>
      <c r="R61" s="895"/>
      <c r="S61" s="882"/>
      <c r="T61" s="895"/>
    </row>
    <row r="62" spans="1:20" x14ac:dyDescent="0.2">
      <c r="B62" s="895"/>
      <c r="C62" s="893"/>
      <c r="D62" s="893"/>
      <c r="E62" s="893"/>
      <c r="F62" s="892"/>
      <c r="G62" s="892"/>
      <c r="H62" s="892"/>
      <c r="I62" s="893"/>
      <c r="J62" s="893"/>
      <c r="K62" s="891"/>
      <c r="L62" s="893"/>
      <c r="M62" s="893"/>
      <c r="N62" s="893"/>
      <c r="O62" s="893"/>
      <c r="P62" s="893"/>
      <c r="Q62" s="893"/>
      <c r="R62" s="895"/>
      <c r="S62" s="882"/>
      <c r="T62" s="895"/>
    </row>
    <row r="63" spans="1:20" x14ac:dyDescent="0.2">
      <c r="B63" s="895"/>
      <c r="C63" s="893"/>
      <c r="D63" s="893"/>
      <c r="E63" s="893"/>
      <c r="F63" s="892"/>
      <c r="G63" s="892"/>
      <c r="H63" s="892"/>
      <c r="I63" s="893"/>
      <c r="J63" s="893"/>
      <c r="K63" s="893"/>
      <c r="L63" s="893"/>
      <c r="M63" s="893"/>
      <c r="N63" s="893"/>
      <c r="O63" s="893"/>
      <c r="P63" s="893"/>
      <c r="Q63" s="893"/>
      <c r="R63" s="895"/>
      <c r="S63" s="882"/>
      <c r="T63" s="895"/>
    </row>
    <row r="64" spans="1:20" x14ac:dyDescent="0.2">
      <c r="C64" s="893"/>
      <c r="D64" s="893"/>
      <c r="E64" s="893"/>
      <c r="F64" s="892"/>
      <c r="G64" s="892"/>
      <c r="H64" s="892"/>
      <c r="I64" s="893"/>
      <c r="J64" s="893"/>
      <c r="K64" s="893"/>
      <c r="L64" s="893"/>
      <c r="M64" s="893"/>
      <c r="N64" s="893"/>
      <c r="O64" s="893"/>
      <c r="P64" s="893"/>
      <c r="Q64" s="893"/>
      <c r="R64" s="895"/>
      <c r="S64" s="882"/>
      <c r="T64" s="895"/>
    </row>
    <row r="65" spans="2:20" x14ac:dyDescent="0.2">
      <c r="C65" s="893"/>
      <c r="D65" s="893"/>
      <c r="E65" s="893"/>
      <c r="F65" s="892"/>
      <c r="G65" s="892"/>
      <c r="H65" s="892"/>
      <c r="I65" s="893"/>
      <c r="J65" s="893"/>
      <c r="K65" s="893"/>
      <c r="L65" s="893"/>
      <c r="M65" s="893"/>
      <c r="N65" s="893"/>
      <c r="O65" s="893"/>
      <c r="P65" s="893"/>
      <c r="Q65" s="893"/>
      <c r="R65" s="895"/>
      <c r="S65" s="882"/>
      <c r="T65" s="895"/>
    </row>
    <row r="66" spans="2:20" x14ac:dyDescent="0.2">
      <c r="B66" s="891"/>
      <c r="C66" s="893"/>
      <c r="D66" s="893"/>
      <c r="E66" s="893"/>
      <c r="F66" s="892"/>
      <c r="G66" s="892"/>
      <c r="H66" s="892"/>
      <c r="I66" s="893"/>
      <c r="J66" s="893"/>
      <c r="K66" s="893"/>
      <c r="L66" s="893"/>
      <c r="M66" s="893"/>
      <c r="N66" s="893"/>
      <c r="O66" s="893"/>
      <c r="P66" s="893"/>
      <c r="Q66" s="893"/>
      <c r="R66" s="895"/>
      <c r="S66" s="882"/>
      <c r="T66" s="895"/>
    </row>
    <row r="67" spans="2:20" x14ac:dyDescent="0.2">
      <c r="C67" s="893"/>
      <c r="D67" s="893"/>
      <c r="E67" s="893"/>
      <c r="F67" s="892"/>
      <c r="G67" s="892"/>
      <c r="H67" s="892"/>
      <c r="I67" s="893"/>
      <c r="J67" s="893"/>
      <c r="K67" s="893"/>
      <c r="L67" s="893"/>
      <c r="M67" s="893"/>
      <c r="N67" s="893"/>
      <c r="O67" s="893"/>
      <c r="P67" s="893"/>
      <c r="Q67" s="893"/>
      <c r="R67" s="895"/>
      <c r="S67" s="882"/>
      <c r="T67" s="895"/>
    </row>
    <row r="68" spans="2:20" x14ac:dyDescent="0.2">
      <c r="C68" s="893"/>
      <c r="D68" s="893"/>
      <c r="E68" s="893"/>
      <c r="F68" s="893"/>
      <c r="G68" s="893"/>
      <c r="H68" s="893"/>
      <c r="I68" s="893"/>
      <c r="J68" s="893"/>
      <c r="K68" s="893"/>
      <c r="L68" s="893"/>
      <c r="M68" s="893"/>
      <c r="N68" s="893"/>
      <c r="O68" s="893"/>
      <c r="P68" s="893"/>
      <c r="Q68" s="893"/>
      <c r="R68" s="895"/>
      <c r="S68" s="882"/>
      <c r="T68" s="895"/>
    </row>
    <row r="69" spans="2:20" x14ac:dyDescent="0.2">
      <c r="C69" s="893"/>
      <c r="D69" s="893"/>
      <c r="E69" s="893"/>
      <c r="F69" s="893"/>
      <c r="G69" s="893"/>
      <c r="H69" s="893"/>
      <c r="I69" s="893"/>
      <c r="J69" s="893"/>
      <c r="K69" s="893"/>
      <c r="L69" s="893"/>
      <c r="M69" s="893"/>
      <c r="N69" s="893"/>
      <c r="O69" s="893"/>
      <c r="P69" s="893"/>
      <c r="Q69" s="893"/>
      <c r="R69" s="895"/>
      <c r="S69" s="882"/>
      <c r="T69" s="895"/>
    </row>
    <row r="70" spans="2:20" x14ac:dyDescent="0.2">
      <c r="B70" s="895"/>
      <c r="C70" s="893"/>
      <c r="D70" s="893"/>
      <c r="E70" s="893"/>
      <c r="F70" s="893"/>
      <c r="G70" s="893"/>
      <c r="H70" s="893"/>
      <c r="I70" s="893"/>
      <c r="J70" s="893"/>
      <c r="K70" s="893"/>
      <c r="L70" s="893"/>
      <c r="M70" s="893"/>
      <c r="N70" s="893"/>
      <c r="O70" s="893"/>
      <c r="P70" s="893"/>
      <c r="Q70" s="893"/>
      <c r="R70" s="895"/>
      <c r="S70" s="882"/>
      <c r="T70" s="895"/>
    </row>
    <row r="71" spans="2:20" x14ac:dyDescent="0.2">
      <c r="C71" s="893"/>
      <c r="D71" s="893"/>
      <c r="E71" s="893"/>
      <c r="F71" s="893"/>
      <c r="G71" s="893"/>
      <c r="H71" s="893"/>
      <c r="I71" s="893"/>
      <c r="J71" s="893"/>
      <c r="K71" s="893"/>
      <c r="L71" s="893"/>
      <c r="M71" s="893"/>
      <c r="N71" s="893"/>
      <c r="O71" s="893"/>
      <c r="P71" s="893"/>
      <c r="Q71" s="893"/>
      <c r="R71" s="895"/>
      <c r="S71" s="882"/>
      <c r="T71" s="895"/>
    </row>
    <row r="72" spans="2:20" x14ac:dyDescent="0.2">
      <c r="B72" s="895"/>
      <c r="C72" s="893"/>
      <c r="D72" s="893"/>
      <c r="E72" s="893"/>
      <c r="F72" s="893"/>
      <c r="G72" s="893"/>
      <c r="H72" s="893"/>
      <c r="I72" s="893"/>
      <c r="J72" s="893"/>
      <c r="K72" s="893"/>
      <c r="L72" s="893"/>
      <c r="M72" s="893"/>
      <c r="N72" s="893"/>
      <c r="O72" s="893"/>
      <c r="P72" s="893"/>
      <c r="Q72" s="893"/>
      <c r="R72" s="895"/>
      <c r="S72" s="882"/>
      <c r="T72" s="895"/>
    </row>
    <row r="73" spans="2:20" x14ac:dyDescent="0.2">
      <c r="B73" s="2085"/>
      <c r="C73" s="893"/>
      <c r="D73" s="893"/>
      <c r="E73" s="893"/>
      <c r="F73" s="893"/>
      <c r="G73" s="893"/>
      <c r="H73" s="893"/>
      <c r="I73" s="893"/>
      <c r="J73" s="893"/>
      <c r="K73" s="893"/>
      <c r="L73" s="893"/>
      <c r="M73" s="893"/>
      <c r="N73" s="893"/>
      <c r="O73" s="893"/>
      <c r="P73" s="893"/>
      <c r="Q73" s="893"/>
      <c r="R73" s="895"/>
      <c r="S73" s="882"/>
      <c r="T73" s="895"/>
    </row>
    <row r="74" spans="2:20" x14ac:dyDescent="0.2">
      <c r="B74" s="895"/>
      <c r="C74" s="893"/>
      <c r="D74" s="893"/>
      <c r="E74" s="893"/>
      <c r="F74" s="893"/>
      <c r="G74" s="893"/>
      <c r="H74" s="893"/>
      <c r="I74" s="893"/>
      <c r="J74" s="893"/>
      <c r="K74" s="893"/>
      <c r="L74" s="893"/>
      <c r="M74" s="893"/>
      <c r="N74" s="893"/>
      <c r="O74" s="893"/>
      <c r="P74" s="893"/>
      <c r="Q74" s="893"/>
      <c r="R74" s="895"/>
      <c r="S74" s="882"/>
      <c r="T74" s="895"/>
    </row>
    <row r="75" spans="2:20" x14ac:dyDescent="0.2">
      <c r="B75" s="895"/>
      <c r="C75" s="893"/>
      <c r="D75" s="893"/>
      <c r="E75" s="893"/>
      <c r="F75" s="893"/>
      <c r="G75" s="893"/>
      <c r="H75" s="893"/>
      <c r="I75" s="893"/>
      <c r="J75" s="893"/>
      <c r="K75" s="893"/>
      <c r="L75" s="893"/>
      <c r="M75" s="893"/>
      <c r="N75" s="893"/>
      <c r="O75" s="893"/>
      <c r="P75" s="893"/>
      <c r="Q75" s="893"/>
      <c r="R75" s="895"/>
      <c r="S75" s="882"/>
      <c r="T75" s="895"/>
    </row>
    <row r="76" spans="2:20" x14ac:dyDescent="0.2">
      <c r="B76" s="895"/>
      <c r="C76" s="893"/>
      <c r="D76" s="893"/>
      <c r="E76" s="893"/>
      <c r="F76" s="893"/>
      <c r="G76" s="893"/>
      <c r="H76" s="893"/>
      <c r="I76" s="893"/>
      <c r="J76" s="893"/>
      <c r="K76" s="893"/>
      <c r="L76" s="893"/>
      <c r="M76" s="893"/>
      <c r="N76" s="893"/>
      <c r="O76" s="893"/>
      <c r="P76" s="893"/>
      <c r="Q76" s="893"/>
      <c r="R76" s="895"/>
      <c r="S76" s="882"/>
      <c r="T76" s="895"/>
    </row>
    <row r="77" spans="2:20" x14ac:dyDescent="0.2">
      <c r="B77" s="895"/>
      <c r="C77" s="893"/>
      <c r="D77" s="893"/>
      <c r="E77" s="893"/>
      <c r="F77" s="893"/>
      <c r="G77" s="893"/>
      <c r="H77" s="893"/>
      <c r="I77" s="893"/>
      <c r="J77" s="893"/>
      <c r="K77" s="893"/>
      <c r="L77" s="893"/>
      <c r="M77" s="893"/>
      <c r="N77" s="893"/>
      <c r="O77" s="893"/>
      <c r="P77" s="893"/>
      <c r="Q77" s="893"/>
      <c r="R77" s="895"/>
      <c r="S77" s="882"/>
      <c r="T77" s="895"/>
    </row>
    <row r="78" spans="2:20" x14ac:dyDescent="0.2">
      <c r="B78" s="895"/>
      <c r="C78" s="893"/>
      <c r="D78" s="893"/>
      <c r="E78" s="893"/>
      <c r="F78" s="893"/>
      <c r="G78" s="893"/>
      <c r="H78" s="893"/>
      <c r="I78" s="893"/>
      <c r="J78" s="893"/>
      <c r="K78" s="893"/>
      <c r="L78" s="893"/>
      <c r="M78" s="893"/>
      <c r="N78" s="893"/>
      <c r="O78" s="893"/>
      <c r="P78" s="893"/>
      <c r="Q78" s="893"/>
      <c r="R78" s="895"/>
      <c r="S78" s="882"/>
      <c r="T78" s="895"/>
    </row>
    <row r="79" spans="2:20" x14ac:dyDescent="0.2">
      <c r="B79" s="895"/>
      <c r="C79" s="893"/>
      <c r="D79" s="893"/>
      <c r="E79" s="893"/>
      <c r="F79" s="893"/>
      <c r="G79" s="893"/>
      <c r="H79" s="893"/>
      <c r="I79" s="893"/>
      <c r="J79" s="893"/>
      <c r="K79" s="893"/>
      <c r="L79" s="893"/>
      <c r="M79" s="893"/>
      <c r="N79" s="893"/>
      <c r="O79" s="893"/>
      <c r="P79" s="893"/>
      <c r="Q79" s="893"/>
      <c r="R79" s="895"/>
      <c r="S79" s="882"/>
      <c r="T79" s="895"/>
    </row>
    <row r="80" spans="2:20" x14ac:dyDescent="0.2">
      <c r="B80" s="895"/>
      <c r="C80" s="893"/>
      <c r="D80" s="893"/>
      <c r="E80" s="893"/>
      <c r="F80" s="892"/>
      <c r="G80" s="893"/>
      <c r="H80" s="893"/>
      <c r="I80" s="893"/>
      <c r="J80" s="893"/>
      <c r="K80" s="893"/>
      <c r="L80" s="893"/>
      <c r="M80" s="893"/>
      <c r="N80" s="893"/>
      <c r="O80" s="893"/>
      <c r="P80" s="893"/>
      <c r="Q80" s="893"/>
      <c r="R80" s="895"/>
      <c r="S80" s="882"/>
      <c r="T80" s="895"/>
    </row>
    <row r="81" spans="2:20" x14ac:dyDescent="0.2">
      <c r="B81" s="895"/>
      <c r="C81" s="893"/>
      <c r="D81" s="893"/>
      <c r="E81" s="893"/>
      <c r="F81" s="893"/>
      <c r="G81" s="893"/>
      <c r="H81" s="893"/>
      <c r="I81" s="893"/>
      <c r="J81" s="893"/>
      <c r="K81" s="893"/>
      <c r="L81" s="893"/>
      <c r="M81" s="893"/>
      <c r="N81" s="893"/>
      <c r="O81" s="893"/>
      <c r="P81" s="893"/>
      <c r="Q81" s="893"/>
      <c r="R81" s="882"/>
      <c r="S81" s="882"/>
      <c r="T81" s="895"/>
    </row>
    <row r="82" spans="2:20" x14ac:dyDescent="0.2">
      <c r="B82" s="895"/>
      <c r="C82" s="893"/>
      <c r="D82" s="893"/>
      <c r="E82" s="893"/>
      <c r="F82" s="893"/>
      <c r="G82" s="893"/>
      <c r="H82" s="893"/>
      <c r="I82" s="893"/>
      <c r="J82" s="893"/>
      <c r="K82" s="893"/>
      <c r="L82" s="893"/>
      <c r="M82" s="893"/>
      <c r="N82" s="893"/>
      <c r="O82" s="893"/>
      <c r="P82" s="893"/>
      <c r="Q82" s="893"/>
      <c r="R82" s="882"/>
      <c r="S82" s="882"/>
      <c r="T82" s="895"/>
    </row>
    <row r="83" spans="2:20" x14ac:dyDescent="0.2">
      <c r="B83" s="895"/>
      <c r="C83" s="893"/>
      <c r="D83" s="893"/>
      <c r="E83" s="893"/>
      <c r="F83" s="893"/>
      <c r="G83" s="893"/>
      <c r="H83" s="893"/>
      <c r="I83" s="893"/>
      <c r="J83" s="893"/>
      <c r="K83" s="893"/>
      <c r="L83" s="893"/>
      <c r="M83" s="893"/>
      <c r="N83" s="893"/>
      <c r="O83" s="893"/>
      <c r="P83" s="893"/>
      <c r="Q83" s="893"/>
      <c r="R83" s="882"/>
      <c r="S83" s="882"/>
      <c r="T83" s="895"/>
    </row>
    <row r="84" spans="2:20" x14ac:dyDescent="0.2">
      <c r="C84" s="893"/>
      <c r="D84" s="893"/>
      <c r="E84" s="893"/>
      <c r="F84" s="893"/>
      <c r="G84" s="893"/>
      <c r="H84" s="893"/>
      <c r="I84" s="893"/>
      <c r="J84" s="893"/>
      <c r="K84" s="893"/>
      <c r="L84" s="893"/>
      <c r="M84" s="893"/>
      <c r="N84" s="893"/>
      <c r="O84" s="893"/>
      <c r="P84" s="893"/>
      <c r="Q84" s="893"/>
      <c r="R84" s="882"/>
      <c r="S84" s="882"/>
      <c r="T84" s="895"/>
    </row>
    <row r="85" spans="2:20" x14ac:dyDescent="0.2">
      <c r="C85" s="893"/>
      <c r="D85" s="893"/>
      <c r="E85" s="893"/>
      <c r="F85" s="893"/>
      <c r="G85" s="893"/>
      <c r="H85" s="893"/>
      <c r="I85" s="893"/>
      <c r="J85" s="893"/>
      <c r="K85" s="893"/>
      <c r="L85" s="893"/>
      <c r="M85" s="893"/>
      <c r="N85" s="893"/>
      <c r="O85" s="893"/>
      <c r="P85" s="893"/>
      <c r="Q85" s="893"/>
      <c r="R85" s="882"/>
      <c r="S85" s="882"/>
      <c r="T85" s="895"/>
    </row>
    <row r="86" spans="2:20" x14ac:dyDescent="0.2">
      <c r="B86" s="895"/>
      <c r="C86" s="893"/>
      <c r="D86" s="893"/>
      <c r="E86" s="893"/>
      <c r="F86" s="893"/>
      <c r="G86" s="893"/>
      <c r="H86" s="893"/>
      <c r="I86" s="893"/>
      <c r="J86" s="893"/>
      <c r="K86" s="893"/>
      <c r="L86" s="893"/>
      <c r="M86" s="893"/>
      <c r="N86" s="893"/>
      <c r="O86" s="893"/>
      <c r="P86" s="893"/>
      <c r="Q86" s="893"/>
      <c r="R86" s="882"/>
      <c r="S86" s="882"/>
      <c r="T86" s="895"/>
    </row>
    <row r="87" spans="2:20" x14ac:dyDescent="0.2">
      <c r="C87" s="893"/>
      <c r="D87" s="893"/>
      <c r="E87" s="893"/>
      <c r="F87" s="893"/>
      <c r="G87" s="893"/>
      <c r="H87" s="893"/>
      <c r="I87" s="893"/>
      <c r="J87" s="893"/>
      <c r="K87" s="893"/>
      <c r="L87" s="893"/>
      <c r="M87" s="893"/>
      <c r="N87" s="893"/>
      <c r="O87" s="893"/>
      <c r="P87" s="893"/>
      <c r="Q87" s="893"/>
      <c r="R87" s="882"/>
      <c r="S87" s="882"/>
      <c r="T87" s="895"/>
    </row>
    <row r="88" spans="2:20" x14ac:dyDescent="0.2">
      <c r="C88" s="893"/>
      <c r="D88" s="893"/>
      <c r="E88" s="893"/>
      <c r="F88" s="893"/>
      <c r="G88" s="893"/>
      <c r="H88" s="893"/>
      <c r="I88" s="893"/>
      <c r="J88" s="893"/>
      <c r="K88" s="893"/>
      <c r="L88" s="893"/>
      <c r="M88" s="893"/>
      <c r="N88" s="893"/>
      <c r="O88" s="893"/>
      <c r="P88" s="893"/>
      <c r="Q88" s="893"/>
      <c r="R88" s="882"/>
      <c r="S88" s="882"/>
      <c r="T88" s="895"/>
    </row>
    <row r="89" spans="2:20" x14ac:dyDescent="0.2">
      <c r="C89" s="893"/>
      <c r="D89" s="893"/>
      <c r="E89" s="893"/>
      <c r="F89" s="893"/>
      <c r="G89" s="893"/>
      <c r="H89" s="893"/>
      <c r="I89" s="893"/>
      <c r="J89" s="893"/>
      <c r="K89" s="893"/>
      <c r="L89" s="893"/>
      <c r="M89" s="893"/>
      <c r="N89" s="893"/>
      <c r="O89" s="893"/>
      <c r="P89" s="893"/>
      <c r="Q89" s="893"/>
      <c r="R89" s="882"/>
      <c r="S89" s="882"/>
      <c r="T89" s="895"/>
    </row>
    <row r="90" spans="2:20" x14ac:dyDescent="0.2">
      <c r="C90" s="893"/>
      <c r="D90" s="893"/>
      <c r="E90" s="893"/>
      <c r="F90" s="893"/>
      <c r="G90" s="893"/>
      <c r="H90" s="893"/>
      <c r="I90" s="893"/>
      <c r="J90" s="893"/>
      <c r="K90" s="893"/>
      <c r="L90" s="893"/>
      <c r="M90" s="893"/>
      <c r="N90" s="893"/>
      <c r="O90" s="893"/>
      <c r="P90" s="893"/>
      <c r="Q90" s="893"/>
      <c r="R90" s="882"/>
      <c r="S90" s="882"/>
      <c r="T90" s="895"/>
    </row>
    <row r="91" spans="2:20" x14ac:dyDescent="0.2">
      <c r="B91" s="895"/>
      <c r="C91" s="893"/>
      <c r="D91" s="893"/>
      <c r="E91" s="893"/>
      <c r="F91" s="893"/>
      <c r="G91" s="893"/>
      <c r="H91" s="893"/>
      <c r="I91" s="893"/>
      <c r="J91" s="893"/>
      <c r="K91" s="893"/>
      <c r="L91" s="893"/>
      <c r="M91" s="893"/>
      <c r="N91" s="893"/>
      <c r="O91" s="893"/>
      <c r="P91" s="893"/>
      <c r="Q91" s="893"/>
      <c r="R91" s="882"/>
      <c r="S91" s="882"/>
      <c r="T91" s="895"/>
    </row>
    <row r="92" spans="2:20" x14ac:dyDescent="0.2">
      <c r="C92" s="893"/>
      <c r="D92" s="893"/>
      <c r="E92" s="893"/>
      <c r="F92" s="893"/>
      <c r="G92" s="893"/>
      <c r="H92" s="893"/>
      <c r="I92" s="893"/>
      <c r="J92" s="893"/>
      <c r="K92" s="893"/>
      <c r="L92" s="893"/>
      <c r="M92" s="893"/>
      <c r="N92" s="893"/>
      <c r="O92" s="893"/>
      <c r="P92" s="893"/>
      <c r="Q92" s="893"/>
      <c r="R92" s="882"/>
      <c r="S92" s="882"/>
      <c r="T92" s="895"/>
    </row>
    <row r="93" spans="2:20" x14ac:dyDescent="0.2">
      <c r="C93" s="893"/>
      <c r="D93" s="893"/>
      <c r="E93" s="893"/>
      <c r="F93" s="893"/>
      <c r="G93" s="893"/>
      <c r="H93" s="893"/>
      <c r="I93" s="893"/>
      <c r="J93" s="893"/>
      <c r="K93" s="893"/>
      <c r="L93" s="893"/>
      <c r="M93" s="893"/>
      <c r="N93" s="893"/>
      <c r="O93" s="893"/>
      <c r="P93" s="893"/>
      <c r="Q93" s="893"/>
      <c r="R93" s="882"/>
      <c r="S93" s="882"/>
      <c r="T93" s="895"/>
    </row>
    <row r="94" spans="2:20" x14ac:dyDescent="0.2">
      <c r="B94" s="895"/>
      <c r="C94" s="893"/>
      <c r="D94" s="893"/>
      <c r="E94" s="893"/>
      <c r="F94" s="893"/>
      <c r="G94" s="893"/>
      <c r="H94" s="893"/>
      <c r="I94" s="893"/>
      <c r="J94" s="893"/>
      <c r="K94" s="893"/>
      <c r="L94" s="893"/>
      <c r="M94" s="893"/>
      <c r="N94" s="893"/>
      <c r="O94" s="893"/>
      <c r="P94" s="893"/>
      <c r="Q94" s="893"/>
      <c r="R94" s="882"/>
      <c r="S94" s="882"/>
      <c r="T94" s="895"/>
    </row>
    <row r="95" spans="2:20" x14ac:dyDescent="0.2">
      <c r="C95" s="893"/>
      <c r="D95" s="893"/>
      <c r="E95" s="893"/>
      <c r="F95" s="893"/>
      <c r="G95" s="893"/>
      <c r="H95" s="893"/>
      <c r="I95" s="893"/>
      <c r="J95" s="893"/>
      <c r="K95" s="893"/>
      <c r="L95" s="893"/>
      <c r="M95" s="893"/>
      <c r="N95" s="893"/>
      <c r="O95" s="893"/>
      <c r="P95" s="893"/>
      <c r="Q95" s="893"/>
      <c r="R95" s="882"/>
      <c r="S95" s="882"/>
      <c r="T95" s="895"/>
    </row>
    <row r="96" spans="2:20" x14ac:dyDescent="0.2">
      <c r="B96" s="895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/>
      <c r="O96" s="893"/>
      <c r="P96" s="893"/>
      <c r="Q96" s="893"/>
      <c r="R96" s="882"/>
      <c r="S96" s="882"/>
      <c r="T96" s="895"/>
    </row>
    <row r="97" spans="3:20" x14ac:dyDescent="0.2">
      <c r="C97" s="893"/>
      <c r="D97" s="893"/>
      <c r="E97" s="893"/>
      <c r="F97" s="893"/>
      <c r="G97" s="893"/>
      <c r="H97" s="893"/>
      <c r="I97" s="893"/>
      <c r="J97" s="893"/>
      <c r="K97" s="893"/>
      <c r="L97" s="893"/>
      <c r="M97" s="893"/>
      <c r="N97" s="893"/>
      <c r="O97" s="893"/>
      <c r="P97" s="893"/>
      <c r="Q97" s="893"/>
      <c r="R97" s="882"/>
      <c r="S97" s="882"/>
      <c r="T97" s="895"/>
    </row>
    <row r="98" spans="3:20" x14ac:dyDescent="0.2">
      <c r="C98" s="893"/>
      <c r="D98" s="893"/>
      <c r="E98" s="893"/>
      <c r="F98" s="893"/>
      <c r="G98" s="893"/>
      <c r="H98" s="893"/>
      <c r="I98" s="893"/>
      <c r="J98" s="893"/>
      <c r="K98" s="893"/>
      <c r="L98" s="893"/>
      <c r="M98" s="893"/>
      <c r="N98" s="893"/>
      <c r="O98" s="893"/>
      <c r="P98" s="893"/>
      <c r="Q98" s="893"/>
      <c r="R98" s="882"/>
      <c r="S98" s="882"/>
      <c r="T98" s="895"/>
    </row>
    <row r="99" spans="3:20" x14ac:dyDescent="0.2">
      <c r="C99" s="893"/>
      <c r="D99" s="893"/>
      <c r="E99" s="893"/>
      <c r="F99" s="893"/>
      <c r="G99" s="893"/>
      <c r="H99" s="893"/>
      <c r="I99" s="893"/>
      <c r="J99" s="893"/>
      <c r="K99" s="893"/>
      <c r="L99" s="893"/>
      <c r="M99" s="893"/>
      <c r="N99" s="893"/>
      <c r="O99" s="893"/>
      <c r="P99" s="893"/>
      <c r="Q99" s="893"/>
      <c r="R99" s="882"/>
      <c r="S99" s="882"/>
      <c r="T99" s="895"/>
    </row>
    <row r="100" spans="3:20" x14ac:dyDescent="0.2">
      <c r="C100" s="893"/>
      <c r="D100" s="893"/>
      <c r="E100" s="893"/>
      <c r="F100" s="893"/>
      <c r="G100" s="893"/>
      <c r="H100" s="893"/>
      <c r="I100" s="893"/>
      <c r="J100" s="893"/>
      <c r="K100" s="893"/>
      <c r="L100" s="893"/>
      <c r="M100" s="893"/>
      <c r="N100" s="893"/>
      <c r="O100" s="893"/>
      <c r="P100" s="893"/>
      <c r="Q100" s="893"/>
      <c r="R100" s="882"/>
      <c r="S100" s="882"/>
      <c r="T100" s="895"/>
    </row>
    <row r="101" spans="3:20" x14ac:dyDescent="0.2">
      <c r="C101" s="893"/>
      <c r="D101" s="893"/>
      <c r="E101" s="893"/>
      <c r="F101" s="893"/>
      <c r="G101" s="893"/>
      <c r="H101" s="893"/>
      <c r="I101" s="893"/>
      <c r="J101" s="893"/>
      <c r="K101" s="893"/>
      <c r="L101" s="893"/>
      <c r="M101" s="893"/>
      <c r="N101" s="893"/>
      <c r="O101" s="893"/>
      <c r="P101" s="893"/>
      <c r="Q101" s="893"/>
      <c r="R101" s="882"/>
      <c r="S101" s="882"/>
      <c r="T101" s="895"/>
    </row>
    <row r="102" spans="3:20" x14ac:dyDescent="0.2">
      <c r="C102" s="893"/>
      <c r="D102" s="893"/>
      <c r="E102" s="893"/>
      <c r="F102" s="893"/>
      <c r="G102" s="893"/>
      <c r="H102" s="893"/>
      <c r="I102" s="893"/>
      <c r="J102" s="893"/>
      <c r="K102" s="893"/>
      <c r="L102" s="893"/>
      <c r="M102" s="893"/>
      <c r="N102" s="893"/>
      <c r="O102" s="893"/>
      <c r="P102" s="893"/>
      <c r="Q102" s="893"/>
      <c r="R102" s="882"/>
      <c r="S102" s="882"/>
      <c r="T102" s="895"/>
    </row>
    <row r="103" spans="3:20" x14ac:dyDescent="0.2">
      <c r="C103" s="893"/>
      <c r="D103" s="893"/>
      <c r="E103" s="893"/>
      <c r="F103" s="893"/>
      <c r="G103" s="893"/>
      <c r="H103" s="893"/>
      <c r="I103" s="893"/>
      <c r="J103" s="893"/>
      <c r="K103" s="893"/>
      <c r="L103" s="893"/>
      <c r="M103" s="893"/>
      <c r="N103" s="893"/>
      <c r="O103" s="893"/>
      <c r="P103" s="893"/>
      <c r="Q103" s="893"/>
      <c r="R103" s="882"/>
      <c r="S103" s="882"/>
      <c r="T103" s="895"/>
    </row>
    <row r="104" spans="3:20" x14ac:dyDescent="0.2">
      <c r="C104" s="882"/>
      <c r="D104" s="882"/>
      <c r="E104" s="882"/>
      <c r="F104" s="882"/>
      <c r="G104" s="882"/>
      <c r="H104" s="882"/>
      <c r="I104" s="882"/>
      <c r="J104" s="882"/>
      <c r="K104" s="882"/>
      <c r="L104" s="882"/>
      <c r="M104" s="882"/>
      <c r="N104" s="882"/>
      <c r="O104" s="882"/>
      <c r="P104" s="882"/>
      <c r="Q104" s="882"/>
      <c r="R104" s="882"/>
      <c r="S104" s="882"/>
      <c r="T104" s="895"/>
    </row>
    <row r="105" spans="3:20" x14ac:dyDescent="0.2">
      <c r="C105" s="882"/>
      <c r="D105" s="882"/>
      <c r="E105" s="882"/>
      <c r="F105" s="882"/>
      <c r="G105" s="882"/>
      <c r="H105" s="882"/>
      <c r="I105" s="882"/>
      <c r="J105" s="882"/>
      <c r="K105" s="882"/>
      <c r="L105" s="882"/>
      <c r="M105" s="882"/>
      <c r="N105" s="882"/>
      <c r="O105" s="882"/>
      <c r="P105" s="882"/>
      <c r="Q105" s="882"/>
      <c r="R105" s="882"/>
      <c r="S105" s="882"/>
      <c r="T105" s="895"/>
    </row>
    <row r="106" spans="3:20" x14ac:dyDescent="0.2">
      <c r="C106" s="882"/>
      <c r="D106" s="882"/>
      <c r="E106" s="882"/>
      <c r="F106" s="882"/>
      <c r="G106" s="882"/>
      <c r="H106" s="882"/>
      <c r="I106" s="882"/>
      <c r="J106" s="882"/>
      <c r="K106" s="882"/>
      <c r="L106" s="882"/>
      <c r="M106" s="882"/>
      <c r="N106" s="882"/>
      <c r="O106" s="882"/>
      <c r="P106" s="882"/>
      <c r="Q106" s="882"/>
      <c r="R106" s="882"/>
      <c r="S106" s="882"/>
      <c r="T106" s="895"/>
    </row>
    <row r="107" spans="3:20" x14ac:dyDescent="0.2">
      <c r="C107" s="882"/>
      <c r="D107" s="882"/>
      <c r="E107" s="882"/>
      <c r="F107" s="882"/>
      <c r="G107" s="882"/>
      <c r="H107" s="882"/>
      <c r="I107" s="882"/>
      <c r="J107" s="882"/>
      <c r="K107" s="882"/>
      <c r="L107" s="882"/>
      <c r="M107" s="882"/>
      <c r="N107" s="882"/>
      <c r="O107" s="882"/>
      <c r="P107" s="882"/>
      <c r="Q107" s="882"/>
      <c r="R107" s="882"/>
      <c r="S107" s="882"/>
      <c r="T107" s="895"/>
    </row>
    <row r="108" spans="3:20" x14ac:dyDescent="0.2">
      <c r="C108" s="882"/>
      <c r="D108" s="882"/>
      <c r="E108" s="882"/>
      <c r="F108" s="882"/>
      <c r="G108" s="882"/>
      <c r="H108" s="882"/>
      <c r="I108" s="882"/>
      <c r="J108" s="882"/>
      <c r="K108" s="882"/>
      <c r="L108" s="882"/>
      <c r="M108" s="882"/>
      <c r="N108" s="882"/>
      <c r="O108" s="882"/>
      <c r="P108" s="882"/>
      <c r="Q108" s="882"/>
      <c r="R108" s="882"/>
      <c r="S108" s="882"/>
      <c r="T108" s="895"/>
    </row>
    <row r="109" spans="3:20" x14ac:dyDescent="0.2">
      <c r="C109" s="882"/>
      <c r="D109" s="882"/>
      <c r="E109" s="882"/>
      <c r="F109" s="882"/>
      <c r="G109" s="882"/>
      <c r="H109" s="882"/>
      <c r="I109" s="882"/>
      <c r="J109" s="882"/>
      <c r="K109" s="882"/>
      <c r="L109" s="882"/>
      <c r="M109" s="882"/>
      <c r="N109" s="882"/>
      <c r="O109" s="882"/>
      <c r="P109" s="882"/>
      <c r="Q109" s="882"/>
      <c r="R109" s="882"/>
      <c r="S109" s="882"/>
      <c r="T109" s="895"/>
    </row>
    <row r="110" spans="3:20" x14ac:dyDescent="0.2">
      <c r="C110" s="882"/>
      <c r="D110" s="882"/>
      <c r="E110" s="882"/>
      <c r="F110" s="882"/>
      <c r="G110" s="882"/>
      <c r="H110" s="882"/>
      <c r="I110" s="882"/>
      <c r="J110" s="882"/>
      <c r="K110" s="882"/>
      <c r="L110" s="882"/>
      <c r="M110" s="882"/>
      <c r="N110" s="882"/>
      <c r="O110" s="882"/>
      <c r="P110" s="882"/>
      <c r="Q110" s="882"/>
      <c r="R110" s="882"/>
      <c r="S110" s="882"/>
      <c r="T110" s="895"/>
    </row>
    <row r="111" spans="3:20" x14ac:dyDescent="0.2">
      <c r="C111" s="882"/>
      <c r="D111" s="882"/>
      <c r="E111" s="882"/>
      <c r="F111" s="882"/>
      <c r="G111" s="882"/>
      <c r="H111" s="882"/>
      <c r="I111" s="882"/>
      <c r="J111" s="882"/>
      <c r="K111" s="882"/>
      <c r="L111" s="882"/>
      <c r="M111" s="882"/>
      <c r="N111" s="882"/>
      <c r="O111" s="882"/>
      <c r="P111" s="882"/>
      <c r="Q111" s="882"/>
      <c r="R111" s="882"/>
      <c r="S111" s="882"/>
      <c r="T111" s="895"/>
    </row>
    <row r="112" spans="3:20" x14ac:dyDescent="0.2">
      <c r="C112" s="882"/>
      <c r="D112" s="882"/>
      <c r="E112" s="882"/>
      <c r="F112" s="882"/>
      <c r="G112" s="882"/>
      <c r="H112" s="882"/>
      <c r="I112" s="882"/>
      <c r="J112" s="882"/>
      <c r="K112" s="882"/>
      <c r="L112" s="882"/>
      <c r="M112" s="882"/>
      <c r="N112" s="882"/>
      <c r="O112" s="882"/>
      <c r="P112" s="882"/>
      <c r="Q112" s="882"/>
      <c r="R112" s="882"/>
      <c r="S112" s="882"/>
      <c r="T112" s="895"/>
    </row>
    <row r="113" spans="3:20" x14ac:dyDescent="0.2">
      <c r="C113" s="882"/>
      <c r="D113" s="882"/>
      <c r="E113" s="882"/>
      <c r="F113" s="882"/>
      <c r="G113" s="882"/>
      <c r="H113" s="882"/>
      <c r="I113" s="882"/>
      <c r="J113" s="882"/>
      <c r="K113" s="882"/>
      <c r="L113" s="882"/>
      <c r="M113" s="882"/>
      <c r="N113" s="882"/>
      <c r="O113" s="882"/>
      <c r="P113" s="882"/>
      <c r="Q113" s="882"/>
      <c r="R113" s="882"/>
      <c r="S113" s="882"/>
      <c r="T113" s="895"/>
    </row>
    <row r="114" spans="3:20" x14ac:dyDescent="0.2">
      <c r="C114" s="882"/>
      <c r="D114" s="882"/>
      <c r="E114" s="882"/>
      <c r="F114" s="882"/>
      <c r="G114" s="882"/>
      <c r="H114" s="882"/>
      <c r="I114" s="882"/>
      <c r="J114" s="882"/>
      <c r="K114" s="882"/>
      <c r="L114" s="882"/>
      <c r="M114" s="882"/>
      <c r="N114" s="882"/>
      <c r="O114" s="882"/>
      <c r="P114" s="882"/>
      <c r="Q114" s="882"/>
      <c r="R114" s="882"/>
      <c r="S114" s="882"/>
      <c r="T114" s="895"/>
    </row>
    <row r="115" spans="3:20" x14ac:dyDescent="0.2">
      <c r="C115" s="882"/>
      <c r="D115" s="882"/>
      <c r="E115" s="882"/>
      <c r="F115" s="882"/>
      <c r="G115" s="882"/>
      <c r="H115" s="882"/>
      <c r="I115" s="882"/>
      <c r="J115" s="882"/>
      <c r="K115" s="882"/>
      <c r="L115" s="882"/>
      <c r="M115" s="882"/>
      <c r="N115" s="882"/>
      <c r="O115" s="882"/>
      <c r="P115" s="882"/>
      <c r="Q115" s="882"/>
      <c r="R115" s="882"/>
      <c r="S115" s="882"/>
      <c r="T115" s="895"/>
    </row>
    <row r="116" spans="3:20" x14ac:dyDescent="0.2">
      <c r="C116" s="882"/>
      <c r="D116" s="882"/>
      <c r="E116" s="882"/>
      <c r="F116" s="882"/>
      <c r="G116" s="882"/>
      <c r="H116" s="882"/>
      <c r="I116" s="882"/>
      <c r="J116" s="882"/>
      <c r="K116" s="882"/>
      <c r="L116" s="882"/>
      <c r="M116" s="882"/>
      <c r="N116" s="882"/>
      <c r="O116" s="882"/>
      <c r="P116" s="882"/>
      <c r="Q116" s="882"/>
      <c r="R116" s="882"/>
      <c r="S116" s="882"/>
      <c r="T116" s="895"/>
    </row>
    <row r="117" spans="3:20" x14ac:dyDescent="0.2">
      <c r="C117" s="882"/>
      <c r="D117" s="882"/>
      <c r="E117" s="882"/>
      <c r="F117" s="882"/>
      <c r="G117" s="882"/>
      <c r="H117" s="882"/>
      <c r="I117" s="882"/>
      <c r="J117" s="882"/>
      <c r="K117" s="882"/>
      <c r="L117" s="882"/>
      <c r="M117" s="882"/>
      <c r="N117" s="882"/>
      <c r="O117" s="882"/>
      <c r="P117" s="882"/>
      <c r="Q117" s="882"/>
      <c r="R117" s="882"/>
      <c r="S117" s="882"/>
      <c r="T117" s="895"/>
    </row>
    <row r="118" spans="3:20" x14ac:dyDescent="0.2">
      <c r="C118" s="882"/>
      <c r="D118" s="882"/>
      <c r="E118" s="882"/>
      <c r="F118" s="882"/>
      <c r="G118" s="882"/>
      <c r="H118" s="882"/>
      <c r="I118" s="882"/>
      <c r="J118" s="882"/>
      <c r="K118" s="882"/>
      <c r="L118" s="882"/>
      <c r="M118" s="882"/>
      <c r="N118" s="882"/>
      <c r="O118" s="882"/>
      <c r="P118" s="882"/>
      <c r="Q118" s="882"/>
      <c r="R118" s="882"/>
      <c r="S118" s="882"/>
      <c r="T118" s="895"/>
    </row>
    <row r="119" spans="3:20" x14ac:dyDescent="0.2">
      <c r="C119" s="882"/>
      <c r="D119" s="882"/>
      <c r="E119" s="882"/>
      <c r="F119" s="882"/>
      <c r="G119" s="882"/>
      <c r="H119" s="882"/>
      <c r="I119" s="882"/>
      <c r="J119" s="882"/>
      <c r="K119" s="882"/>
      <c r="L119" s="882"/>
      <c r="M119" s="882"/>
      <c r="N119" s="882"/>
      <c r="O119" s="882"/>
      <c r="P119" s="882"/>
      <c r="Q119" s="882"/>
      <c r="R119" s="882"/>
      <c r="S119" s="882"/>
      <c r="T119" s="895"/>
    </row>
    <row r="120" spans="3:20" x14ac:dyDescent="0.2">
      <c r="C120" s="882"/>
      <c r="D120" s="882"/>
      <c r="E120" s="882"/>
      <c r="F120" s="882"/>
      <c r="G120" s="882"/>
      <c r="H120" s="882"/>
      <c r="I120" s="882"/>
      <c r="J120" s="882"/>
      <c r="K120" s="882"/>
      <c r="L120" s="882"/>
      <c r="M120" s="882"/>
      <c r="N120" s="882"/>
      <c r="O120" s="882"/>
      <c r="P120" s="882"/>
      <c r="Q120" s="882"/>
      <c r="R120" s="882"/>
      <c r="S120" s="882"/>
      <c r="T120" s="895"/>
    </row>
    <row r="121" spans="3:20" x14ac:dyDescent="0.2">
      <c r="C121" s="882"/>
      <c r="D121" s="882"/>
      <c r="E121" s="882"/>
      <c r="F121" s="882"/>
      <c r="G121" s="882"/>
      <c r="H121" s="882"/>
      <c r="I121" s="882"/>
      <c r="J121" s="882"/>
      <c r="K121" s="882"/>
      <c r="L121" s="882"/>
      <c r="M121" s="882"/>
      <c r="N121" s="882"/>
      <c r="O121" s="882"/>
      <c r="P121" s="882"/>
      <c r="Q121" s="882"/>
      <c r="R121" s="882"/>
      <c r="S121" s="882"/>
      <c r="T121" s="895"/>
    </row>
    <row r="122" spans="3:20" x14ac:dyDescent="0.2">
      <c r="C122" s="882"/>
      <c r="D122" s="882"/>
      <c r="E122" s="882"/>
      <c r="F122" s="882"/>
      <c r="G122" s="882"/>
      <c r="H122" s="882"/>
      <c r="I122" s="882"/>
      <c r="J122" s="882"/>
      <c r="K122" s="882"/>
      <c r="L122" s="882"/>
      <c r="M122" s="882"/>
      <c r="N122" s="882"/>
      <c r="O122" s="882"/>
      <c r="P122" s="882"/>
      <c r="Q122" s="882"/>
      <c r="R122" s="882"/>
      <c r="S122" s="882"/>
      <c r="T122" s="895"/>
    </row>
    <row r="123" spans="3:20" x14ac:dyDescent="0.2">
      <c r="C123" s="882"/>
      <c r="D123" s="882"/>
      <c r="E123" s="882"/>
      <c r="F123" s="882"/>
      <c r="G123" s="882"/>
      <c r="H123" s="882"/>
      <c r="I123" s="882"/>
      <c r="J123" s="882"/>
      <c r="K123" s="882"/>
      <c r="L123" s="882"/>
      <c r="M123" s="882"/>
      <c r="N123" s="882"/>
      <c r="O123" s="882"/>
      <c r="P123" s="882"/>
      <c r="Q123" s="882"/>
      <c r="R123" s="882"/>
      <c r="S123" s="882"/>
      <c r="T123" s="895"/>
    </row>
    <row r="124" spans="3:20" x14ac:dyDescent="0.2">
      <c r="C124" s="882"/>
      <c r="D124" s="882"/>
      <c r="E124" s="882"/>
      <c r="F124" s="882"/>
      <c r="G124" s="882"/>
      <c r="H124" s="882"/>
      <c r="I124" s="882"/>
      <c r="J124" s="882"/>
      <c r="K124" s="882"/>
      <c r="L124" s="882"/>
      <c r="M124" s="882"/>
      <c r="N124" s="882"/>
      <c r="O124" s="882"/>
      <c r="P124" s="882"/>
      <c r="Q124" s="882"/>
      <c r="R124" s="882"/>
      <c r="S124" s="882"/>
      <c r="T124" s="895"/>
    </row>
    <row r="125" spans="3:20" x14ac:dyDescent="0.2">
      <c r="C125" s="882"/>
      <c r="D125" s="882"/>
      <c r="E125" s="882"/>
      <c r="F125" s="882"/>
      <c r="G125" s="882"/>
      <c r="H125" s="882"/>
      <c r="I125" s="882"/>
      <c r="J125" s="882"/>
      <c r="K125" s="882"/>
      <c r="L125" s="882"/>
      <c r="M125" s="882"/>
      <c r="N125" s="882"/>
      <c r="O125" s="882"/>
      <c r="P125" s="882"/>
      <c r="Q125" s="882"/>
      <c r="R125" s="882"/>
      <c r="S125" s="882"/>
      <c r="T125" s="895"/>
    </row>
    <row r="126" spans="3:20" x14ac:dyDescent="0.2">
      <c r="C126" s="882"/>
      <c r="D126" s="882"/>
      <c r="E126" s="882"/>
      <c r="F126" s="882"/>
      <c r="G126" s="882"/>
      <c r="H126" s="882"/>
      <c r="I126" s="882"/>
      <c r="J126" s="882"/>
      <c r="K126" s="882"/>
      <c r="L126" s="882"/>
      <c r="M126" s="882"/>
      <c r="N126" s="882"/>
      <c r="O126" s="882"/>
      <c r="P126" s="882"/>
      <c r="Q126" s="882"/>
      <c r="R126" s="882"/>
      <c r="S126" s="882"/>
      <c r="T126" s="895"/>
    </row>
    <row r="127" spans="3:20" x14ac:dyDescent="0.2">
      <c r="C127" s="882"/>
      <c r="D127" s="882"/>
      <c r="E127" s="882"/>
      <c r="F127" s="882"/>
      <c r="G127" s="882"/>
      <c r="H127" s="882"/>
      <c r="I127" s="882"/>
      <c r="J127" s="882"/>
      <c r="K127" s="882"/>
      <c r="L127" s="882"/>
      <c r="M127" s="882"/>
      <c r="N127" s="882"/>
      <c r="O127" s="882"/>
      <c r="P127" s="882"/>
      <c r="Q127" s="882"/>
      <c r="R127" s="882"/>
      <c r="S127" s="882"/>
      <c r="T127" s="895"/>
    </row>
    <row r="128" spans="3:20" x14ac:dyDescent="0.2">
      <c r="C128" s="882"/>
      <c r="D128" s="882"/>
      <c r="E128" s="882"/>
      <c r="F128" s="882"/>
      <c r="G128" s="882"/>
      <c r="H128" s="882"/>
      <c r="I128" s="882"/>
      <c r="J128" s="882"/>
      <c r="K128" s="882"/>
      <c r="L128" s="882"/>
      <c r="M128" s="882"/>
      <c r="N128" s="882"/>
      <c r="O128" s="882"/>
      <c r="P128" s="882"/>
      <c r="Q128" s="882"/>
      <c r="R128" s="882"/>
      <c r="S128" s="882"/>
      <c r="T128" s="895"/>
    </row>
    <row r="129" spans="3:20" x14ac:dyDescent="0.2">
      <c r="C129" s="882"/>
      <c r="D129" s="882"/>
      <c r="E129" s="882"/>
      <c r="F129" s="882"/>
      <c r="G129" s="882"/>
      <c r="H129" s="882"/>
      <c r="I129" s="882"/>
      <c r="J129" s="882"/>
      <c r="K129" s="882"/>
      <c r="L129" s="882"/>
      <c r="M129" s="882"/>
      <c r="N129" s="882"/>
      <c r="O129" s="882"/>
      <c r="P129" s="882"/>
      <c r="Q129" s="882"/>
      <c r="R129" s="882"/>
      <c r="S129" s="882"/>
      <c r="T129" s="895"/>
    </row>
    <row r="130" spans="3:20" x14ac:dyDescent="0.2">
      <c r="C130" s="882"/>
      <c r="D130" s="882"/>
      <c r="E130" s="882"/>
      <c r="F130" s="882"/>
      <c r="G130" s="882"/>
      <c r="H130" s="882"/>
      <c r="I130" s="882"/>
      <c r="J130" s="882"/>
      <c r="K130" s="882"/>
      <c r="L130" s="882"/>
      <c r="M130" s="882"/>
      <c r="N130" s="882"/>
      <c r="O130" s="882"/>
      <c r="P130" s="882"/>
      <c r="Q130" s="882"/>
      <c r="R130" s="882"/>
      <c r="S130" s="882"/>
      <c r="T130" s="895"/>
    </row>
    <row r="131" spans="3:20" x14ac:dyDescent="0.2">
      <c r="C131" s="882"/>
      <c r="D131" s="882"/>
      <c r="E131" s="882"/>
      <c r="F131" s="882"/>
      <c r="G131" s="882"/>
      <c r="H131" s="882"/>
      <c r="I131" s="882"/>
      <c r="J131" s="882"/>
      <c r="K131" s="882"/>
      <c r="L131" s="882"/>
      <c r="M131" s="882"/>
      <c r="N131" s="882"/>
      <c r="O131" s="882"/>
      <c r="P131" s="882"/>
      <c r="Q131" s="882"/>
      <c r="R131" s="882"/>
      <c r="S131" s="882"/>
      <c r="T131" s="895"/>
    </row>
    <row r="132" spans="3:20" x14ac:dyDescent="0.2">
      <c r="C132" s="882"/>
      <c r="D132" s="882"/>
      <c r="E132" s="882"/>
      <c r="F132" s="882"/>
      <c r="G132" s="882"/>
      <c r="H132" s="882"/>
      <c r="I132" s="882"/>
      <c r="J132" s="882"/>
      <c r="K132" s="882"/>
      <c r="L132" s="882"/>
      <c r="M132" s="882"/>
      <c r="N132" s="882"/>
      <c r="O132" s="882"/>
      <c r="P132" s="882"/>
      <c r="Q132" s="882"/>
      <c r="R132" s="882"/>
      <c r="S132" s="882"/>
      <c r="T132" s="895"/>
    </row>
    <row r="133" spans="3:20" x14ac:dyDescent="0.2">
      <c r="C133" s="882"/>
      <c r="D133" s="882"/>
      <c r="E133" s="882"/>
      <c r="F133" s="882"/>
      <c r="G133" s="882"/>
      <c r="H133" s="882"/>
      <c r="I133" s="882"/>
      <c r="J133" s="882"/>
      <c r="K133" s="882"/>
      <c r="L133" s="882"/>
      <c r="M133" s="882"/>
      <c r="N133" s="882"/>
      <c r="O133" s="882"/>
      <c r="P133" s="882"/>
      <c r="Q133" s="882"/>
      <c r="R133" s="882"/>
      <c r="S133" s="882"/>
      <c r="T133" s="895"/>
    </row>
    <row r="134" spans="3:20" x14ac:dyDescent="0.2">
      <c r="C134" s="882"/>
      <c r="D134" s="882"/>
      <c r="E134" s="882"/>
      <c r="F134" s="882"/>
      <c r="G134" s="882"/>
      <c r="H134" s="882"/>
      <c r="I134" s="882"/>
      <c r="J134" s="882"/>
      <c r="K134" s="882"/>
      <c r="L134" s="882"/>
      <c r="M134" s="882"/>
      <c r="N134" s="882"/>
      <c r="O134" s="882"/>
      <c r="P134" s="882"/>
      <c r="Q134" s="882"/>
      <c r="R134" s="882"/>
      <c r="S134" s="882"/>
      <c r="T134" s="895"/>
    </row>
    <row r="135" spans="3:20" x14ac:dyDescent="0.2">
      <c r="C135" s="882"/>
      <c r="D135" s="882"/>
      <c r="E135" s="882"/>
      <c r="F135" s="882"/>
      <c r="G135" s="882"/>
      <c r="H135" s="882"/>
      <c r="I135" s="882"/>
      <c r="J135" s="882"/>
      <c r="K135" s="882"/>
      <c r="L135" s="882"/>
      <c r="M135" s="882"/>
      <c r="N135" s="882"/>
      <c r="O135" s="882"/>
      <c r="P135" s="882"/>
      <c r="Q135" s="882"/>
      <c r="R135" s="882"/>
      <c r="S135" s="882"/>
      <c r="T135" s="895"/>
    </row>
    <row r="136" spans="3:20" x14ac:dyDescent="0.2">
      <c r="C136" s="882"/>
      <c r="D136" s="882"/>
      <c r="E136" s="882"/>
      <c r="F136" s="882"/>
      <c r="G136" s="882"/>
      <c r="H136" s="882"/>
      <c r="I136" s="882"/>
      <c r="J136" s="882"/>
      <c r="K136" s="882"/>
      <c r="L136" s="882"/>
      <c r="M136" s="882"/>
      <c r="N136" s="882"/>
      <c r="O136" s="882"/>
      <c r="P136" s="882"/>
      <c r="Q136" s="882"/>
      <c r="R136" s="882"/>
      <c r="S136" s="882"/>
      <c r="T136" s="895"/>
    </row>
    <row r="137" spans="3:20" x14ac:dyDescent="0.2">
      <c r="C137" s="882"/>
      <c r="D137" s="882"/>
      <c r="E137" s="882"/>
      <c r="F137" s="882"/>
      <c r="G137" s="882"/>
      <c r="H137" s="882"/>
      <c r="I137" s="882"/>
      <c r="J137" s="882"/>
      <c r="K137" s="882"/>
      <c r="L137" s="882"/>
      <c r="M137" s="882"/>
      <c r="N137" s="882"/>
      <c r="O137" s="882"/>
      <c r="P137" s="882"/>
      <c r="Q137" s="882"/>
      <c r="R137" s="882"/>
      <c r="S137" s="882"/>
    </row>
    <row r="138" spans="3:20" x14ac:dyDescent="0.2">
      <c r="C138" s="882"/>
      <c r="D138" s="882"/>
      <c r="E138" s="882"/>
      <c r="F138" s="882"/>
      <c r="G138" s="882"/>
      <c r="H138" s="882"/>
      <c r="I138" s="882"/>
      <c r="J138" s="882"/>
      <c r="K138" s="882"/>
      <c r="L138" s="882"/>
      <c r="M138" s="882"/>
      <c r="N138" s="882"/>
      <c r="O138" s="882"/>
      <c r="P138" s="882"/>
      <c r="Q138" s="882"/>
      <c r="R138" s="882"/>
      <c r="S138" s="882"/>
    </row>
    <row r="139" spans="3:20" x14ac:dyDescent="0.2">
      <c r="C139" s="882"/>
      <c r="D139" s="882"/>
      <c r="E139" s="882"/>
      <c r="F139" s="882"/>
      <c r="G139" s="882"/>
      <c r="H139" s="882"/>
      <c r="I139" s="882"/>
      <c r="J139" s="882"/>
      <c r="K139" s="882"/>
      <c r="L139" s="882"/>
      <c r="M139" s="882"/>
      <c r="N139" s="882"/>
      <c r="O139" s="882"/>
      <c r="P139" s="882"/>
      <c r="Q139" s="882"/>
      <c r="R139" s="882"/>
      <c r="S139" s="882"/>
    </row>
    <row r="140" spans="3:20" x14ac:dyDescent="0.2">
      <c r="C140" s="882"/>
      <c r="D140" s="882"/>
      <c r="E140" s="882"/>
      <c r="F140" s="882"/>
      <c r="G140" s="882"/>
      <c r="H140" s="882"/>
      <c r="I140" s="882"/>
      <c r="J140" s="882"/>
      <c r="K140" s="882"/>
      <c r="L140" s="882"/>
      <c r="M140" s="882"/>
      <c r="N140" s="882"/>
      <c r="O140" s="882"/>
      <c r="P140" s="882"/>
      <c r="Q140" s="882"/>
      <c r="R140" s="882"/>
      <c r="S140" s="882"/>
    </row>
    <row r="141" spans="3:20" x14ac:dyDescent="0.2">
      <c r="C141" s="882"/>
      <c r="D141" s="882"/>
      <c r="E141" s="882"/>
      <c r="F141" s="882"/>
      <c r="G141" s="882"/>
      <c r="H141" s="882"/>
      <c r="I141" s="882"/>
      <c r="J141" s="882"/>
      <c r="K141" s="882"/>
      <c r="L141" s="882"/>
      <c r="M141" s="882"/>
      <c r="N141" s="882"/>
      <c r="O141" s="882"/>
      <c r="P141" s="882"/>
      <c r="Q141" s="882"/>
      <c r="R141" s="882"/>
      <c r="S141" s="882"/>
    </row>
    <row r="142" spans="3:20" x14ac:dyDescent="0.2">
      <c r="C142" s="882"/>
      <c r="D142" s="882"/>
      <c r="E142" s="882"/>
      <c r="F142" s="882"/>
      <c r="G142" s="882"/>
      <c r="H142" s="882"/>
      <c r="I142" s="882"/>
      <c r="J142" s="882"/>
      <c r="K142" s="882"/>
      <c r="L142" s="882"/>
      <c r="M142" s="882"/>
      <c r="N142" s="882"/>
      <c r="O142" s="882"/>
      <c r="P142" s="882"/>
      <c r="Q142" s="882"/>
      <c r="R142" s="882"/>
      <c r="S142" s="882"/>
    </row>
    <row r="143" spans="3:20" x14ac:dyDescent="0.2">
      <c r="C143" s="882"/>
      <c r="D143" s="882"/>
      <c r="E143" s="882"/>
      <c r="F143" s="882"/>
      <c r="G143" s="882"/>
      <c r="H143" s="882"/>
      <c r="I143" s="882"/>
      <c r="J143" s="882"/>
      <c r="K143" s="882"/>
      <c r="L143" s="882"/>
      <c r="M143" s="882"/>
      <c r="N143" s="882"/>
      <c r="O143" s="882"/>
      <c r="P143" s="882"/>
      <c r="Q143" s="882"/>
      <c r="R143" s="882"/>
      <c r="S143" s="882"/>
    </row>
    <row r="144" spans="3:20" x14ac:dyDescent="0.2">
      <c r="C144" s="882"/>
      <c r="D144" s="882"/>
      <c r="E144" s="882"/>
      <c r="F144" s="882"/>
      <c r="G144" s="882"/>
      <c r="H144" s="882"/>
      <c r="I144" s="882"/>
      <c r="J144" s="882"/>
      <c r="K144" s="882"/>
      <c r="L144" s="882"/>
      <c r="M144" s="882"/>
      <c r="N144" s="882"/>
      <c r="O144" s="882"/>
      <c r="P144" s="882"/>
      <c r="Q144" s="882"/>
      <c r="R144" s="882"/>
      <c r="S144" s="882"/>
    </row>
  </sheetData>
  <mergeCells count="5">
    <mergeCell ref="A4:Q4"/>
    <mergeCell ref="F9:M9"/>
    <mergeCell ref="F10:J10"/>
    <mergeCell ref="K10:M10"/>
    <mergeCell ref="P11:Q11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zoomScaleNormal="100" workbookViewId="0">
      <pane xSplit="2" ySplit="16" topLeftCell="C17" activePane="bottomRight" state="frozen"/>
      <selection activeCell="V58" sqref="V58"/>
      <selection pane="topRight" activeCell="V58" sqref="V58"/>
      <selection pane="bottomLeft" activeCell="V58" sqref="V58"/>
      <selection pane="bottomRight" activeCell="Q1" sqref="Q1"/>
    </sheetView>
  </sheetViews>
  <sheetFormatPr defaultRowHeight="12.75" x14ac:dyDescent="0.2"/>
  <cols>
    <col min="1" max="1" width="3.85546875" style="881" customWidth="1"/>
    <col min="2" max="2" width="30.7109375" style="881" customWidth="1"/>
    <col min="3" max="5" width="10.7109375" style="881" customWidth="1"/>
    <col min="6" max="6" width="11" style="881" customWidth="1"/>
    <col min="7" max="8" width="10.7109375" style="881" customWidth="1"/>
    <col min="9" max="9" width="10.85546875" style="881" customWidth="1"/>
    <col min="10" max="17" width="10.7109375" style="881" customWidth="1"/>
    <col min="18" max="18" width="7.7109375" style="881" customWidth="1"/>
    <col min="19" max="16384" width="9.140625" style="881"/>
  </cols>
  <sheetData>
    <row r="1" spans="1:18" x14ac:dyDescent="0.2">
      <c r="O1" s="882"/>
      <c r="P1" s="882"/>
      <c r="Q1" s="1894" t="s">
        <v>1289</v>
      </c>
    </row>
    <row r="2" spans="1:18" x14ac:dyDescent="0.2">
      <c r="O2" s="882"/>
      <c r="P2" s="882"/>
      <c r="Q2" s="1894" t="s">
        <v>57</v>
      </c>
    </row>
    <row r="3" spans="1:18" x14ac:dyDescent="0.2">
      <c r="O3" s="882"/>
      <c r="P3" s="882"/>
      <c r="Q3" s="545"/>
    </row>
    <row r="4" spans="1:18" x14ac:dyDescent="0.2">
      <c r="A4" s="2314" t="s">
        <v>1290</v>
      </c>
      <c r="B4" s="2314"/>
      <c r="C4" s="2314"/>
      <c r="D4" s="2314"/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4"/>
      <c r="Q4" s="2314"/>
    </row>
    <row r="5" spans="1:18" hidden="1" x14ac:dyDescent="0.2">
      <c r="A5" s="883"/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</row>
    <row r="6" spans="1:18" x14ac:dyDescent="0.2">
      <c r="A6" s="883"/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6"/>
      <c r="R6" s="884"/>
    </row>
    <row r="7" spans="1:18" x14ac:dyDescent="0.2">
      <c r="A7" s="883"/>
      <c r="B7" s="884"/>
      <c r="C7" s="884"/>
      <c r="D7" s="884"/>
      <c r="E7" s="884"/>
      <c r="F7" s="884"/>
      <c r="G7" s="884"/>
      <c r="H7" s="884"/>
      <c r="I7" s="884"/>
      <c r="J7" s="1832"/>
      <c r="K7" s="884"/>
      <c r="L7" s="884"/>
      <c r="M7" s="884"/>
      <c r="N7" s="884"/>
      <c r="O7" s="884"/>
      <c r="P7" s="884"/>
      <c r="Q7" s="886"/>
      <c r="R7" s="884"/>
    </row>
    <row r="8" spans="1:18" ht="13.5" thickBot="1" x14ac:dyDescent="0.25">
      <c r="A8" s="883"/>
      <c r="B8" s="884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884"/>
      <c r="P8" s="884"/>
      <c r="Q8" s="1299" t="s">
        <v>663</v>
      </c>
      <c r="R8" s="1344"/>
    </row>
    <row r="9" spans="1:18" ht="13.5" thickBot="1" x14ac:dyDescent="0.25">
      <c r="A9" s="1300"/>
      <c r="B9" s="1816"/>
      <c r="C9" s="1816"/>
      <c r="D9" s="1816"/>
      <c r="E9" s="1816"/>
      <c r="F9" s="2320" t="s">
        <v>524</v>
      </c>
      <c r="G9" s="2320"/>
      <c r="H9" s="2320"/>
      <c r="I9" s="2315"/>
      <c r="J9" s="2315"/>
      <c r="K9" s="2315"/>
      <c r="L9" s="2320"/>
      <c r="M9" s="2320"/>
      <c r="N9" s="2320"/>
      <c r="O9" s="2320"/>
      <c r="P9" s="2321" t="s">
        <v>534</v>
      </c>
      <c r="Q9" s="2322"/>
      <c r="R9" s="890"/>
    </row>
    <row r="10" spans="1:18" ht="13.5" thickBot="1" x14ac:dyDescent="0.25">
      <c r="A10" s="1305"/>
      <c r="B10" s="1833"/>
      <c r="C10" s="1833"/>
      <c r="D10" s="1833"/>
      <c r="E10" s="1833"/>
      <c r="F10" s="2323" t="s">
        <v>1036</v>
      </c>
      <c r="G10" s="2324"/>
      <c r="H10" s="2324"/>
      <c r="I10" s="2324"/>
      <c r="J10" s="2324"/>
      <c r="K10" s="2325"/>
      <c r="L10" s="2323" t="s">
        <v>1037</v>
      </c>
      <c r="M10" s="2324"/>
      <c r="N10" s="2324"/>
      <c r="O10" s="2325"/>
      <c r="P10" s="1834"/>
      <c r="Q10" s="1835"/>
      <c r="R10" s="890"/>
    </row>
    <row r="11" spans="1:18" ht="12.75" customHeight="1" x14ac:dyDescent="0.2">
      <c r="A11" s="1968"/>
      <c r="B11" s="1819" t="s">
        <v>1033</v>
      </c>
      <c r="C11" s="1819" t="s">
        <v>158</v>
      </c>
      <c r="D11" s="1819" t="s">
        <v>1291</v>
      </c>
      <c r="E11" s="1819" t="s">
        <v>223</v>
      </c>
      <c r="F11" s="890"/>
      <c r="G11" s="1319"/>
      <c r="H11" s="1836"/>
      <c r="I11" s="1305"/>
      <c r="J11" s="1837"/>
      <c r="K11" s="1836"/>
      <c r="L11" s="1838"/>
      <c r="M11" s="1313"/>
      <c r="N11" s="1838"/>
      <c r="O11" s="1313"/>
      <c r="P11" s="1312" t="s">
        <v>224</v>
      </c>
      <c r="Q11" s="1313" t="s">
        <v>225</v>
      </c>
      <c r="R11" s="890"/>
    </row>
    <row r="12" spans="1:18" x14ac:dyDescent="0.2">
      <c r="A12" s="1968"/>
      <c r="B12" s="1819" t="s">
        <v>89</v>
      </c>
      <c r="C12" s="1819" t="s">
        <v>8</v>
      </c>
      <c r="D12" s="1819" t="s">
        <v>8</v>
      </c>
      <c r="E12" s="1819" t="s">
        <v>142</v>
      </c>
      <c r="F12" s="888" t="s">
        <v>224</v>
      </c>
      <c r="G12" s="1346" t="s">
        <v>224</v>
      </c>
      <c r="H12" s="1313" t="s">
        <v>224</v>
      </c>
      <c r="I12" s="1312" t="s">
        <v>225</v>
      </c>
      <c r="J12" s="1346" t="s">
        <v>241</v>
      </c>
      <c r="K12" s="1313" t="s">
        <v>225</v>
      </c>
      <c r="L12" s="1839" t="s">
        <v>224</v>
      </c>
      <c r="M12" s="1313" t="s">
        <v>224</v>
      </c>
      <c r="N12" s="1839" t="s">
        <v>225</v>
      </c>
      <c r="O12" s="1313" t="s">
        <v>225</v>
      </c>
      <c r="P12" s="1312" t="s">
        <v>229</v>
      </c>
      <c r="Q12" s="1313" t="s">
        <v>229</v>
      </c>
      <c r="R12" s="890"/>
    </row>
    <row r="13" spans="1:18" x14ac:dyDescent="0.2">
      <c r="A13" s="1347"/>
      <c r="B13" s="1819"/>
      <c r="C13" s="1819" t="s">
        <v>572</v>
      </c>
      <c r="D13" s="1819" t="s">
        <v>572</v>
      </c>
      <c r="E13" s="1819" t="s">
        <v>396</v>
      </c>
      <c r="F13" s="888" t="s">
        <v>142</v>
      </c>
      <c r="G13" s="1346" t="s">
        <v>142</v>
      </c>
      <c r="H13" s="1313" t="s">
        <v>229</v>
      </c>
      <c r="I13" s="1312" t="s">
        <v>142</v>
      </c>
      <c r="J13" s="1346" t="s">
        <v>142</v>
      </c>
      <c r="K13" s="1313" t="s">
        <v>229</v>
      </c>
      <c r="L13" s="1839" t="s">
        <v>1038</v>
      </c>
      <c r="M13" s="1313" t="s">
        <v>1039</v>
      </c>
      <c r="N13" s="1839" t="s">
        <v>1038</v>
      </c>
      <c r="O13" s="1313" t="s">
        <v>1039</v>
      </c>
      <c r="P13" s="1312"/>
      <c r="Q13" s="1313"/>
      <c r="R13" s="890"/>
    </row>
    <row r="14" spans="1:18" x14ac:dyDescent="0.2">
      <c r="A14" s="1317" t="s">
        <v>369</v>
      </c>
      <c r="B14" s="1819"/>
      <c r="C14" s="1818"/>
      <c r="D14" s="1818"/>
      <c r="E14" s="1818" t="s">
        <v>572</v>
      </c>
      <c r="F14" s="887" t="s">
        <v>407</v>
      </c>
      <c r="G14" s="1346"/>
      <c r="H14" s="1313" t="s">
        <v>1040</v>
      </c>
      <c r="I14" s="1350" t="s">
        <v>407</v>
      </c>
      <c r="J14" s="1346"/>
      <c r="K14" s="1313" t="s">
        <v>1040</v>
      </c>
      <c r="L14" s="1839" t="s">
        <v>1041</v>
      </c>
      <c r="M14" s="1313" t="s">
        <v>112</v>
      </c>
      <c r="N14" s="1839" t="s">
        <v>1041</v>
      </c>
      <c r="O14" s="1313" t="s">
        <v>112</v>
      </c>
      <c r="P14" s="1312"/>
      <c r="Q14" s="1313"/>
      <c r="R14" s="890"/>
    </row>
    <row r="15" spans="1:18" x14ac:dyDescent="0.2">
      <c r="A15" s="1317"/>
      <c r="B15" s="1819"/>
      <c r="C15" s="1818"/>
      <c r="D15" s="1818"/>
      <c r="E15" s="1818"/>
      <c r="F15" s="887" t="s">
        <v>409</v>
      </c>
      <c r="G15" s="1346"/>
      <c r="H15" s="1313" t="s">
        <v>232</v>
      </c>
      <c r="I15" s="1350" t="s">
        <v>409</v>
      </c>
      <c r="J15" s="1346"/>
      <c r="K15" s="1313" t="s">
        <v>232</v>
      </c>
      <c r="L15" s="1839" t="s">
        <v>1042</v>
      </c>
      <c r="M15" s="1313"/>
      <c r="N15" s="1839" t="s">
        <v>1042</v>
      </c>
      <c r="O15" s="1313"/>
      <c r="P15" s="1312"/>
      <c r="Q15" s="1313"/>
      <c r="R15" s="890"/>
    </row>
    <row r="16" spans="1:18" x14ac:dyDescent="0.2">
      <c r="A16" s="1315"/>
      <c r="B16" s="1840"/>
      <c r="C16" s="1818"/>
      <c r="D16" s="1818"/>
      <c r="E16" s="1818"/>
      <c r="F16" s="1841"/>
      <c r="G16" s="1346"/>
      <c r="H16" s="1313"/>
      <c r="I16" s="1348"/>
      <c r="J16" s="1346"/>
      <c r="K16" s="1313"/>
      <c r="L16" s="1842"/>
      <c r="M16" s="1313"/>
      <c r="N16" s="1842"/>
      <c r="O16" s="1306"/>
      <c r="P16" s="1305"/>
      <c r="Q16" s="1322"/>
      <c r="R16" s="890"/>
    </row>
    <row r="17" spans="1:22" x14ac:dyDescent="0.2">
      <c r="A17" s="1329">
        <v>1</v>
      </c>
      <c r="B17" s="1824">
        <v>2</v>
      </c>
      <c r="C17" s="1824">
        <v>1</v>
      </c>
      <c r="D17" s="1824">
        <v>2</v>
      </c>
      <c r="E17" s="1824">
        <v>3</v>
      </c>
      <c r="F17" s="1326">
        <v>4</v>
      </c>
      <c r="G17" s="1326">
        <v>5</v>
      </c>
      <c r="H17" s="1325">
        <v>6</v>
      </c>
      <c r="I17" s="1329">
        <v>7</v>
      </c>
      <c r="J17" s="1324">
        <v>8</v>
      </c>
      <c r="K17" s="1325">
        <v>9</v>
      </c>
      <c r="L17" s="2132">
        <v>10</v>
      </c>
      <c r="M17" s="1325">
        <v>11</v>
      </c>
      <c r="N17" s="1329">
        <v>12</v>
      </c>
      <c r="O17" s="1325">
        <v>13</v>
      </c>
      <c r="P17" s="1329">
        <v>14</v>
      </c>
      <c r="Q17" s="1325">
        <v>15</v>
      </c>
      <c r="R17" s="890"/>
    </row>
    <row r="18" spans="1:22" x14ac:dyDescent="0.2">
      <c r="A18" s="1350"/>
      <c r="B18" s="1819"/>
      <c r="C18" s="1825"/>
      <c r="D18" s="1825"/>
      <c r="E18" s="1825"/>
      <c r="F18" s="891"/>
      <c r="G18" s="891"/>
      <c r="H18" s="1333"/>
      <c r="I18" s="1332"/>
      <c r="J18" s="891"/>
      <c r="K18" s="1333"/>
      <c r="L18" s="891"/>
      <c r="M18" s="891"/>
      <c r="N18" s="1332"/>
      <c r="O18" s="1333"/>
      <c r="P18" s="1332"/>
      <c r="Q18" s="1333"/>
      <c r="R18" s="890"/>
      <c r="S18" s="2086"/>
      <c r="T18" s="2086"/>
      <c r="U18" s="2086"/>
      <c r="V18" s="2086"/>
    </row>
    <row r="19" spans="1:22" s="2086" customFormat="1" x14ac:dyDescent="0.2">
      <c r="A19" s="1312" t="s">
        <v>327</v>
      </c>
      <c r="B19" s="2133" t="s">
        <v>240</v>
      </c>
      <c r="C19" s="2082">
        <v>579463</v>
      </c>
      <c r="D19" s="2082">
        <v>655702.89899999974</v>
      </c>
      <c r="E19" s="2082">
        <f>SUM(F19:Q19)</f>
        <v>643487</v>
      </c>
      <c r="F19" s="2083"/>
      <c r="G19" s="2083">
        <v>61798</v>
      </c>
      <c r="H19" s="2011"/>
      <c r="I19" s="1351"/>
      <c r="J19" s="2083"/>
      <c r="K19" s="2011"/>
      <c r="L19" s="2083">
        <v>6395</v>
      </c>
      <c r="M19" s="2083">
        <v>552741</v>
      </c>
      <c r="N19" s="1351">
        <v>1253</v>
      </c>
      <c r="O19" s="2011">
        <v>21300</v>
      </c>
      <c r="P19" s="1351"/>
      <c r="Q19" s="2011"/>
      <c r="R19" s="2134"/>
      <c r="S19" s="2085"/>
      <c r="T19" s="2085"/>
    </row>
    <row r="20" spans="1:22" s="2086" customFormat="1" x14ac:dyDescent="0.2">
      <c r="A20" s="1899"/>
      <c r="B20" s="1844"/>
      <c r="C20" s="2082"/>
      <c r="D20" s="2082"/>
      <c r="E20" s="2082"/>
      <c r="F20" s="2083"/>
      <c r="G20" s="2083"/>
      <c r="H20" s="2011"/>
      <c r="I20" s="1351"/>
      <c r="J20" s="2083"/>
      <c r="K20" s="2011"/>
      <c r="L20" s="2083"/>
      <c r="M20" s="2083"/>
      <c r="N20" s="1351"/>
      <c r="O20" s="2011"/>
      <c r="P20" s="1351"/>
      <c r="Q20" s="2011"/>
      <c r="R20" s="2134"/>
      <c r="S20" s="2085"/>
      <c r="T20" s="2085"/>
    </row>
    <row r="21" spans="1:22" s="2086" customFormat="1" ht="15" customHeight="1" x14ac:dyDescent="0.2">
      <c r="A21" s="2090"/>
      <c r="B21" s="2089" t="s">
        <v>146</v>
      </c>
      <c r="C21" s="2091">
        <f>SUM(C19:C20)</f>
        <v>579463</v>
      </c>
      <c r="D21" s="2091">
        <v>655702.89899999974</v>
      </c>
      <c r="E21" s="2091">
        <f>SUM(E19:E20)</f>
        <v>643487</v>
      </c>
      <c r="F21" s="2092">
        <f>SUM(F19)</f>
        <v>0</v>
      </c>
      <c r="G21" s="2135">
        <f t="shared" ref="G21:Q21" si="0">SUM(G19:G20)</f>
        <v>61798</v>
      </c>
      <c r="H21" s="2136">
        <f t="shared" si="0"/>
        <v>0</v>
      </c>
      <c r="I21" s="2137">
        <f t="shared" si="0"/>
        <v>0</v>
      </c>
      <c r="J21" s="2135">
        <f t="shared" si="0"/>
        <v>0</v>
      </c>
      <c r="K21" s="2138">
        <f t="shared" si="0"/>
        <v>0</v>
      </c>
      <c r="L21" s="2137">
        <f t="shared" si="0"/>
        <v>6395</v>
      </c>
      <c r="M21" s="2138">
        <f t="shared" si="0"/>
        <v>552741</v>
      </c>
      <c r="N21" s="2137">
        <f t="shared" si="0"/>
        <v>1253</v>
      </c>
      <c r="O21" s="2136">
        <f t="shared" si="0"/>
        <v>21300</v>
      </c>
      <c r="P21" s="2137">
        <f t="shared" si="0"/>
        <v>0</v>
      </c>
      <c r="Q21" s="2136">
        <f t="shared" si="0"/>
        <v>0</v>
      </c>
      <c r="R21" s="2134"/>
      <c r="S21" s="2085"/>
      <c r="T21" s="2085"/>
    </row>
    <row r="22" spans="1:22" s="2086" customFormat="1" x14ac:dyDescent="0.2">
      <c r="A22" s="1899"/>
      <c r="B22" s="2139"/>
      <c r="C22" s="2100"/>
      <c r="D22" s="2100"/>
      <c r="E22" s="2100"/>
      <c r="F22" s="2083"/>
      <c r="G22" s="2083"/>
      <c r="H22" s="2011"/>
      <c r="I22" s="1351"/>
      <c r="J22" s="2083"/>
      <c r="K22" s="2011"/>
      <c r="L22" s="2083"/>
      <c r="M22" s="2083"/>
      <c r="N22" s="1351"/>
      <c r="O22" s="2011"/>
      <c r="P22" s="1351"/>
      <c r="Q22" s="2011"/>
      <c r="R22" s="2134"/>
      <c r="S22" s="2085"/>
      <c r="T22" s="2085"/>
    </row>
    <row r="23" spans="1:22" s="2086" customFormat="1" x14ac:dyDescent="0.2">
      <c r="A23" s="1312" t="s">
        <v>327</v>
      </c>
      <c r="B23" s="2133" t="s">
        <v>397</v>
      </c>
      <c r="C23" s="2082">
        <v>128813</v>
      </c>
      <c r="D23" s="2082">
        <v>138886.27499999999</v>
      </c>
      <c r="E23" s="2082">
        <f t="shared" ref="E23:E33" si="1">SUM(F23:Q23)</f>
        <v>139217</v>
      </c>
      <c r="F23" s="2083">
        <v>2285</v>
      </c>
      <c r="G23" s="2083">
        <v>685</v>
      </c>
      <c r="H23" s="2011"/>
      <c r="I23" s="1351"/>
      <c r="J23" s="2083"/>
      <c r="K23" s="2011"/>
      <c r="L23" s="2083">
        <v>1170</v>
      </c>
      <c r="M23" s="2083">
        <v>129607</v>
      </c>
      <c r="N23" s="1351">
        <v>555</v>
      </c>
      <c r="O23" s="2011">
        <v>4915</v>
      </c>
      <c r="P23" s="1351"/>
      <c r="Q23" s="2011"/>
      <c r="R23" s="2134"/>
      <c r="S23" s="2085"/>
      <c r="T23" s="2085"/>
    </row>
    <row r="24" spans="1:22" s="2086" customFormat="1" x14ac:dyDescent="0.2">
      <c r="A24" s="1312" t="s">
        <v>116</v>
      </c>
      <c r="B24" s="2133" t="s">
        <v>398</v>
      </c>
      <c r="C24" s="2082">
        <v>164714</v>
      </c>
      <c r="D24" s="2082">
        <v>170542.00900000002</v>
      </c>
      <c r="E24" s="2082">
        <f>SUM(F24:Q24)</f>
        <v>170359</v>
      </c>
      <c r="F24" s="2083"/>
      <c r="G24" s="2083">
        <v>2</v>
      </c>
      <c r="H24" s="2011"/>
      <c r="I24" s="1351"/>
      <c r="J24" s="2083"/>
      <c r="K24" s="2011"/>
      <c r="L24" s="2083">
        <v>1127</v>
      </c>
      <c r="M24" s="2083">
        <v>167141</v>
      </c>
      <c r="N24" s="1351"/>
      <c r="O24" s="2011">
        <v>2089</v>
      </c>
      <c r="P24" s="1351"/>
      <c r="Q24" s="2011"/>
      <c r="R24" s="2134"/>
      <c r="S24" s="2085"/>
      <c r="T24" s="2085"/>
    </row>
    <row r="25" spans="1:22" s="2086" customFormat="1" x14ac:dyDescent="0.2">
      <c r="A25" s="1312" t="s">
        <v>117</v>
      </c>
      <c r="B25" s="2133" t="s">
        <v>399</v>
      </c>
      <c r="C25" s="2082">
        <v>115756</v>
      </c>
      <c r="D25" s="2082">
        <v>123793.13599999998</v>
      </c>
      <c r="E25" s="2082">
        <f t="shared" si="1"/>
        <v>120541</v>
      </c>
      <c r="F25" s="2083">
        <v>45</v>
      </c>
      <c r="G25" s="2083">
        <v>59</v>
      </c>
      <c r="H25" s="2011"/>
      <c r="I25" s="1351"/>
      <c r="J25" s="2083"/>
      <c r="K25" s="2011"/>
      <c r="L25" s="2083">
        <v>309</v>
      </c>
      <c r="M25" s="2083">
        <v>116336</v>
      </c>
      <c r="N25" s="1351">
        <v>444</v>
      </c>
      <c r="O25" s="2011">
        <v>3348</v>
      </c>
      <c r="P25" s="1351"/>
      <c r="Q25" s="2011"/>
      <c r="R25" s="2134"/>
      <c r="S25" s="2085"/>
      <c r="T25" s="2085"/>
    </row>
    <row r="26" spans="1:22" s="2086" customFormat="1" x14ac:dyDescent="0.2">
      <c r="A26" s="1312" t="s">
        <v>118</v>
      </c>
      <c r="B26" s="2133" t="s">
        <v>400</v>
      </c>
      <c r="C26" s="2082">
        <v>110085</v>
      </c>
      <c r="D26" s="2082">
        <v>118381.49600000001</v>
      </c>
      <c r="E26" s="2082">
        <f t="shared" si="1"/>
        <v>112606.66499999999</v>
      </c>
      <c r="F26" s="2083">
        <v>35</v>
      </c>
      <c r="G26" s="2083">
        <v>140.66499999999999</v>
      </c>
      <c r="H26" s="2011"/>
      <c r="I26" s="1351"/>
      <c r="J26" s="2083"/>
      <c r="K26" s="2011"/>
      <c r="L26" s="2083">
        <v>509</v>
      </c>
      <c r="M26" s="2083">
        <v>110421</v>
      </c>
      <c r="N26" s="1351">
        <v>847</v>
      </c>
      <c r="O26" s="2011">
        <v>654</v>
      </c>
      <c r="P26" s="1351"/>
      <c r="Q26" s="2011"/>
      <c r="R26" s="2134"/>
      <c r="S26" s="2085"/>
      <c r="T26" s="2085"/>
    </row>
    <row r="27" spans="1:22" x14ac:dyDescent="0.2">
      <c r="A27" s="1350" t="s">
        <v>119</v>
      </c>
      <c r="B27" s="1843" t="s">
        <v>401</v>
      </c>
      <c r="C27" s="2082">
        <v>232001</v>
      </c>
      <c r="D27" s="2082">
        <v>242399.09000000003</v>
      </c>
      <c r="E27" s="2082">
        <f t="shared" si="1"/>
        <v>239871</v>
      </c>
      <c r="F27" s="891">
        <v>40</v>
      </c>
      <c r="G27" s="891">
        <v>1052</v>
      </c>
      <c r="H27" s="1333"/>
      <c r="I27" s="1332"/>
      <c r="J27" s="891"/>
      <c r="K27" s="1333"/>
      <c r="L27" s="2083">
        <v>969</v>
      </c>
      <c r="M27" s="2083">
        <v>232413</v>
      </c>
      <c r="N27" s="1351">
        <v>205</v>
      </c>
      <c r="O27" s="2011">
        <v>5192</v>
      </c>
      <c r="P27" s="1332"/>
      <c r="Q27" s="1333"/>
      <c r="R27" s="2134"/>
      <c r="S27" s="2085"/>
      <c r="T27" s="2085"/>
      <c r="U27" s="2086"/>
      <c r="V27" s="2086"/>
    </row>
    <row r="28" spans="1:22" x14ac:dyDescent="0.2">
      <c r="A28" s="1350" t="s">
        <v>120</v>
      </c>
      <c r="B28" s="1843" t="s">
        <v>402</v>
      </c>
      <c r="C28" s="2082">
        <v>114807</v>
      </c>
      <c r="D28" s="2082">
        <v>137350.84760000001</v>
      </c>
      <c r="E28" s="2082">
        <f t="shared" si="1"/>
        <v>136394</v>
      </c>
      <c r="F28" s="891">
        <v>30</v>
      </c>
      <c r="G28" s="891">
        <v>15</v>
      </c>
      <c r="H28" s="1333"/>
      <c r="I28" s="1332"/>
      <c r="J28" s="891"/>
      <c r="K28" s="1333"/>
      <c r="L28" s="2083">
        <v>472</v>
      </c>
      <c r="M28" s="2083">
        <v>119150</v>
      </c>
      <c r="N28" s="1351"/>
      <c r="O28" s="2011">
        <v>16727</v>
      </c>
      <c r="P28" s="1332"/>
      <c r="Q28" s="1333"/>
      <c r="R28" s="2134"/>
      <c r="S28" s="2085"/>
      <c r="T28" s="2085"/>
      <c r="U28" s="2086"/>
      <c r="V28" s="2086"/>
    </row>
    <row r="29" spans="1:22" x14ac:dyDescent="0.2">
      <c r="A29" s="1350" t="s">
        <v>121</v>
      </c>
      <c r="B29" s="1843" t="s">
        <v>403</v>
      </c>
      <c r="C29" s="2082">
        <v>119531</v>
      </c>
      <c r="D29" s="2082">
        <v>126962.49200000001</v>
      </c>
      <c r="E29" s="2082">
        <f t="shared" si="1"/>
        <v>117885</v>
      </c>
      <c r="F29" s="891"/>
      <c r="G29" s="891">
        <v>72</v>
      </c>
      <c r="H29" s="1333"/>
      <c r="I29" s="1332"/>
      <c r="J29" s="891"/>
      <c r="K29" s="1333"/>
      <c r="L29" s="2083">
        <v>620</v>
      </c>
      <c r="M29" s="2083">
        <v>110703</v>
      </c>
      <c r="N29" s="1351">
        <v>70</v>
      </c>
      <c r="O29" s="2011">
        <v>6420</v>
      </c>
      <c r="P29" s="1332"/>
      <c r="Q29" s="1333"/>
      <c r="R29" s="2134"/>
      <c r="S29" s="2085"/>
      <c r="T29" s="2085"/>
    </row>
    <row r="30" spans="1:22" x14ac:dyDescent="0.2">
      <c r="A30" s="1350" t="s">
        <v>122</v>
      </c>
      <c r="B30" s="1843" t="s">
        <v>404</v>
      </c>
      <c r="C30" s="2082">
        <v>253876</v>
      </c>
      <c r="D30" s="2082">
        <v>274452.48499999999</v>
      </c>
      <c r="E30" s="2082">
        <f>SUM(F30:Q30)</f>
        <v>265246</v>
      </c>
      <c r="F30" s="891">
        <v>30</v>
      </c>
      <c r="G30" s="891">
        <v>1318</v>
      </c>
      <c r="H30" s="1333"/>
      <c r="I30" s="1332"/>
      <c r="J30" s="891"/>
      <c r="K30" s="1333"/>
      <c r="L30" s="2083">
        <v>1833</v>
      </c>
      <c r="M30" s="2083">
        <v>254890</v>
      </c>
      <c r="N30" s="1351"/>
      <c r="O30" s="2011">
        <v>7175</v>
      </c>
      <c r="P30" s="1332"/>
      <c r="Q30" s="1333"/>
      <c r="R30" s="2134"/>
      <c r="S30" s="2085"/>
      <c r="T30" s="2085"/>
    </row>
    <row r="31" spans="1:22" x14ac:dyDescent="0.2">
      <c r="A31" s="1350" t="s">
        <v>123</v>
      </c>
      <c r="B31" s="1843" t="s">
        <v>405</v>
      </c>
      <c r="C31" s="2082">
        <v>181359</v>
      </c>
      <c r="D31" s="2082">
        <v>196717.92700000003</v>
      </c>
      <c r="E31" s="2082">
        <f t="shared" si="1"/>
        <v>191853</v>
      </c>
      <c r="F31" s="891">
        <v>30</v>
      </c>
      <c r="G31" s="891">
        <v>716</v>
      </c>
      <c r="H31" s="1333"/>
      <c r="I31" s="1332"/>
      <c r="J31" s="891"/>
      <c r="K31" s="1333"/>
      <c r="L31" s="2083">
        <v>2043</v>
      </c>
      <c r="M31" s="2083">
        <v>184755</v>
      </c>
      <c r="N31" s="1351">
        <v>50</v>
      </c>
      <c r="O31" s="2011">
        <v>4259</v>
      </c>
      <c r="P31" s="1332"/>
      <c r="Q31" s="1333"/>
      <c r="R31" s="2134"/>
      <c r="S31" s="2085"/>
      <c r="T31" s="2085"/>
    </row>
    <row r="32" spans="1:22" x14ac:dyDescent="0.2">
      <c r="A32" s="1350" t="s">
        <v>124</v>
      </c>
      <c r="B32" s="1843" t="s">
        <v>406</v>
      </c>
      <c r="C32" s="2082">
        <v>125694</v>
      </c>
      <c r="D32" s="2082">
        <v>130434.68700000001</v>
      </c>
      <c r="E32" s="2082">
        <f t="shared" si="1"/>
        <v>122251</v>
      </c>
      <c r="F32" s="891">
        <v>30</v>
      </c>
      <c r="G32" s="891">
        <v>346</v>
      </c>
      <c r="H32" s="1333"/>
      <c r="I32" s="1332"/>
      <c r="J32" s="891"/>
      <c r="K32" s="1333"/>
      <c r="L32" s="2083">
        <v>846</v>
      </c>
      <c r="M32" s="2083">
        <v>118644</v>
      </c>
      <c r="N32" s="1351"/>
      <c r="O32" s="2011">
        <v>2385</v>
      </c>
      <c r="P32" s="1332"/>
      <c r="Q32" s="1333"/>
      <c r="R32" s="2134"/>
      <c r="S32" s="2085"/>
      <c r="T32" s="2085"/>
    </row>
    <row r="33" spans="1:20" x14ac:dyDescent="0.2">
      <c r="A33" s="1350" t="s">
        <v>125</v>
      </c>
      <c r="B33" s="1843" t="s">
        <v>416</v>
      </c>
      <c r="C33" s="2082">
        <v>182080</v>
      </c>
      <c r="D33" s="2082">
        <v>190064.49599999998</v>
      </c>
      <c r="E33" s="2082">
        <f t="shared" si="1"/>
        <v>189003</v>
      </c>
      <c r="F33" s="891">
        <v>50</v>
      </c>
      <c r="G33" s="891">
        <v>133</v>
      </c>
      <c r="H33" s="1333"/>
      <c r="I33" s="1332"/>
      <c r="J33" s="891"/>
      <c r="K33" s="1333"/>
      <c r="L33" s="2083">
        <v>1000</v>
      </c>
      <c r="M33" s="2083">
        <v>184353</v>
      </c>
      <c r="N33" s="1351">
        <v>333</v>
      </c>
      <c r="O33" s="2011">
        <v>3134</v>
      </c>
      <c r="P33" s="1332"/>
      <c r="Q33" s="1333"/>
      <c r="R33" s="2134"/>
      <c r="S33" s="2085"/>
      <c r="T33" s="2086"/>
    </row>
    <row r="34" spans="1:20" s="2086" customFormat="1" x14ac:dyDescent="0.2">
      <c r="A34" s="1312" t="s">
        <v>126</v>
      </c>
      <c r="B34" s="2133" t="s">
        <v>1059</v>
      </c>
      <c r="C34" s="2082">
        <v>197392</v>
      </c>
      <c r="D34" s="2082">
        <v>204951.609</v>
      </c>
      <c r="E34" s="2082">
        <f>SUM(F34:Q34)</f>
        <v>201599</v>
      </c>
      <c r="F34" s="2083"/>
      <c r="G34" s="2083">
        <v>19</v>
      </c>
      <c r="H34" s="2011"/>
      <c r="I34" s="1351"/>
      <c r="J34" s="2083"/>
      <c r="K34" s="2011"/>
      <c r="L34" s="2083">
        <v>268</v>
      </c>
      <c r="M34" s="2083">
        <v>195796</v>
      </c>
      <c r="N34" s="1351">
        <v>741</v>
      </c>
      <c r="O34" s="2011">
        <v>4775</v>
      </c>
      <c r="P34" s="1351"/>
      <c r="Q34" s="2011"/>
      <c r="R34" s="2134"/>
      <c r="S34" s="2085"/>
    </row>
    <row r="35" spans="1:20" x14ac:dyDescent="0.2">
      <c r="A35" s="1350"/>
      <c r="B35" s="1817"/>
      <c r="C35" s="1826"/>
      <c r="D35" s="1826"/>
      <c r="E35" s="1826"/>
      <c r="F35" s="891"/>
      <c r="G35" s="891"/>
      <c r="H35" s="1333"/>
      <c r="I35" s="1332"/>
      <c r="J35" s="891"/>
      <c r="K35" s="1333"/>
      <c r="L35" s="2083"/>
      <c r="M35" s="2083"/>
      <c r="N35" s="1351"/>
      <c r="O35" s="2011"/>
      <c r="P35" s="1332"/>
      <c r="Q35" s="1333"/>
      <c r="R35" s="2134"/>
      <c r="S35" s="2085"/>
    </row>
    <row r="36" spans="1:20" ht="15" customHeight="1" x14ac:dyDescent="0.2">
      <c r="A36" s="2110"/>
      <c r="B36" s="2103" t="s">
        <v>44</v>
      </c>
      <c r="C36" s="2140">
        <f>SUM(C23:C35)</f>
        <v>1926108</v>
      </c>
      <c r="D36" s="2140">
        <f>SUM(D23:D35)-1</f>
        <v>2054935.5496</v>
      </c>
      <c r="E36" s="2140">
        <f>SUM(E23:E35)</f>
        <v>2006825.665</v>
      </c>
      <c r="F36" s="2104">
        <f>SUM(F23:F35)</f>
        <v>2575</v>
      </c>
      <c r="G36" s="2105">
        <f t="shared" ref="G36:K36" si="2">SUM(G23:G35)</f>
        <v>4557.665</v>
      </c>
      <c r="H36" s="2107">
        <f t="shared" si="2"/>
        <v>0</v>
      </c>
      <c r="I36" s="2106">
        <f t="shared" si="2"/>
        <v>0</v>
      </c>
      <c r="J36" s="2105">
        <f t="shared" si="2"/>
        <v>0</v>
      </c>
      <c r="K36" s="2141">
        <f t="shared" si="2"/>
        <v>0</v>
      </c>
      <c r="L36" s="2106">
        <f>SUM(L23:L34)</f>
        <v>11166</v>
      </c>
      <c r="M36" s="2141">
        <f>SUM(M23:M35)</f>
        <v>1924209</v>
      </c>
      <c r="N36" s="2106">
        <f>SUM(N23:N35)</f>
        <v>3245</v>
      </c>
      <c r="O36" s="2107">
        <f>SUM(O23:O35)</f>
        <v>61073</v>
      </c>
      <c r="P36" s="2106">
        <f>SUM(P23:P35)</f>
        <v>0</v>
      </c>
      <c r="Q36" s="2107">
        <f>SUM(Q23:Q35)</f>
        <v>0</v>
      </c>
      <c r="R36" s="2134"/>
      <c r="S36" s="2085"/>
    </row>
    <row r="37" spans="1:20" x14ac:dyDescent="0.2">
      <c r="A37" s="1305"/>
      <c r="B37" s="1817"/>
      <c r="C37" s="1826"/>
      <c r="D37" s="1826"/>
      <c r="E37" s="1826"/>
      <c r="F37" s="891"/>
      <c r="G37" s="891"/>
      <c r="H37" s="1333"/>
      <c r="I37" s="1332"/>
      <c r="J37" s="891"/>
      <c r="K37" s="1333"/>
      <c r="L37" s="891"/>
      <c r="M37" s="891"/>
      <c r="N37" s="1332"/>
      <c r="O37" s="1333"/>
      <c r="P37" s="1332"/>
      <c r="Q37" s="1333"/>
      <c r="R37" s="2134"/>
      <c r="S37" s="2085"/>
    </row>
    <row r="38" spans="1:20" ht="9.75" customHeight="1" x14ac:dyDescent="0.2">
      <c r="A38" s="1350" t="s">
        <v>327</v>
      </c>
      <c r="B38" s="1843" t="s">
        <v>150</v>
      </c>
      <c r="C38" s="1826">
        <v>55657</v>
      </c>
      <c r="D38" s="1826">
        <v>71134.285000000018</v>
      </c>
      <c r="E38" s="1826">
        <f>SUM(F38:Q38)</f>
        <v>69865.494000000006</v>
      </c>
      <c r="F38" s="891">
        <f>330+181+90.498+180.996</f>
        <v>782.49400000000003</v>
      </c>
      <c r="G38" s="891">
        <v>1748</v>
      </c>
      <c r="H38" s="1333"/>
      <c r="I38" s="1332"/>
      <c r="J38" s="891"/>
      <c r="K38" s="1333"/>
      <c r="L38" s="891">
        <v>1993</v>
      </c>
      <c r="M38" s="891">
        <v>64616</v>
      </c>
      <c r="N38" s="1332"/>
      <c r="O38" s="1333">
        <v>726</v>
      </c>
      <c r="P38" s="1332"/>
      <c r="Q38" s="1333"/>
      <c r="R38" s="2134"/>
      <c r="S38" s="2085"/>
    </row>
    <row r="39" spans="1:20" x14ac:dyDescent="0.2">
      <c r="A39" s="1350" t="s">
        <v>116</v>
      </c>
      <c r="B39" s="1843" t="s">
        <v>609</v>
      </c>
      <c r="C39" s="1826">
        <v>164180</v>
      </c>
      <c r="D39" s="1826">
        <v>185222.44100000005</v>
      </c>
      <c r="E39" s="1826">
        <f>SUM(F39:Q39)</f>
        <v>177087</v>
      </c>
      <c r="F39" s="891"/>
      <c r="G39" s="891">
        <v>26332</v>
      </c>
      <c r="H39" s="1333"/>
      <c r="I39" s="1332"/>
      <c r="J39" s="891"/>
      <c r="K39" s="1333"/>
      <c r="L39" s="891">
        <v>4833</v>
      </c>
      <c r="M39" s="891">
        <v>144833</v>
      </c>
      <c r="N39" s="1332"/>
      <c r="O39" s="1333">
        <v>1089</v>
      </c>
      <c r="P39" s="1332"/>
      <c r="Q39" s="1333"/>
      <c r="R39" s="2134"/>
      <c r="S39" s="2085"/>
    </row>
    <row r="40" spans="1:20" x14ac:dyDescent="0.2">
      <c r="A40" s="1350" t="s">
        <v>117</v>
      </c>
      <c r="B40" s="1843" t="s">
        <v>610</v>
      </c>
      <c r="C40" s="1826">
        <v>138806</v>
      </c>
      <c r="D40" s="1826">
        <v>159817.755</v>
      </c>
      <c r="E40" s="1826">
        <f>SUM(F40:Q40)</f>
        <v>154346</v>
      </c>
      <c r="F40" s="891"/>
      <c r="G40" s="891">
        <v>21533</v>
      </c>
      <c r="H40" s="1333"/>
      <c r="I40" s="1332"/>
      <c r="J40" s="891"/>
      <c r="K40" s="1333"/>
      <c r="L40" s="891">
        <v>3991</v>
      </c>
      <c r="M40" s="891">
        <v>127807</v>
      </c>
      <c r="N40" s="1332"/>
      <c r="O40" s="1333">
        <v>1015</v>
      </c>
      <c r="P40" s="1332"/>
      <c r="Q40" s="1333"/>
      <c r="R40" s="2134"/>
      <c r="S40" s="2085"/>
    </row>
    <row r="41" spans="1:20" x14ac:dyDescent="0.2">
      <c r="A41" s="1350" t="s">
        <v>118</v>
      </c>
      <c r="B41" s="1843" t="s">
        <v>611</v>
      </c>
      <c r="C41" s="1826">
        <v>94958</v>
      </c>
      <c r="D41" s="1826">
        <v>112682.345</v>
      </c>
      <c r="E41" s="1826">
        <f>SUM(F41:Q41)</f>
        <v>105806</v>
      </c>
      <c r="F41" s="891"/>
      <c r="G41" s="891">
        <v>13993</v>
      </c>
      <c r="H41" s="1333"/>
      <c r="I41" s="1332"/>
      <c r="J41" s="891"/>
      <c r="K41" s="1333"/>
      <c r="L41" s="891">
        <v>1947</v>
      </c>
      <c r="M41" s="891">
        <v>89504</v>
      </c>
      <c r="N41" s="1332"/>
      <c r="O41" s="1333">
        <v>362</v>
      </c>
      <c r="P41" s="1332"/>
      <c r="Q41" s="1333"/>
      <c r="R41" s="2134"/>
      <c r="S41" s="2085"/>
    </row>
    <row r="42" spans="1:20" x14ac:dyDescent="0.2">
      <c r="A42" s="1350" t="s">
        <v>119</v>
      </c>
      <c r="B42" s="1843" t="s">
        <v>1288</v>
      </c>
      <c r="C42" s="1826">
        <v>168050</v>
      </c>
      <c r="D42" s="1826">
        <v>215401.16499999998</v>
      </c>
      <c r="E42" s="1826">
        <f>SUM(F42:Q42)</f>
        <v>205353</v>
      </c>
      <c r="F42" s="891">
        <v>1600</v>
      </c>
      <c r="G42" s="891">
        <v>1352</v>
      </c>
      <c r="H42" s="1333"/>
      <c r="I42" s="1332"/>
      <c r="J42" s="891"/>
      <c r="K42" s="1333"/>
      <c r="L42" s="891">
        <v>3798</v>
      </c>
      <c r="M42" s="891">
        <v>196109</v>
      </c>
      <c r="N42" s="1332">
        <v>256</v>
      </c>
      <c r="O42" s="1333">
        <v>2238</v>
      </c>
      <c r="P42" s="1332"/>
      <c r="Q42" s="1333"/>
      <c r="R42" s="2134"/>
      <c r="S42" s="2085"/>
    </row>
    <row r="43" spans="1:20" x14ac:dyDescent="0.2">
      <c r="A43" s="1350"/>
      <c r="B43" s="1843"/>
      <c r="C43" s="1826"/>
      <c r="D43" s="1826"/>
      <c r="E43" s="1826"/>
      <c r="F43" s="891"/>
      <c r="G43" s="891"/>
      <c r="H43" s="1333"/>
      <c r="I43" s="1332"/>
      <c r="J43" s="891"/>
      <c r="K43" s="1333"/>
      <c r="L43" s="891"/>
      <c r="M43" s="891"/>
      <c r="N43" s="1332"/>
      <c r="O43" s="1333"/>
      <c r="P43" s="1332"/>
      <c r="Q43" s="1333"/>
      <c r="R43" s="2134"/>
      <c r="S43" s="2085"/>
    </row>
    <row r="44" spans="1:20" ht="15" customHeight="1" x14ac:dyDescent="0.2">
      <c r="A44" s="2110"/>
      <c r="B44" s="2103" t="s">
        <v>151</v>
      </c>
      <c r="C44" s="2140">
        <f t="shared" ref="C44" si="3">SUM(C38:C43)</f>
        <v>621651</v>
      </c>
      <c r="D44" s="2140">
        <v>744257.99100000015</v>
      </c>
      <c r="E44" s="2140">
        <f t="shared" ref="E44:K44" si="4">SUM(E38:E43)</f>
        <v>712457.49399999995</v>
      </c>
      <c r="F44" s="2104">
        <f>SUM(F38:F42)</f>
        <v>2382.4940000000001</v>
      </c>
      <c r="G44" s="2105">
        <f t="shared" si="4"/>
        <v>64958</v>
      </c>
      <c r="H44" s="2107">
        <f t="shared" si="4"/>
        <v>0</v>
      </c>
      <c r="I44" s="2106">
        <f t="shared" si="4"/>
        <v>0</v>
      </c>
      <c r="J44" s="2105">
        <f t="shared" si="4"/>
        <v>0</v>
      </c>
      <c r="K44" s="2141">
        <f t="shared" si="4"/>
        <v>0</v>
      </c>
      <c r="L44" s="2106">
        <f>SUM(L38:L42)</f>
        <v>16562</v>
      </c>
      <c r="M44" s="2141">
        <f>SUM(M38:M43)</f>
        <v>622869</v>
      </c>
      <c r="N44" s="2106">
        <f>SUM(N38:N43)</f>
        <v>256</v>
      </c>
      <c r="O44" s="2107">
        <f>SUM(O38:O43)</f>
        <v>5430</v>
      </c>
      <c r="P44" s="2106">
        <f>SUM(P38:P43)</f>
        <v>0</v>
      </c>
      <c r="Q44" s="2107">
        <f>SUM(Q38:Q43)</f>
        <v>0</v>
      </c>
      <c r="R44" s="2134"/>
      <c r="S44" s="2085"/>
      <c r="T44" s="895"/>
    </row>
    <row r="45" spans="1:20" x14ac:dyDescent="0.2">
      <c r="A45" s="1845"/>
      <c r="B45" s="1829"/>
      <c r="C45" s="1830"/>
      <c r="D45" s="1830"/>
      <c r="E45" s="1830"/>
      <c r="F45" s="896"/>
      <c r="G45" s="896"/>
      <c r="H45" s="1339"/>
      <c r="I45" s="1338"/>
      <c r="J45" s="896"/>
      <c r="K45" s="1339"/>
      <c r="L45" s="896"/>
      <c r="M45" s="896"/>
      <c r="N45" s="1338"/>
      <c r="O45" s="1339"/>
      <c r="P45" s="1338"/>
      <c r="Q45" s="1339"/>
      <c r="R45" s="2134"/>
      <c r="S45" s="2085"/>
      <c r="T45" s="895"/>
    </row>
    <row r="46" spans="1:20" x14ac:dyDescent="0.2">
      <c r="A46" s="1329" t="s">
        <v>327</v>
      </c>
      <c r="B46" s="1846" t="s">
        <v>1035</v>
      </c>
      <c r="C46" s="1831">
        <v>304399</v>
      </c>
      <c r="D46" s="1831">
        <v>402637.10399999999</v>
      </c>
      <c r="E46" s="1831">
        <f>SUM(F46:Q46)</f>
        <v>402637.37300000002</v>
      </c>
      <c r="F46" s="2142">
        <v>349</v>
      </c>
      <c r="G46" s="1847">
        <v>284</v>
      </c>
      <c r="H46" s="1848"/>
      <c r="I46" s="1336"/>
      <c r="J46" s="1847"/>
      <c r="K46" s="1337"/>
      <c r="L46" s="2142">
        <f>1589-1</f>
        <v>1588</v>
      </c>
      <c r="M46" s="2142">
        <v>358313</v>
      </c>
      <c r="N46" s="1342">
        <v>223</v>
      </c>
      <c r="O46" s="1340">
        <f>23500+5659+7200+1618+5220+1291+5500-7887.229-220.398</f>
        <v>41880.373</v>
      </c>
      <c r="P46" s="1336"/>
      <c r="Q46" s="1334"/>
      <c r="R46" s="2134"/>
      <c r="S46" s="2085"/>
      <c r="T46" s="895"/>
    </row>
    <row r="47" spans="1:20" ht="13.5" thickBot="1" x14ac:dyDescent="0.25">
      <c r="A47" s="1845"/>
      <c r="B47" s="1829"/>
      <c r="C47" s="1830"/>
      <c r="D47" s="1830"/>
      <c r="E47" s="1830"/>
      <c r="F47" s="891"/>
      <c r="G47" s="891"/>
      <c r="H47" s="1333"/>
      <c r="I47" s="1332"/>
      <c r="J47" s="891"/>
      <c r="K47" s="1333"/>
      <c r="L47" s="891"/>
      <c r="M47" s="891"/>
      <c r="N47" s="1332"/>
      <c r="O47" s="1333"/>
      <c r="P47" s="1332"/>
      <c r="Q47" s="1333"/>
      <c r="R47" s="2134"/>
      <c r="S47" s="2085"/>
    </row>
    <row r="48" spans="1:20" ht="13.5" hidden="1" thickBot="1" x14ac:dyDescent="0.25">
      <c r="A48" s="1305"/>
      <c r="B48" s="1849"/>
      <c r="C48" s="1826"/>
      <c r="D48" s="1826"/>
      <c r="E48" s="1826"/>
      <c r="F48" s="891"/>
      <c r="G48" s="891"/>
      <c r="H48" s="1333"/>
      <c r="I48" s="1332"/>
      <c r="J48" s="891"/>
      <c r="K48" s="1333"/>
      <c r="L48" s="891"/>
      <c r="M48" s="891"/>
      <c r="N48" s="1332"/>
      <c r="O48" s="1333"/>
      <c r="P48" s="1332"/>
      <c r="Q48" s="1333"/>
      <c r="R48" s="2134"/>
      <c r="S48" s="2085"/>
    </row>
    <row r="49" spans="1:20" ht="13.5" hidden="1" thickBot="1" x14ac:dyDescent="0.25">
      <c r="A49" s="1305"/>
      <c r="B49" s="1849"/>
      <c r="C49" s="1826"/>
      <c r="D49" s="1826"/>
      <c r="E49" s="1826"/>
      <c r="F49" s="891"/>
      <c r="G49" s="891"/>
      <c r="H49" s="1333"/>
      <c r="I49" s="1332"/>
      <c r="J49" s="891"/>
      <c r="K49" s="1333"/>
      <c r="L49" s="891"/>
      <c r="M49" s="891"/>
      <c r="N49" s="1332"/>
      <c r="O49" s="1333"/>
      <c r="P49" s="1332"/>
      <c r="Q49" s="1333"/>
      <c r="R49" s="2134"/>
      <c r="S49" s="2085"/>
    </row>
    <row r="50" spans="1:20" ht="13.5" hidden="1" thickBot="1" x14ac:dyDescent="0.25">
      <c r="A50" s="1305"/>
      <c r="B50" s="1850"/>
      <c r="C50" s="1826"/>
      <c r="D50" s="1826"/>
      <c r="E50" s="1826"/>
      <c r="F50" s="891"/>
      <c r="G50" s="891"/>
      <c r="H50" s="1333"/>
      <c r="I50" s="1332"/>
      <c r="J50" s="891"/>
      <c r="K50" s="1333"/>
      <c r="L50" s="891"/>
      <c r="M50" s="891"/>
      <c r="N50" s="1332"/>
      <c r="O50" s="1333"/>
      <c r="P50" s="1332"/>
      <c r="Q50" s="1333"/>
      <c r="R50" s="2134"/>
      <c r="S50" s="2085"/>
    </row>
    <row r="51" spans="1:20" ht="15" customHeight="1" thickBot="1" x14ac:dyDescent="0.25">
      <c r="A51" s="2143"/>
      <c r="B51" s="2144" t="s">
        <v>417</v>
      </c>
      <c r="C51" s="2145">
        <f>C21+C36+C44+C46</f>
        <v>3431621</v>
      </c>
      <c r="D51" s="2145">
        <f>D21+D36+D44+D46</f>
        <v>3857533.5436</v>
      </c>
      <c r="E51" s="2145">
        <f>E21+E36+E44+E46</f>
        <v>3765407.5320000001</v>
      </c>
      <c r="F51" s="2146">
        <f>F21+F36+F44+F46</f>
        <v>5306.4940000000006</v>
      </c>
      <c r="G51" s="2147">
        <f t="shared" ref="G51:Q51" si="5">G21+G36+G44+G46</f>
        <v>131597.66499999998</v>
      </c>
      <c r="H51" s="2148">
        <f t="shared" si="5"/>
        <v>0</v>
      </c>
      <c r="I51" s="2149">
        <f t="shared" si="5"/>
        <v>0</v>
      </c>
      <c r="J51" s="2147">
        <f t="shared" si="5"/>
        <v>0</v>
      </c>
      <c r="K51" s="2148">
        <f t="shared" si="5"/>
        <v>0</v>
      </c>
      <c r="L51" s="2149">
        <f t="shared" si="5"/>
        <v>35711</v>
      </c>
      <c r="M51" s="2148">
        <f t="shared" si="5"/>
        <v>3458132</v>
      </c>
      <c r="N51" s="2150">
        <f t="shared" si="5"/>
        <v>4977</v>
      </c>
      <c r="O51" s="2148">
        <f t="shared" si="5"/>
        <v>129683.37299999999</v>
      </c>
      <c r="P51" s="2149">
        <f t="shared" si="5"/>
        <v>0</v>
      </c>
      <c r="Q51" s="2148">
        <f t="shared" si="5"/>
        <v>0</v>
      </c>
      <c r="R51" s="2134"/>
      <c r="S51" s="2085"/>
      <c r="T51" s="895">
        <f>SUM(R51:S51)</f>
        <v>0</v>
      </c>
    </row>
    <row r="52" spans="1:20" x14ac:dyDescent="0.2">
      <c r="C52" s="892"/>
      <c r="D52" s="892"/>
      <c r="E52" s="892"/>
      <c r="M52" s="2151"/>
      <c r="R52" s="890"/>
    </row>
    <row r="53" spans="1:20" x14ac:dyDescent="0.2">
      <c r="C53" s="897"/>
      <c r="D53" s="897"/>
      <c r="E53" s="897"/>
      <c r="M53" s="895"/>
      <c r="N53" s="895"/>
      <c r="R53" s="890"/>
    </row>
    <row r="54" spans="1:20" x14ac:dyDescent="0.2">
      <c r="B54" s="895"/>
      <c r="C54" s="897"/>
      <c r="D54" s="897"/>
      <c r="E54" s="897"/>
      <c r="F54" s="895"/>
      <c r="G54" s="895"/>
      <c r="H54" s="895"/>
      <c r="M54" s="895"/>
      <c r="R54" s="890"/>
    </row>
    <row r="55" spans="1:20" x14ac:dyDescent="0.2">
      <c r="B55" s="891"/>
      <c r="C55" s="897"/>
      <c r="D55" s="897"/>
      <c r="E55" s="897"/>
      <c r="F55" s="895"/>
      <c r="G55" s="895"/>
      <c r="M55" s="895"/>
      <c r="N55" s="895"/>
      <c r="O55" s="895"/>
      <c r="P55" s="895"/>
      <c r="R55" s="890"/>
    </row>
    <row r="56" spans="1:20" x14ac:dyDescent="0.2">
      <c r="B56" s="895"/>
      <c r="C56" s="897"/>
      <c r="D56" s="897"/>
      <c r="E56" s="897"/>
      <c r="G56" s="895"/>
      <c r="H56" s="895"/>
      <c r="I56" s="895"/>
      <c r="M56" s="895"/>
      <c r="N56" s="895"/>
      <c r="O56" s="895"/>
      <c r="R56" s="890"/>
    </row>
    <row r="57" spans="1:20" x14ac:dyDescent="0.2">
      <c r="B57" s="895"/>
      <c r="C57" s="897"/>
      <c r="D57" s="897"/>
      <c r="E57" s="897"/>
      <c r="F57" s="895"/>
      <c r="G57" s="895"/>
      <c r="L57" s="895"/>
      <c r="N57" s="895"/>
      <c r="O57" s="895"/>
      <c r="R57" s="890"/>
    </row>
    <row r="58" spans="1:20" x14ac:dyDescent="0.2">
      <c r="B58" s="895"/>
      <c r="C58" s="897"/>
      <c r="D58" s="897"/>
      <c r="E58" s="897"/>
      <c r="M58" s="895"/>
      <c r="N58" s="895"/>
      <c r="R58" s="890"/>
    </row>
    <row r="59" spans="1:20" x14ac:dyDescent="0.2">
      <c r="C59" s="882"/>
      <c r="D59" s="882"/>
      <c r="E59" s="882"/>
      <c r="G59" s="895"/>
      <c r="M59" s="895"/>
      <c r="R59" s="890"/>
    </row>
    <row r="60" spans="1:20" x14ac:dyDescent="0.2">
      <c r="B60" s="895"/>
      <c r="C60" s="882"/>
      <c r="D60" s="882"/>
      <c r="E60" s="882"/>
      <c r="J60" s="895"/>
    </row>
    <row r="61" spans="1:20" x14ac:dyDescent="0.2">
      <c r="B61" s="895"/>
      <c r="C61" s="882"/>
      <c r="D61" s="882"/>
      <c r="E61" s="882"/>
      <c r="J61" s="895"/>
    </row>
    <row r="62" spans="1:20" x14ac:dyDescent="0.2">
      <c r="B62" s="895"/>
      <c r="C62" s="882"/>
      <c r="D62" s="882"/>
      <c r="E62" s="882"/>
      <c r="J62" s="895"/>
    </row>
    <row r="63" spans="1:20" x14ac:dyDescent="0.2">
      <c r="B63" s="895"/>
      <c r="C63" s="882"/>
      <c r="D63" s="882"/>
      <c r="E63" s="882"/>
      <c r="J63" s="895"/>
    </row>
    <row r="64" spans="1:20" x14ac:dyDescent="0.2">
      <c r="B64" s="895"/>
      <c r="C64" s="882"/>
      <c r="D64" s="882"/>
      <c r="E64" s="882"/>
      <c r="J64" s="895"/>
    </row>
    <row r="65" spans="2:18" x14ac:dyDescent="0.2">
      <c r="B65" s="895"/>
      <c r="C65" s="882"/>
      <c r="D65" s="882"/>
      <c r="E65" s="882"/>
    </row>
    <row r="66" spans="2:18" x14ac:dyDescent="0.2">
      <c r="C66" s="882"/>
      <c r="D66" s="882"/>
      <c r="E66" s="882"/>
      <c r="F66" s="882"/>
      <c r="H66" s="882"/>
      <c r="I66" s="882"/>
      <c r="J66" s="882"/>
      <c r="K66" s="882"/>
      <c r="L66" s="882"/>
      <c r="M66" s="882"/>
      <c r="N66" s="882"/>
      <c r="O66" s="882"/>
      <c r="P66" s="882"/>
      <c r="Q66" s="882"/>
      <c r="R66" s="882"/>
    </row>
    <row r="67" spans="2:18" x14ac:dyDescent="0.2">
      <c r="C67" s="882"/>
      <c r="D67" s="882"/>
      <c r="E67" s="882"/>
      <c r="F67" s="882"/>
      <c r="H67" s="882"/>
      <c r="I67" s="882"/>
      <c r="J67" s="882"/>
      <c r="K67" s="882"/>
      <c r="L67" s="882"/>
      <c r="M67" s="882"/>
      <c r="N67" s="882"/>
      <c r="O67" s="882"/>
      <c r="P67" s="882"/>
      <c r="Q67" s="882"/>
      <c r="R67" s="882"/>
    </row>
    <row r="68" spans="2:18" x14ac:dyDescent="0.2">
      <c r="C68" s="882"/>
      <c r="D68" s="882"/>
      <c r="E68" s="882"/>
      <c r="F68" s="882"/>
      <c r="H68" s="882"/>
      <c r="I68" s="882"/>
      <c r="J68" s="882"/>
      <c r="K68" s="882"/>
      <c r="L68" s="882"/>
      <c r="M68" s="882"/>
      <c r="N68" s="882"/>
      <c r="O68" s="882"/>
      <c r="P68" s="882"/>
      <c r="Q68" s="882"/>
      <c r="R68" s="882"/>
    </row>
    <row r="69" spans="2:18" x14ac:dyDescent="0.2">
      <c r="B69" s="895"/>
      <c r="C69" s="882"/>
      <c r="D69" s="882"/>
      <c r="E69" s="882"/>
      <c r="F69" s="882"/>
      <c r="H69" s="882"/>
      <c r="I69" s="882"/>
      <c r="J69" s="882"/>
      <c r="K69" s="882"/>
      <c r="L69" s="882"/>
      <c r="M69" s="882"/>
      <c r="N69" s="882"/>
      <c r="O69" s="882"/>
      <c r="P69" s="882"/>
      <c r="Q69" s="882"/>
      <c r="R69" s="882"/>
    </row>
    <row r="70" spans="2:18" x14ac:dyDescent="0.2">
      <c r="B70" s="895"/>
      <c r="C70" s="882"/>
      <c r="D70" s="882"/>
      <c r="E70" s="882"/>
      <c r="F70" s="882"/>
      <c r="H70" s="882"/>
      <c r="I70" s="882"/>
      <c r="J70" s="882"/>
      <c r="K70" s="882"/>
      <c r="L70" s="882"/>
      <c r="M70" s="882"/>
      <c r="N70" s="882"/>
      <c r="O70" s="882"/>
      <c r="P70" s="882"/>
      <c r="Q70" s="882"/>
      <c r="R70" s="882"/>
    </row>
    <row r="71" spans="2:18" x14ac:dyDescent="0.2">
      <c r="B71" s="895"/>
      <c r="C71" s="882"/>
      <c r="D71" s="882"/>
      <c r="E71" s="882"/>
      <c r="F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  <c r="R71" s="882"/>
    </row>
    <row r="72" spans="2:18" x14ac:dyDescent="0.2">
      <c r="C72" s="882"/>
      <c r="D72" s="882"/>
      <c r="E72" s="882"/>
      <c r="F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</row>
    <row r="73" spans="2:18" x14ac:dyDescent="0.2">
      <c r="C73" s="882"/>
      <c r="D73" s="882"/>
      <c r="E73" s="882"/>
      <c r="F73" s="882"/>
      <c r="H73" s="882"/>
      <c r="I73" s="882"/>
      <c r="J73" s="882"/>
      <c r="K73" s="882"/>
      <c r="L73" s="882"/>
      <c r="M73" s="882"/>
      <c r="N73" s="882"/>
      <c r="O73" s="882"/>
      <c r="P73" s="882"/>
      <c r="Q73" s="882"/>
      <c r="R73" s="882"/>
    </row>
    <row r="74" spans="2:18" x14ac:dyDescent="0.2">
      <c r="C74" s="882"/>
      <c r="D74" s="882"/>
      <c r="E74" s="882"/>
      <c r="F74" s="882"/>
      <c r="H74" s="882"/>
      <c r="I74" s="882"/>
      <c r="J74" s="882"/>
      <c r="K74" s="882"/>
      <c r="L74" s="882"/>
      <c r="M74" s="882"/>
      <c r="N74" s="882"/>
      <c r="O74" s="882"/>
      <c r="P74" s="882"/>
      <c r="Q74" s="882"/>
      <c r="R74" s="882"/>
    </row>
    <row r="75" spans="2:18" x14ac:dyDescent="0.2">
      <c r="C75" s="882"/>
      <c r="D75" s="882"/>
      <c r="E75" s="882"/>
      <c r="F75" s="882"/>
      <c r="H75" s="882"/>
      <c r="I75" s="882"/>
      <c r="J75" s="882"/>
      <c r="K75" s="882"/>
      <c r="L75" s="882"/>
      <c r="M75" s="882"/>
      <c r="N75" s="882"/>
      <c r="O75" s="882"/>
      <c r="P75" s="882"/>
      <c r="Q75" s="882"/>
      <c r="R75" s="882"/>
    </row>
    <row r="76" spans="2:18" x14ac:dyDescent="0.2">
      <c r="C76" s="882"/>
      <c r="D76" s="882"/>
      <c r="E76" s="882"/>
      <c r="F76" s="882"/>
      <c r="H76" s="882"/>
      <c r="I76" s="882"/>
      <c r="J76" s="882"/>
      <c r="K76" s="882"/>
      <c r="L76" s="882"/>
      <c r="M76" s="882"/>
      <c r="N76" s="882"/>
      <c r="O76" s="882"/>
      <c r="P76" s="882"/>
      <c r="Q76" s="882"/>
      <c r="R76" s="882"/>
    </row>
    <row r="77" spans="2:18" x14ac:dyDescent="0.2">
      <c r="C77" s="882"/>
      <c r="D77" s="882"/>
      <c r="E77" s="882"/>
      <c r="F77" s="882"/>
      <c r="H77" s="882"/>
      <c r="I77" s="882"/>
      <c r="J77" s="882"/>
      <c r="K77" s="882"/>
      <c r="L77" s="882"/>
      <c r="M77" s="882"/>
      <c r="N77" s="882"/>
      <c r="O77" s="882"/>
      <c r="P77" s="882"/>
      <c r="Q77" s="882"/>
      <c r="R77" s="882"/>
    </row>
    <row r="78" spans="2:18" x14ac:dyDescent="0.2">
      <c r="C78" s="882"/>
      <c r="D78" s="882"/>
      <c r="E78" s="882"/>
      <c r="F78" s="882"/>
      <c r="H78" s="882"/>
      <c r="I78" s="882"/>
      <c r="J78" s="882"/>
      <c r="K78" s="882"/>
      <c r="L78" s="882"/>
      <c r="M78" s="882"/>
      <c r="N78" s="882"/>
      <c r="O78" s="882"/>
      <c r="P78" s="882"/>
      <c r="Q78" s="882"/>
      <c r="R78" s="882"/>
    </row>
    <row r="79" spans="2:18" x14ac:dyDescent="0.2">
      <c r="C79" s="882"/>
      <c r="D79" s="882"/>
      <c r="E79" s="882"/>
      <c r="F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</row>
    <row r="80" spans="2:18" x14ac:dyDescent="0.2">
      <c r="F80" s="882"/>
      <c r="G80" s="882"/>
      <c r="H80" s="882"/>
      <c r="I80" s="882"/>
      <c r="J80" s="882"/>
      <c r="K80" s="882"/>
      <c r="L80" s="882"/>
      <c r="M80" s="882"/>
      <c r="N80" s="882"/>
      <c r="O80" s="882"/>
      <c r="P80" s="882"/>
      <c r="Q80" s="882"/>
      <c r="R80" s="882"/>
    </row>
    <row r="81" spans="3:18" x14ac:dyDescent="0.2">
      <c r="C81" s="882"/>
      <c r="D81" s="882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</row>
    <row r="82" spans="3:18" x14ac:dyDescent="0.2">
      <c r="C82" s="882"/>
      <c r="D82" s="882"/>
      <c r="E82" s="882"/>
      <c r="F82" s="882"/>
      <c r="G82" s="882"/>
      <c r="H82" s="882"/>
      <c r="I82" s="882"/>
      <c r="J82" s="882"/>
      <c r="K82" s="882"/>
      <c r="L82" s="882"/>
      <c r="M82" s="882"/>
      <c r="N82" s="882"/>
      <c r="O82" s="882"/>
      <c r="P82" s="882"/>
      <c r="Q82" s="882"/>
      <c r="R82" s="882"/>
    </row>
    <row r="83" spans="3:18" x14ac:dyDescent="0.2">
      <c r="C83" s="882"/>
      <c r="D83" s="882"/>
      <c r="E83" s="882"/>
      <c r="F83" s="882"/>
      <c r="G83" s="882"/>
      <c r="H83" s="882"/>
      <c r="I83" s="882"/>
      <c r="J83" s="882"/>
      <c r="K83" s="882"/>
      <c r="L83" s="882"/>
      <c r="M83" s="882"/>
      <c r="N83" s="882"/>
      <c r="O83" s="882"/>
      <c r="P83" s="882"/>
      <c r="Q83" s="882"/>
      <c r="R83" s="882"/>
    </row>
    <row r="84" spans="3:18" x14ac:dyDescent="0.2"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882"/>
    </row>
    <row r="85" spans="3:18" x14ac:dyDescent="0.2">
      <c r="C85" s="882"/>
      <c r="D85" s="882"/>
      <c r="E85" s="882"/>
      <c r="F85" s="882"/>
      <c r="G85" s="882"/>
      <c r="H85" s="882"/>
      <c r="I85" s="882"/>
      <c r="J85" s="882"/>
      <c r="K85" s="882"/>
      <c r="L85" s="882"/>
      <c r="M85" s="882"/>
      <c r="N85" s="882"/>
      <c r="O85" s="882"/>
      <c r="P85" s="882"/>
      <c r="Q85" s="882"/>
      <c r="R85" s="882"/>
    </row>
    <row r="86" spans="3:18" x14ac:dyDescent="0.2">
      <c r="C86" s="882"/>
      <c r="D86" s="882"/>
      <c r="E86" s="882"/>
      <c r="F86" s="882"/>
      <c r="G86" s="882"/>
      <c r="H86" s="882"/>
      <c r="I86" s="882"/>
      <c r="J86" s="882"/>
      <c r="K86" s="882"/>
      <c r="L86" s="882"/>
      <c r="M86" s="882"/>
      <c r="N86" s="882"/>
      <c r="O86" s="882"/>
      <c r="P86" s="882"/>
      <c r="Q86" s="882"/>
      <c r="R86" s="882"/>
    </row>
    <row r="87" spans="3:18" x14ac:dyDescent="0.2">
      <c r="C87" s="882"/>
      <c r="D87" s="882"/>
      <c r="E87" s="882"/>
      <c r="F87" s="882"/>
      <c r="G87" s="882"/>
      <c r="H87" s="882"/>
      <c r="I87" s="882"/>
      <c r="J87" s="882"/>
      <c r="K87" s="882"/>
      <c r="L87" s="882"/>
      <c r="M87" s="882"/>
      <c r="N87" s="882"/>
      <c r="O87" s="882"/>
      <c r="P87" s="882"/>
      <c r="Q87" s="882"/>
      <c r="R87" s="882"/>
    </row>
    <row r="88" spans="3:18" x14ac:dyDescent="0.2">
      <c r="C88" s="882"/>
      <c r="D88" s="882"/>
      <c r="E88" s="882"/>
      <c r="F88" s="882"/>
      <c r="G88" s="882"/>
      <c r="H88" s="882"/>
      <c r="I88" s="882"/>
      <c r="J88" s="882"/>
      <c r="K88" s="882"/>
      <c r="L88" s="882"/>
      <c r="M88" s="882"/>
      <c r="N88" s="882"/>
      <c r="O88" s="882"/>
      <c r="P88" s="882"/>
      <c r="Q88" s="882"/>
      <c r="R88" s="882"/>
    </row>
    <row r="89" spans="3:18" x14ac:dyDescent="0.2">
      <c r="C89" s="882"/>
      <c r="D89" s="882"/>
      <c r="E89" s="882"/>
      <c r="F89" s="882"/>
      <c r="G89" s="882"/>
      <c r="H89" s="882"/>
      <c r="I89" s="882"/>
      <c r="J89" s="882"/>
      <c r="K89" s="882"/>
      <c r="L89" s="882"/>
      <c r="M89" s="882"/>
      <c r="N89" s="882"/>
      <c r="O89" s="882"/>
      <c r="P89" s="882"/>
      <c r="Q89" s="882"/>
      <c r="R89" s="882"/>
    </row>
    <row r="90" spans="3:18" x14ac:dyDescent="0.2">
      <c r="C90" s="882"/>
      <c r="D90" s="882"/>
      <c r="E90" s="882"/>
      <c r="F90" s="882"/>
      <c r="G90" s="882"/>
      <c r="H90" s="882"/>
      <c r="I90" s="882"/>
      <c r="J90" s="882"/>
      <c r="K90" s="882"/>
      <c r="L90" s="882"/>
      <c r="M90" s="882"/>
      <c r="N90" s="882"/>
      <c r="O90" s="882"/>
      <c r="P90" s="882"/>
      <c r="Q90" s="882"/>
      <c r="R90" s="882"/>
    </row>
    <row r="91" spans="3:18" x14ac:dyDescent="0.2">
      <c r="C91" s="882"/>
      <c r="D91" s="882"/>
      <c r="E91" s="882"/>
      <c r="F91" s="882"/>
      <c r="G91" s="882"/>
      <c r="H91" s="882"/>
      <c r="I91" s="882"/>
      <c r="J91" s="882"/>
      <c r="K91" s="882"/>
      <c r="L91" s="882"/>
      <c r="M91" s="882"/>
      <c r="N91" s="882"/>
      <c r="O91" s="882"/>
      <c r="P91" s="882"/>
      <c r="Q91" s="882"/>
      <c r="R91" s="882"/>
    </row>
    <row r="92" spans="3:18" x14ac:dyDescent="0.2"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</row>
    <row r="93" spans="3:18" x14ac:dyDescent="0.2">
      <c r="C93" s="882"/>
      <c r="D93" s="882"/>
      <c r="E93" s="882"/>
      <c r="F93" s="882"/>
      <c r="G93" s="882"/>
      <c r="H93" s="882"/>
      <c r="I93" s="882"/>
      <c r="J93" s="882"/>
      <c r="K93" s="882"/>
      <c r="L93" s="882"/>
      <c r="M93" s="882"/>
      <c r="N93" s="882"/>
      <c r="O93" s="882"/>
      <c r="P93" s="882"/>
      <c r="Q93" s="882"/>
      <c r="R93" s="882"/>
    </row>
    <row r="94" spans="3:18" x14ac:dyDescent="0.2">
      <c r="C94" s="882"/>
      <c r="D94" s="882"/>
      <c r="E94" s="882"/>
      <c r="F94" s="882"/>
      <c r="G94" s="882"/>
      <c r="H94" s="882"/>
      <c r="I94" s="882"/>
      <c r="J94" s="882"/>
      <c r="K94" s="882"/>
      <c r="L94" s="882"/>
      <c r="M94" s="882"/>
      <c r="N94" s="882"/>
      <c r="O94" s="882"/>
      <c r="P94" s="882"/>
      <c r="Q94" s="882"/>
      <c r="R94" s="882"/>
    </row>
    <row r="95" spans="3:18" x14ac:dyDescent="0.2">
      <c r="C95" s="882"/>
      <c r="D95" s="882"/>
      <c r="E95" s="882"/>
      <c r="F95" s="882"/>
      <c r="G95" s="882"/>
      <c r="H95" s="882"/>
      <c r="I95" s="882"/>
      <c r="J95" s="882"/>
      <c r="K95" s="882"/>
      <c r="L95" s="882"/>
      <c r="M95" s="882"/>
      <c r="N95" s="882"/>
      <c r="O95" s="882"/>
      <c r="P95" s="882"/>
      <c r="Q95" s="882"/>
      <c r="R95" s="882"/>
    </row>
    <row r="96" spans="3:18" x14ac:dyDescent="0.2">
      <c r="C96" s="882"/>
      <c r="D96" s="882"/>
      <c r="E96" s="882"/>
      <c r="F96" s="882"/>
      <c r="G96" s="882"/>
      <c r="H96" s="882"/>
      <c r="I96" s="882"/>
      <c r="J96" s="882"/>
      <c r="K96" s="882"/>
      <c r="L96" s="882"/>
      <c r="M96" s="882"/>
      <c r="N96" s="882"/>
      <c r="O96" s="882"/>
      <c r="P96" s="882"/>
      <c r="Q96" s="882"/>
      <c r="R96" s="882"/>
    </row>
    <row r="97" spans="3:18" x14ac:dyDescent="0.2">
      <c r="C97" s="882"/>
      <c r="D97" s="882"/>
      <c r="E97" s="882"/>
      <c r="F97" s="882"/>
      <c r="G97" s="882"/>
      <c r="H97" s="882"/>
      <c r="I97" s="882"/>
      <c r="J97" s="882"/>
      <c r="K97" s="882"/>
      <c r="L97" s="882"/>
      <c r="M97" s="882"/>
      <c r="N97" s="882"/>
      <c r="O97" s="882"/>
      <c r="P97" s="882"/>
      <c r="Q97" s="882"/>
      <c r="R97" s="882"/>
    </row>
    <row r="98" spans="3:18" x14ac:dyDescent="0.2">
      <c r="C98" s="882"/>
      <c r="D98" s="882"/>
      <c r="E98" s="882"/>
      <c r="F98" s="882"/>
      <c r="G98" s="882"/>
      <c r="H98" s="882"/>
      <c r="I98" s="882"/>
      <c r="J98" s="882"/>
      <c r="K98" s="882"/>
      <c r="L98" s="882"/>
      <c r="M98" s="882"/>
      <c r="N98" s="882"/>
      <c r="O98" s="882"/>
      <c r="P98" s="882"/>
      <c r="Q98" s="882"/>
      <c r="R98" s="882"/>
    </row>
    <row r="99" spans="3:18" x14ac:dyDescent="0.2">
      <c r="C99" s="882"/>
      <c r="D99" s="882"/>
      <c r="E99" s="882"/>
      <c r="F99" s="882"/>
      <c r="G99" s="882"/>
      <c r="H99" s="882"/>
      <c r="I99" s="882"/>
      <c r="J99" s="882"/>
      <c r="K99" s="882"/>
      <c r="L99" s="882"/>
      <c r="M99" s="882"/>
      <c r="N99" s="882"/>
      <c r="O99" s="882"/>
      <c r="P99" s="882"/>
      <c r="Q99" s="882"/>
      <c r="R99" s="882"/>
    </row>
    <row r="100" spans="3:18" x14ac:dyDescent="0.2">
      <c r="C100" s="882"/>
      <c r="D100" s="882"/>
      <c r="E100" s="882"/>
      <c r="F100" s="882"/>
      <c r="G100" s="882"/>
      <c r="H100" s="882"/>
      <c r="I100" s="882"/>
      <c r="J100" s="882"/>
      <c r="K100" s="882"/>
      <c r="L100" s="882"/>
      <c r="M100" s="882"/>
      <c r="N100" s="882"/>
      <c r="O100" s="882"/>
      <c r="P100" s="882"/>
      <c r="Q100" s="882"/>
      <c r="R100" s="882"/>
    </row>
    <row r="101" spans="3:18" x14ac:dyDescent="0.2">
      <c r="C101" s="882"/>
      <c r="D101" s="882"/>
      <c r="E101" s="882"/>
      <c r="F101" s="882"/>
      <c r="G101" s="882"/>
      <c r="H101" s="882"/>
      <c r="I101" s="882"/>
      <c r="J101" s="882"/>
      <c r="K101" s="882"/>
      <c r="L101" s="882"/>
      <c r="M101" s="882"/>
      <c r="N101" s="882"/>
      <c r="O101" s="882"/>
      <c r="P101" s="882"/>
      <c r="Q101" s="882"/>
      <c r="R101" s="882"/>
    </row>
    <row r="102" spans="3:18" x14ac:dyDescent="0.2">
      <c r="C102" s="882"/>
      <c r="D102" s="882"/>
      <c r="E102" s="882"/>
      <c r="F102" s="882"/>
      <c r="G102" s="882"/>
      <c r="H102" s="882"/>
      <c r="I102" s="882"/>
      <c r="J102" s="882"/>
      <c r="K102" s="882"/>
      <c r="L102" s="882"/>
      <c r="M102" s="882"/>
      <c r="N102" s="882"/>
      <c r="O102" s="882"/>
      <c r="P102" s="882"/>
      <c r="Q102" s="882"/>
      <c r="R102" s="882"/>
    </row>
    <row r="103" spans="3:18" x14ac:dyDescent="0.2">
      <c r="C103" s="882"/>
      <c r="D103" s="882"/>
      <c r="E103" s="882"/>
      <c r="F103" s="882"/>
      <c r="G103" s="882"/>
      <c r="H103" s="882"/>
      <c r="I103" s="882"/>
      <c r="J103" s="882"/>
      <c r="K103" s="882"/>
      <c r="L103" s="882"/>
      <c r="M103" s="882"/>
      <c r="N103" s="882"/>
      <c r="O103" s="882"/>
      <c r="P103" s="882"/>
      <c r="Q103" s="882"/>
      <c r="R103" s="882"/>
    </row>
    <row r="104" spans="3:18" x14ac:dyDescent="0.2">
      <c r="C104" s="882"/>
      <c r="D104" s="882"/>
      <c r="E104" s="882"/>
      <c r="F104" s="882"/>
      <c r="G104" s="882"/>
      <c r="H104" s="882"/>
      <c r="I104" s="882"/>
      <c r="J104" s="882"/>
      <c r="K104" s="882"/>
      <c r="L104" s="882"/>
      <c r="M104" s="882"/>
      <c r="N104" s="882"/>
      <c r="O104" s="882"/>
      <c r="P104" s="882"/>
      <c r="Q104" s="882"/>
      <c r="R104" s="882"/>
    </row>
    <row r="105" spans="3:18" x14ac:dyDescent="0.2">
      <c r="C105" s="882"/>
      <c r="D105" s="882"/>
      <c r="E105" s="882"/>
      <c r="F105" s="882"/>
      <c r="G105" s="882"/>
      <c r="H105" s="882"/>
      <c r="I105" s="882"/>
      <c r="J105" s="882"/>
      <c r="K105" s="882"/>
      <c r="L105" s="882"/>
      <c r="M105" s="882"/>
      <c r="N105" s="882"/>
      <c r="O105" s="882"/>
      <c r="P105" s="882"/>
      <c r="Q105" s="882"/>
      <c r="R105" s="882"/>
    </row>
    <row r="106" spans="3:18" x14ac:dyDescent="0.2">
      <c r="C106" s="882"/>
      <c r="D106" s="882"/>
      <c r="E106" s="882"/>
      <c r="F106" s="882"/>
      <c r="G106" s="882"/>
      <c r="H106" s="882"/>
      <c r="I106" s="882"/>
      <c r="J106" s="882"/>
      <c r="K106" s="882"/>
      <c r="L106" s="882"/>
      <c r="M106" s="882"/>
      <c r="N106" s="882"/>
      <c r="O106" s="882"/>
      <c r="P106" s="882"/>
      <c r="Q106" s="882"/>
      <c r="R106" s="882"/>
    </row>
    <row r="107" spans="3:18" x14ac:dyDescent="0.2">
      <c r="C107" s="882"/>
      <c r="D107" s="882"/>
      <c r="E107" s="882"/>
      <c r="F107" s="882"/>
      <c r="G107" s="882"/>
      <c r="H107" s="882"/>
      <c r="I107" s="882"/>
      <c r="J107" s="882"/>
      <c r="K107" s="882"/>
      <c r="L107" s="882"/>
      <c r="M107" s="882"/>
      <c r="N107" s="882"/>
      <c r="O107" s="882"/>
      <c r="P107" s="882"/>
      <c r="Q107" s="882"/>
      <c r="R107" s="882"/>
    </row>
    <row r="108" spans="3:18" x14ac:dyDescent="0.2">
      <c r="C108" s="882"/>
      <c r="D108" s="882"/>
      <c r="E108" s="882"/>
      <c r="F108" s="882"/>
      <c r="G108" s="882"/>
      <c r="H108" s="882"/>
      <c r="I108" s="882"/>
      <c r="J108" s="882"/>
      <c r="K108" s="882"/>
      <c r="L108" s="882"/>
      <c r="M108" s="882"/>
      <c r="N108" s="882"/>
      <c r="O108" s="882"/>
      <c r="P108" s="882"/>
      <c r="Q108" s="882"/>
      <c r="R108" s="882"/>
    </row>
    <row r="109" spans="3:18" x14ac:dyDescent="0.2">
      <c r="C109" s="882"/>
      <c r="D109" s="882"/>
      <c r="E109" s="882"/>
      <c r="F109" s="882"/>
      <c r="G109" s="882"/>
      <c r="H109" s="882"/>
      <c r="I109" s="882"/>
      <c r="J109" s="882"/>
      <c r="K109" s="882"/>
      <c r="L109" s="882"/>
      <c r="M109" s="882"/>
      <c r="N109" s="882"/>
      <c r="O109" s="882"/>
      <c r="P109" s="882"/>
      <c r="Q109" s="882"/>
      <c r="R109" s="882"/>
    </row>
    <row r="110" spans="3:18" x14ac:dyDescent="0.2">
      <c r="C110" s="882"/>
      <c r="D110" s="882"/>
      <c r="E110" s="882"/>
      <c r="F110" s="882"/>
      <c r="G110" s="882"/>
      <c r="H110" s="882"/>
      <c r="I110" s="882"/>
      <c r="J110" s="882"/>
      <c r="K110" s="882"/>
      <c r="L110" s="882"/>
      <c r="M110" s="882"/>
      <c r="N110" s="882"/>
      <c r="O110" s="882"/>
      <c r="P110" s="882"/>
      <c r="Q110" s="882"/>
      <c r="R110" s="882"/>
    </row>
    <row r="111" spans="3:18" x14ac:dyDescent="0.2">
      <c r="C111" s="882"/>
      <c r="D111" s="882"/>
      <c r="E111" s="882"/>
      <c r="F111" s="882"/>
      <c r="G111" s="882"/>
      <c r="H111" s="882"/>
      <c r="I111" s="882"/>
      <c r="J111" s="882"/>
      <c r="K111" s="882"/>
      <c r="L111" s="882"/>
      <c r="M111" s="882"/>
      <c r="N111" s="882"/>
      <c r="O111" s="882"/>
      <c r="P111" s="882"/>
      <c r="Q111" s="882"/>
      <c r="R111" s="882"/>
    </row>
    <row r="112" spans="3:18" x14ac:dyDescent="0.2">
      <c r="C112" s="882"/>
      <c r="D112" s="882"/>
      <c r="E112" s="882"/>
      <c r="F112" s="882"/>
      <c r="G112" s="882"/>
      <c r="H112" s="882"/>
      <c r="I112" s="882"/>
      <c r="J112" s="882"/>
      <c r="K112" s="882"/>
      <c r="L112" s="882"/>
      <c r="M112" s="882"/>
      <c r="N112" s="882"/>
      <c r="O112" s="882"/>
      <c r="P112" s="882"/>
      <c r="Q112" s="882"/>
      <c r="R112" s="882"/>
    </row>
    <row r="113" spans="3:18" x14ac:dyDescent="0.2">
      <c r="C113" s="882"/>
      <c r="D113" s="882"/>
      <c r="E113" s="882"/>
      <c r="F113" s="882"/>
      <c r="G113" s="882"/>
      <c r="H113" s="882"/>
      <c r="I113" s="882"/>
      <c r="J113" s="882"/>
      <c r="K113" s="882"/>
      <c r="L113" s="882"/>
      <c r="M113" s="882"/>
      <c r="N113" s="882"/>
      <c r="O113" s="882"/>
      <c r="P113" s="882"/>
      <c r="Q113" s="882"/>
      <c r="R113" s="882"/>
    </row>
    <row r="114" spans="3:18" x14ac:dyDescent="0.2">
      <c r="C114" s="882"/>
      <c r="D114" s="882"/>
      <c r="E114" s="882"/>
      <c r="F114" s="882"/>
      <c r="G114" s="882"/>
      <c r="H114" s="882"/>
      <c r="I114" s="882"/>
      <c r="J114" s="882"/>
      <c r="K114" s="882"/>
      <c r="L114" s="882"/>
      <c r="M114" s="882"/>
      <c r="N114" s="882"/>
      <c r="O114" s="882"/>
      <c r="P114" s="882"/>
      <c r="Q114" s="882"/>
      <c r="R114" s="882"/>
    </row>
    <row r="115" spans="3:18" x14ac:dyDescent="0.2">
      <c r="C115" s="882"/>
      <c r="D115" s="882"/>
      <c r="E115" s="882"/>
      <c r="F115" s="882"/>
      <c r="G115" s="882"/>
      <c r="H115" s="882"/>
      <c r="I115" s="882"/>
      <c r="J115" s="882"/>
      <c r="K115" s="882"/>
      <c r="L115" s="882"/>
      <c r="M115" s="882"/>
      <c r="N115" s="882"/>
      <c r="O115" s="882"/>
      <c r="P115" s="882"/>
      <c r="Q115" s="882"/>
      <c r="R115" s="882"/>
    </row>
    <row r="116" spans="3:18" x14ac:dyDescent="0.2">
      <c r="C116" s="882"/>
      <c r="D116" s="882"/>
      <c r="E116" s="882"/>
      <c r="F116" s="882"/>
      <c r="G116" s="882"/>
      <c r="H116" s="882"/>
      <c r="I116" s="882"/>
      <c r="J116" s="882"/>
      <c r="K116" s="882"/>
      <c r="L116" s="882"/>
      <c r="M116" s="882"/>
      <c r="N116" s="882"/>
      <c r="O116" s="882"/>
      <c r="P116" s="882"/>
      <c r="Q116" s="882"/>
      <c r="R116" s="882"/>
    </row>
    <row r="117" spans="3:18" x14ac:dyDescent="0.2">
      <c r="C117" s="882"/>
      <c r="D117" s="882"/>
      <c r="E117" s="882"/>
      <c r="F117" s="882"/>
      <c r="G117" s="882"/>
      <c r="H117" s="882"/>
      <c r="I117" s="882"/>
      <c r="J117" s="882"/>
      <c r="K117" s="882"/>
      <c r="L117" s="882"/>
      <c r="M117" s="882"/>
      <c r="N117" s="882"/>
      <c r="O117" s="882"/>
      <c r="P117" s="882"/>
      <c r="Q117" s="882"/>
      <c r="R117" s="882"/>
    </row>
    <row r="118" spans="3:18" x14ac:dyDescent="0.2">
      <c r="C118" s="882"/>
      <c r="D118" s="882"/>
      <c r="E118" s="882"/>
      <c r="F118" s="882"/>
      <c r="G118" s="882"/>
      <c r="H118" s="882"/>
      <c r="I118" s="882"/>
      <c r="J118" s="882"/>
      <c r="K118" s="882"/>
      <c r="L118" s="882"/>
      <c r="M118" s="882"/>
      <c r="N118" s="882"/>
      <c r="O118" s="882"/>
      <c r="P118" s="882"/>
      <c r="Q118" s="882"/>
      <c r="R118" s="882"/>
    </row>
    <row r="119" spans="3:18" x14ac:dyDescent="0.2">
      <c r="C119" s="882"/>
      <c r="D119" s="882"/>
      <c r="E119" s="882"/>
      <c r="F119" s="882"/>
      <c r="G119" s="882"/>
      <c r="H119" s="882"/>
      <c r="I119" s="882"/>
      <c r="J119" s="882"/>
      <c r="K119" s="882"/>
      <c r="L119" s="882"/>
      <c r="M119" s="882"/>
      <c r="N119" s="882"/>
      <c r="O119" s="882"/>
      <c r="P119" s="882"/>
      <c r="Q119" s="882"/>
      <c r="R119" s="882"/>
    </row>
    <row r="120" spans="3:18" x14ac:dyDescent="0.2">
      <c r="C120" s="882"/>
      <c r="D120" s="882"/>
      <c r="E120" s="882"/>
      <c r="F120" s="882"/>
      <c r="G120" s="882"/>
      <c r="H120" s="882"/>
      <c r="I120" s="882"/>
      <c r="J120" s="882"/>
      <c r="K120" s="882"/>
      <c r="L120" s="882"/>
      <c r="M120" s="882"/>
      <c r="N120" s="882"/>
      <c r="O120" s="882"/>
      <c r="P120" s="882"/>
      <c r="Q120" s="882"/>
      <c r="R120" s="882"/>
    </row>
    <row r="121" spans="3:18" x14ac:dyDescent="0.2">
      <c r="C121" s="882"/>
      <c r="D121" s="882"/>
      <c r="E121" s="882"/>
      <c r="F121" s="882"/>
      <c r="G121" s="882"/>
      <c r="H121" s="882"/>
      <c r="I121" s="882"/>
      <c r="J121" s="882"/>
      <c r="K121" s="882"/>
      <c r="L121" s="882"/>
      <c r="M121" s="882"/>
      <c r="N121" s="882"/>
      <c r="O121" s="882"/>
      <c r="P121" s="882"/>
      <c r="Q121" s="882"/>
      <c r="R121" s="882"/>
    </row>
    <row r="122" spans="3:18" x14ac:dyDescent="0.2">
      <c r="C122" s="882"/>
      <c r="D122" s="882"/>
      <c r="E122" s="882"/>
      <c r="F122" s="882"/>
      <c r="G122" s="882"/>
      <c r="H122" s="882"/>
      <c r="I122" s="882"/>
      <c r="J122" s="882"/>
      <c r="K122" s="882"/>
      <c r="L122" s="882"/>
      <c r="M122" s="882"/>
      <c r="N122" s="882"/>
      <c r="O122" s="882"/>
      <c r="P122" s="882"/>
      <c r="Q122" s="882"/>
      <c r="R122" s="882"/>
    </row>
    <row r="123" spans="3:18" x14ac:dyDescent="0.2">
      <c r="C123" s="882"/>
      <c r="D123" s="882"/>
      <c r="E123" s="882"/>
      <c r="F123" s="882"/>
      <c r="G123" s="882"/>
      <c r="H123" s="882"/>
      <c r="I123" s="882"/>
      <c r="J123" s="882"/>
      <c r="K123" s="882"/>
      <c r="L123" s="882"/>
      <c r="M123" s="882"/>
      <c r="N123" s="882"/>
      <c r="O123" s="882"/>
      <c r="P123" s="882"/>
      <c r="Q123" s="882"/>
      <c r="R123" s="882"/>
    </row>
    <row r="124" spans="3:18" x14ac:dyDescent="0.2">
      <c r="C124" s="882"/>
      <c r="D124" s="882"/>
      <c r="E124" s="882"/>
      <c r="F124" s="882"/>
      <c r="G124" s="882"/>
      <c r="H124" s="882"/>
      <c r="I124" s="882"/>
      <c r="J124" s="882"/>
      <c r="K124" s="882"/>
      <c r="L124" s="882"/>
      <c r="M124" s="882"/>
      <c r="N124" s="882"/>
      <c r="O124" s="882"/>
      <c r="P124" s="882"/>
      <c r="Q124" s="882"/>
      <c r="R124" s="882"/>
    </row>
    <row r="125" spans="3:18" x14ac:dyDescent="0.2">
      <c r="C125" s="882"/>
      <c r="D125" s="882"/>
      <c r="E125" s="882"/>
      <c r="F125" s="882"/>
      <c r="G125" s="882"/>
      <c r="H125" s="882"/>
      <c r="I125" s="882"/>
      <c r="J125" s="882"/>
      <c r="K125" s="882"/>
      <c r="L125" s="882"/>
      <c r="M125" s="882"/>
      <c r="N125" s="882"/>
      <c r="O125" s="882"/>
      <c r="P125" s="882"/>
      <c r="Q125" s="882"/>
      <c r="R125" s="882"/>
    </row>
    <row r="126" spans="3:18" x14ac:dyDescent="0.2">
      <c r="C126" s="882"/>
      <c r="D126" s="882"/>
      <c r="E126" s="882"/>
      <c r="F126" s="882"/>
      <c r="G126" s="882"/>
      <c r="H126" s="882"/>
      <c r="I126" s="882"/>
      <c r="J126" s="882"/>
      <c r="K126" s="882"/>
      <c r="L126" s="882"/>
      <c r="M126" s="882"/>
      <c r="N126" s="882"/>
      <c r="O126" s="882"/>
      <c r="P126" s="882"/>
      <c r="Q126" s="882"/>
      <c r="R126" s="882"/>
    </row>
    <row r="127" spans="3:18" x14ac:dyDescent="0.2">
      <c r="C127" s="882"/>
      <c r="D127" s="882"/>
      <c r="E127" s="882"/>
      <c r="F127" s="882"/>
      <c r="G127" s="882"/>
      <c r="H127" s="882"/>
      <c r="I127" s="882"/>
      <c r="J127" s="882"/>
      <c r="K127" s="882"/>
      <c r="L127" s="882"/>
      <c r="M127" s="882"/>
      <c r="N127" s="882"/>
      <c r="O127" s="882"/>
      <c r="P127" s="882"/>
      <c r="Q127" s="882"/>
      <c r="R127" s="882"/>
    </row>
    <row r="128" spans="3:18" x14ac:dyDescent="0.2">
      <c r="C128" s="882"/>
      <c r="D128" s="882"/>
      <c r="E128" s="882"/>
      <c r="F128" s="882"/>
      <c r="G128" s="882"/>
      <c r="H128" s="882"/>
      <c r="I128" s="882"/>
      <c r="J128" s="882"/>
      <c r="K128" s="882"/>
      <c r="L128" s="882"/>
      <c r="M128" s="882"/>
      <c r="N128" s="882"/>
      <c r="O128" s="882"/>
      <c r="P128" s="882"/>
      <c r="Q128" s="882"/>
      <c r="R128" s="882"/>
    </row>
    <row r="129" spans="3:18" x14ac:dyDescent="0.2">
      <c r="C129" s="882"/>
      <c r="D129" s="882"/>
      <c r="E129" s="882"/>
      <c r="F129" s="882"/>
      <c r="G129" s="882"/>
      <c r="H129" s="882"/>
      <c r="I129" s="882"/>
      <c r="J129" s="882"/>
      <c r="K129" s="882"/>
      <c r="L129" s="882"/>
      <c r="M129" s="882"/>
      <c r="N129" s="882"/>
      <c r="O129" s="882"/>
      <c r="P129" s="882"/>
      <c r="Q129" s="882"/>
      <c r="R129" s="882"/>
    </row>
  </sheetData>
  <mergeCells count="5">
    <mergeCell ref="A4:Q4"/>
    <mergeCell ref="F9:O9"/>
    <mergeCell ref="P9:Q9"/>
    <mergeCell ref="F10:K10"/>
    <mergeCell ref="L10:O10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110" zoomScaleNormal="110" workbookViewId="0">
      <selection activeCell="R1" sqref="R1"/>
    </sheetView>
  </sheetViews>
  <sheetFormatPr defaultRowHeight="12.75" x14ac:dyDescent="0.2"/>
  <cols>
    <col min="1" max="1" width="4.28515625" customWidth="1"/>
    <col min="2" max="2" width="29.85546875" customWidth="1"/>
    <col min="3" max="12" width="8.7109375" customWidth="1"/>
    <col min="13" max="18" width="8.28515625" customWidth="1"/>
    <col min="19" max="20" width="7.5703125" customWidth="1"/>
  </cols>
  <sheetData>
    <row r="1" spans="1:20" x14ac:dyDescent="0.2">
      <c r="R1" s="1894" t="s">
        <v>1292</v>
      </c>
    </row>
    <row r="2" spans="1:20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894" t="s">
        <v>57</v>
      </c>
      <c r="S2" s="53"/>
      <c r="T2" s="53"/>
    </row>
    <row r="3" spans="1:20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22.5" customHeight="1" x14ac:dyDescent="0.2">
      <c r="A4" s="2330" t="s">
        <v>1293</v>
      </c>
      <c r="B4" s="2330"/>
      <c r="C4" s="2330"/>
      <c r="D4" s="2330"/>
      <c r="E4" s="2330"/>
      <c r="F4" s="2330"/>
      <c r="G4" s="2330"/>
      <c r="H4" s="2330"/>
      <c r="I4" s="2330"/>
      <c r="J4" s="2330"/>
      <c r="K4" s="2330"/>
      <c r="L4" s="2330"/>
      <c r="M4" s="2330"/>
      <c r="N4" s="2330"/>
      <c r="O4" s="2330"/>
      <c r="P4" s="2330"/>
      <c r="Q4" s="2330"/>
      <c r="R4" s="2330"/>
      <c r="S4" s="2066"/>
      <c r="T4" s="2066"/>
    </row>
    <row r="5" spans="1:20" x14ac:dyDescent="0.2">
      <c r="A5" s="53"/>
      <c r="B5" s="2330"/>
      <c r="C5" s="2330"/>
      <c r="D5" s="2330"/>
      <c r="E5" s="2330"/>
      <c r="F5" s="2330"/>
      <c r="G5" s="2330"/>
      <c r="H5" s="2330"/>
      <c r="I5" s="2330"/>
      <c r="J5" s="2330"/>
      <c r="K5" s="2330"/>
      <c r="L5" s="2330"/>
      <c r="M5" s="2330"/>
      <c r="N5" s="2330"/>
      <c r="O5" s="2330"/>
      <c r="P5" s="2330"/>
      <c r="Q5" s="2330"/>
      <c r="R5" s="2330"/>
      <c r="S5" s="2066"/>
      <c r="T5" s="2066"/>
    </row>
    <row r="6" spans="1:20" ht="13.5" thickBo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692" t="s">
        <v>663</v>
      </c>
      <c r="S6" s="53"/>
      <c r="T6" s="53"/>
    </row>
    <row r="7" spans="1:20" ht="13.5" thickBot="1" x14ac:dyDescent="0.25">
      <c r="A7" s="1851"/>
      <c r="B7" s="1856"/>
      <c r="C7" s="2331" t="s">
        <v>1294</v>
      </c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2333"/>
      <c r="S7" s="672"/>
      <c r="T7" s="672"/>
    </row>
    <row r="8" spans="1:20" ht="20.25" customHeight="1" thickBot="1" x14ac:dyDescent="0.25">
      <c r="A8" s="1852"/>
      <c r="B8" s="1857"/>
      <c r="C8" s="2334" t="s">
        <v>607</v>
      </c>
      <c r="D8" s="2335"/>
      <c r="E8" s="2335"/>
      <c r="F8" s="2335"/>
      <c r="G8" s="2335"/>
      <c r="H8" s="2335"/>
      <c r="I8" s="2335"/>
      <c r="J8" s="2335"/>
      <c r="K8" s="2335"/>
      <c r="L8" s="2336"/>
      <c r="M8" s="2334" t="s">
        <v>410</v>
      </c>
      <c r="N8" s="2335"/>
      <c r="O8" s="2335"/>
      <c r="P8" s="2335"/>
      <c r="Q8" s="2335"/>
      <c r="R8" s="2336"/>
      <c r="S8" s="672"/>
      <c r="T8" s="672"/>
    </row>
    <row r="9" spans="1:20" ht="47.25" customHeight="1" x14ac:dyDescent="0.2">
      <c r="A9" s="1853" t="s">
        <v>369</v>
      </c>
      <c r="B9" s="1858" t="s">
        <v>1043</v>
      </c>
      <c r="C9" s="2326" t="s">
        <v>664</v>
      </c>
      <c r="D9" s="2327"/>
      <c r="E9" s="2328" t="s">
        <v>608</v>
      </c>
      <c r="F9" s="2327"/>
      <c r="G9" s="2328" t="s">
        <v>411</v>
      </c>
      <c r="H9" s="2327"/>
      <c r="I9" s="2328" t="s">
        <v>412</v>
      </c>
      <c r="J9" s="2327"/>
      <c r="K9" s="2337" t="s">
        <v>413</v>
      </c>
      <c r="L9" s="2338"/>
      <c r="M9" s="2326" t="s">
        <v>414</v>
      </c>
      <c r="N9" s="2327"/>
      <c r="O9" s="2328" t="s">
        <v>415</v>
      </c>
      <c r="P9" s="2327"/>
      <c r="Q9" s="2328" t="s">
        <v>43</v>
      </c>
      <c r="R9" s="2329"/>
      <c r="S9" s="676"/>
      <c r="T9" s="673"/>
    </row>
    <row r="10" spans="1:20" ht="24" customHeight="1" x14ac:dyDescent="0.2">
      <c r="A10" s="1853"/>
      <c r="B10" s="1858"/>
      <c r="C10" s="2068" t="s">
        <v>144</v>
      </c>
      <c r="D10" s="2068" t="s">
        <v>196</v>
      </c>
      <c r="E10" s="2068" t="s">
        <v>144</v>
      </c>
      <c r="F10" s="2068" t="s">
        <v>196</v>
      </c>
      <c r="G10" s="2068" t="s">
        <v>144</v>
      </c>
      <c r="H10" s="2068" t="s">
        <v>196</v>
      </c>
      <c r="I10" s="2068" t="s">
        <v>144</v>
      </c>
      <c r="J10" s="2068" t="s">
        <v>196</v>
      </c>
      <c r="K10" s="2068" t="s">
        <v>144</v>
      </c>
      <c r="L10" s="2067" t="s">
        <v>196</v>
      </c>
      <c r="M10" s="2152" t="s">
        <v>144</v>
      </c>
      <c r="N10" s="2068" t="s">
        <v>196</v>
      </c>
      <c r="O10" s="2068" t="s">
        <v>144</v>
      </c>
      <c r="P10" s="2068" t="s">
        <v>196</v>
      </c>
      <c r="Q10" s="2068" t="s">
        <v>144</v>
      </c>
      <c r="R10" s="1858" t="s">
        <v>196</v>
      </c>
      <c r="S10" s="676"/>
      <c r="T10" s="673"/>
    </row>
    <row r="11" spans="1:20" x14ac:dyDescent="0.2">
      <c r="A11" s="1908">
        <v>1</v>
      </c>
      <c r="B11" s="1940">
        <v>2</v>
      </c>
      <c r="C11" s="1912">
        <v>3</v>
      </c>
      <c r="D11" s="1909">
        <v>4</v>
      </c>
      <c r="E11" s="1909">
        <v>5</v>
      </c>
      <c r="F11" s="1909">
        <v>6</v>
      </c>
      <c r="G11" s="1909">
        <v>7</v>
      </c>
      <c r="H11" s="1909">
        <v>8</v>
      </c>
      <c r="I11" s="1909">
        <v>9</v>
      </c>
      <c r="J11" s="1909">
        <v>10</v>
      </c>
      <c r="K11" s="1909">
        <v>11</v>
      </c>
      <c r="L11" s="1910">
        <v>12</v>
      </c>
      <c r="M11" s="1912">
        <v>13</v>
      </c>
      <c r="N11" s="1909">
        <v>14</v>
      </c>
      <c r="O11" s="1909">
        <v>15</v>
      </c>
      <c r="P11" s="1909">
        <v>16</v>
      </c>
      <c r="Q11" s="1909">
        <v>17</v>
      </c>
      <c r="R11" s="1911">
        <v>18</v>
      </c>
      <c r="S11" s="674"/>
      <c r="T11" s="674"/>
    </row>
    <row r="12" spans="1:20" ht="9.9499999999999993" customHeight="1" x14ac:dyDescent="0.2">
      <c r="A12" s="1913"/>
      <c r="B12" s="2153"/>
      <c r="C12" s="1914"/>
      <c r="D12" s="1915"/>
      <c r="E12" s="1916"/>
      <c r="F12" s="1916"/>
      <c r="G12" s="1916"/>
      <c r="H12" s="1916"/>
      <c r="I12" s="1916"/>
      <c r="J12" s="1917"/>
      <c r="K12" s="1917"/>
      <c r="L12" s="2154"/>
      <c r="M12" s="1919"/>
      <c r="N12" s="1916"/>
      <c r="O12" s="1916"/>
      <c r="P12" s="1916"/>
      <c r="Q12" s="1916"/>
      <c r="R12" s="1918"/>
      <c r="S12" s="674"/>
      <c r="T12" s="674"/>
    </row>
    <row r="13" spans="1:20" x14ac:dyDescent="0.2">
      <c r="A13" s="1913" t="s">
        <v>327</v>
      </c>
      <c r="B13" s="1941" t="s">
        <v>240</v>
      </c>
      <c r="C13" s="1349">
        <v>16500</v>
      </c>
      <c r="D13" s="1349">
        <v>15569</v>
      </c>
      <c r="E13" s="1920">
        <v>7800</v>
      </c>
      <c r="F13" s="1920">
        <v>6421</v>
      </c>
      <c r="G13" s="1920">
        <v>4600</v>
      </c>
      <c r="H13" s="1920">
        <v>3286</v>
      </c>
      <c r="I13" s="1920">
        <v>2600</v>
      </c>
      <c r="J13" s="1921">
        <v>2382</v>
      </c>
      <c r="K13" s="1921">
        <f>C13+E13+G13+I13</f>
        <v>31500</v>
      </c>
      <c r="L13" s="1921">
        <f>D13+F13+H13+J13</f>
        <v>27658</v>
      </c>
      <c r="M13" s="1922"/>
      <c r="N13" s="1920"/>
      <c r="O13" s="1920"/>
      <c r="P13" s="1920"/>
      <c r="Q13" s="1920">
        <v>35026</v>
      </c>
      <c r="R13" s="1854">
        <v>34163</v>
      </c>
      <c r="S13" s="675"/>
      <c r="T13" s="675"/>
    </row>
    <row r="14" spans="1:20" ht="9.9499999999999993" customHeight="1" x14ac:dyDescent="0.2">
      <c r="A14" s="1923"/>
      <c r="B14" s="2155"/>
      <c r="C14" s="1924"/>
      <c r="D14" s="1925"/>
      <c r="E14" s="1920"/>
      <c r="F14" s="1920"/>
      <c r="G14" s="1920"/>
      <c r="H14" s="1920"/>
      <c r="I14" s="1920"/>
      <c r="J14" s="1921"/>
      <c r="K14" s="1921"/>
      <c r="L14" s="1921"/>
      <c r="M14" s="1922"/>
      <c r="N14" s="1920"/>
      <c r="O14" s="1920"/>
      <c r="P14" s="1920"/>
      <c r="Q14" s="1920"/>
      <c r="R14" s="1926"/>
      <c r="S14" s="675"/>
      <c r="T14" s="675"/>
    </row>
    <row r="15" spans="1:20" ht="15" customHeight="1" x14ac:dyDescent="0.2">
      <c r="A15" s="2156"/>
      <c r="B15" s="2157" t="s">
        <v>146</v>
      </c>
      <c r="C15" s="2158">
        <f t="shared" ref="C15:N15" si="0">SUM(C13:C14)</f>
        <v>16500</v>
      </c>
      <c r="D15" s="2158">
        <f t="shared" si="0"/>
        <v>15569</v>
      </c>
      <c r="E15" s="2159">
        <f t="shared" si="0"/>
        <v>7800</v>
      </c>
      <c r="F15" s="2159">
        <f t="shared" si="0"/>
        <v>6421</v>
      </c>
      <c r="G15" s="2159">
        <f t="shared" si="0"/>
        <v>4600</v>
      </c>
      <c r="H15" s="2159">
        <f t="shared" si="0"/>
        <v>3286</v>
      </c>
      <c r="I15" s="2159">
        <f t="shared" si="0"/>
        <v>2600</v>
      </c>
      <c r="J15" s="2159">
        <f t="shared" si="0"/>
        <v>2382</v>
      </c>
      <c r="K15" s="2160">
        <f t="shared" si="0"/>
        <v>31500</v>
      </c>
      <c r="L15" s="2160">
        <f t="shared" si="0"/>
        <v>27658</v>
      </c>
      <c r="M15" s="2161">
        <f t="shared" si="0"/>
        <v>0</v>
      </c>
      <c r="N15" s="2161">
        <f t="shared" si="0"/>
        <v>0</v>
      </c>
      <c r="O15" s="2159">
        <f>O13</f>
        <v>0</v>
      </c>
      <c r="P15" s="2159">
        <f t="shared" ref="P15:Q15" si="1">P13</f>
        <v>0</v>
      </c>
      <c r="Q15" s="2159">
        <f t="shared" si="1"/>
        <v>35026</v>
      </c>
      <c r="R15" s="2162">
        <f>SUM(R13:R14)</f>
        <v>34163</v>
      </c>
      <c r="S15" s="676"/>
      <c r="T15" s="676"/>
    </row>
    <row r="16" spans="1:20" ht="9.9499999999999993" customHeight="1" x14ac:dyDescent="0.2">
      <c r="A16" s="1923"/>
      <c r="B16" s="2163"/>
      <c r="C16" s="1927"/>
      <c r="D16" s="1927"/>
      <c r="E16" s="1928"/>
      <c r="F16" s="1928"/>
      <c r="G16" s="1928"/>
      <c r="H16" s="1928"/>
      <c r="I16" s="1928"/>
      <c r="J16" s="1929"/>
      <c r="K16" s="1929"/>
      <c r="L16" s="1929"/>
      <c r="M16" s="1930"/>
      <c r="N16" s="1928"/>
      <c r="O16" s="1928"/>
      <c r="P16" s="1928"/>
      <c r="Q16" s="1928"/>
      <c r="R16" s="1926"/>
      <c r="S16" s="675"/>
      <c r="T16" s="675"/>
    </row>
    <row r="17" spans="1:22" x14ac:dyDescent="0.2">
      <c r="A17" s="1913" t="s">
        <v>327</v>
      </c>
      <c r="B17" s="1941" t="s">
        <v>397</v>
      </c>
      <c r="C17" s="1927">
        <v>3817</v>
      </c>
      <c r="D17" s="1927">
        <v>2444</v>
      </c>
      <c r="E17" s="1928">
        <v>1001</v>
      </c>
      <c r="F17" s="1928">
        <v>1096</v>
      </c>
      <c r="G17" s="1928">
        <v>1019</v>
      </c>
      <c r="H17" s="1928">
        <v>1003</v>
      </c>
      <c r="I17" s="1928">
        <v>345</v>
      </c>
      <c r="J17" s="1929">
        <v>355</v>
      </c>
      <c r="K17" s="1867">
        <f>C17+E17+G17+I17</f>
        <v>6182</v>
      </c>
      <c r="L17" s="1867">
        <f>D17+F17+H17+J17</f>
        <v>4898</v>
      </c>
      <c r="M17" s="1922"/>
      <c r="N17" s="1920"/>
      <c r="O17" s="1920"/>
      <c r="P17" s="1920"/>
      <c r="Q17" s="1920"/>
      <c r="R17" s="1926"/>
      <c r="S17" s="675"/>
      <c r="T17" s="675"/>
    </row>
    <row r="18" spans="1:22" x14ac:dyDescent="0.2">
      <c r="A18" s="1913" t="s">
        <v>116</v>
      </c>
      <c r="B18" s="1941" t="s">
        <v>398</v>
      </c>
      <c r="C18" s="1927">
        <f>1640+415</f>
        <v>2055</v>
      </c>
      <c r="D18" s="1927">
        <v>2085</v>
      </c>
      <c r="E18" s="1928">
        <v>1124</v>
      </c>
      <c r="F18" s="1928">
        <v>1071</v>
      </c>
      <c r="G18" s="1928">
        <v>916</v>
      </c>
      <c r="H18" s="1928">
        <v>806</v>
      </c>
      <c r="I18" s="1928">
        <v>628</v>
      </c>
      <c r="J18" s="1929">
        <v>690</v>
      </c>
      <c r="K18" s="1867">
        <f t="shared" ref="K18:L28" si="2">C18+E18+G18+I18</f>
        <v>4723</v>
      </c>
      <c r="L18" s="1867">
        <f t="shared" si="2"/>
        <v>4652</v>
      </c>
      <c r="M18" s="1922"/>
      <c r="N18" s="1920"/>
      <c r="O18" s="1920"/>
      <c r="P18" s="1920"/>
      <c r="Q18" s="1920"/>
      <c r="R18" s="1926"/>
      <c r="S18" s="675"/>
    </row>
    <row r="19" spans="1:22" x14ac:dyDescent="0.2">
      <c r="A19" s="1913" t="s">
        <v>117</v>
      </c>
      <c r="B19" s="1941" t="s">
        <v>399</v>
      </c>
      <c r="C19" s="1927">
        <v>3402</v>
      </c>
      <c r="D19" s="1927">
        <v>1898</v>
      </c>
      <c r="E19" s="1928">
        <v>793</v>
      </c>
      <c r="F19" s="1928">
        <v>837</v>
      </c>
      <c r="G19" s="1928">
        <v>1927</v>
      </c>
      <c r="H19" s="1928">
        <v>878</v>
      </c>
      <c r="I19" s="1928">
        <v>264</v>
      </c>
      <c r="J19" s="1929">
        <v>288</v>
      </c>
      <c r="K19" s="1867">
        <f t="shared" si="2"/>
        <v>6386</v>
      </c>
      <c r="L19" s="1867">
        <f t="shared" si="2"/>
        <v>3901</v>
      </c>
      <c r="M19" s="1922"/>
      <c r="N19" s="1920"/>
      <c r="O19" s="1920"/>
      <c r="P19" s="1920"/>
      <c r="Q19" s="1920"/>
      <c r="R19" s="1926"/>
      <c r="S19" s="675"/>
      <c r="T19" s="2164"/>
      <c r="U19" s="2164"/>
      <c r="V19" s="2164"/>
    </row>
    <row r="20" spans="1:22" x14ac:dyDescent="0.2">
      <c r="A20" s="1913" t="s">
        <v>118</v>
      </c>
      <c r="B20" s="1941" t="s">
        <v>400</v>
      </c>
      <c r="C20" s="1927">
        <v>3774</v>
      </c>
      <c r="D20" s="1927">
        <v>3448</v>
      </c>
      <c r="E20" s="1928">
        <v>833</v>
      </c>
      <c r="F20" s="1928">
        <v>997</v>
      </c>
      <c r="G20" s="1928">
        <v>2862</v>
      </c>
      <c r="H20" s="1928">
        <v>890</v>
      </c>
      <c r="I20" s="1928">
        <v>247</v>
      </c>
      <c r="J20" s="1929">
        <v>340</v>
      </c>
      <c r="K20" s="1867">
        <f t="shared" si="2"/>
        <v>7716</v>
      </c>
      <c r="L20" s="1867">
        <f t="shared" si="2"/>
        <v>5675</v>
      </c>
      <c r="M20" s="1922"/>
      <c r="N20" s="1920"/>
      <c r="O20" s="1920"/>
      <c r="P20" s="1920"/>
      <c r="Q20" s="1920"/>
      <c r="R20" s="1926"/>
      <c r="S20" s="675"/>
      <c r="T20" s="2164"/>
    </row>
    <row r="21" spans="1:22" x14ac:dyDescent="0.2">
      <c r="A21" s="1913" t="s">
        <v>119</v>
      </c>
      <c r="B21" s="1941" t="s">
        <v>401</v>
      </c>
      <c r="C21" s="1927">
        <v>5349</v>
      </c>
      <c r="D21" s="1927">
        <v>4193</v>
      </c>
      <c r="E21" s="1928">
        <v>4061</v>
      </c>
      <c r="F21" s="1928">
        <v>4464</v>
      </c>
      <c r="G21" s="1928">
        <v>1505</v>
      </c>
      <c r="H21" s="1928">
        <v>1537</v>
      </c>
      <c r="I21" s="1928">
        <v>409</v>
      </c>
      <c r="J21" s="1929">
        <v>446</v>
      </c>
      <c r="K21" s="1867">
        <f t="shared" si="2"/>
        <v>11324</v>
      </c>
      <c r="L21" s="1867">
        <f t="shared" si="2"/>
        <v>10640</v>
      </c>
      <c r="M21" s="1922"/>
      <c r="N21" s="1920"/>
      <c r="O21" s="1920"/>
      <c r="P21" s="1920"/>
      <c r="Q21" s="1920"/>
      <c r="R21" s="1926"/>
      <c r="S21" s="675"/>
    </row>
    <row r="22" spans="1:22" x14ac:dyDescent="0.2">
      <c r="A22" s="1913" t="s">
        <v>120</v>
      </c>
      <c r="B22" s="1941" t="s">
        <v>402</v>
      </c>
      <c r="C22" s="1927">
        <f>2057+624</f>
        <v>2681</v>
      </c>
      <c r="D22" s="1927">
        <v>2443</v>
      </c>
      <c r="E22" s="1928">
        <v>1322</v>
      </c>
      <c r="F22" s="1928">
        <v>1249</v>
      </c>
      <c r="G22" s="1928">
        <v>1001</v>
      </c>
      <c r="H22" s="1928">
        <v>995</v>
      </c>
      <c r="I22" s="1928">
        <v>200</v>
      </c>
      <c r="J22" s="1929">
        <v>208</v>
      </c>
      <c r="K22" s="1867">
        <f t="shared" si="2"/>
        <v>5204</v>
      </c>
      <c r="L22" s="1867">
        <f t="shared" si="2"/>
        <v>4895</v>
      </c>
      <c r="M22" s="1922"/>
      <c r="N22" s="1920"/>
      <c r="O22" s="1920"/>
      <c r="P22" s="1920"/>
      <c r="Q22" s="1920"/>
      <c r="R22" s="1926"/>
      <c r="S22" s="675"/>
    </row>
    <row r="23" spans="1:22" x14ac:dyDescent="0.2">
      <c r="A23" s="1913" t="s">
        <v>121</v>
      </c>
      <c r="B23" s="1941" t="s">
        <v>403</v>
      </c>
      <c r="C23" s="1927">
        <f>2950+103</f>
        <v>3053</v>
      </c>
      <c r="D23" s="1927">
        <v>918</v>
      </c>
      <c r="E23" s="1928">
        <v>700</v>
      </c>
      <c r="F23" s="1928">
        <v>722</v>
      </c>
      <c r="G23" s="1928">
        <v>850</v>
      </c>
      <c r="H23" s="1928">
        <v>338</v>
      </c>
      <c r="I23" s="1928">
        <v>260</v>
      </c>
      <c r="J23" s="1929">
        <v>346</v>
      </c>
      <c r="K23" s="1867">
        <f t="shared" si="2"/>
        <v>4863</v>
      </c>
      <c r="L23" s="1867">
        <f t="shared" si="2"/>
        <v>2324</v>
      </c>
      <c r="M23" s="1922"/>
      <c r="N23" s="1920"/>
      <c r="O23" s="1920"/>
      <c r="P23" s="1920"/>
      <c r="Q23" s="1920"/>
      <c r="R23" s="1926"/>
      <c r="S23" s="675"/>
    </row>
    <row r="24" spans="1:22" x14ac:dyDescent="0.2">
      <c r="A24" s="1913" t="s">
        <v>122</v>
      </c>
      <c r="B24" s="1941" t="s">
        <v>404</v>
      </c>
      <c r="C24" s="1927">
        <v>3598</v>
      </c>
      <c r="D24" s="1927">
        <v>4019</v>
      </c>
      <c r="E24" s="1928">
        <v>4624</v>
      </c>
      <c r="F24" s="1928">
        <v>1955</v>
      </c>
      <c r="G24" s="1928">
        <v>1638</v>
      </c>
      <c r="H24" s="1928">
        <v>1613</v>
      </c>
      <c r="I24" s="1928">
        <v>617</v>
      </c>
      <c r="J24" s="1929">
        <v>852</v>
      </c>
      <c r="K24" s="1867">
        <f t="shared" si="2"/>
        <v>10477</v>
      </c>
      <c r="L24" s="1867">
        <f t="shared" si="2"/>
        <v>8439</v>
      </c>
      <c r="M24" s="1922"/>
      <c r="N24" s="1920"/>
      <c r="O24" s="1920"/>
      <c r="P24" s="1920"/>
      <c r="Q24" s="1920"/>
      <c r="R24" s="1926"/>
      <c r="S24" s="675"/>
      <c r="T24" s="2164"/>
    </row>
    <row r="25" spans="1:22" x14ac:dyDescent="0.2">
      <c r="A25" s="1913" t="s">
        <v>123</v>
      </c>
      <c r="B25" s="1941" t="s">
        <v>405</v>
      </c>
      <c r="C25" s="1927">
        <f>4100+1000</f>
        <v>5100</v>
      </c>
      <c r="D25" s="1927">
        <v>4269</v>
      </c>
      <c r="E25" s="1928">
        <v>3000</v>
      </c>
      <c r="F25" s="1928">
        <v>2694</v>
      </c>
      <c r="G25" s="1928">
        <f>1800+1157</f>
        <v>2957</v>
      </c>
      <c r="H25" s="1928">
        <v>2545</v>
      </c>
      <c r="I25" s="1928">
        <f>650+16</f>
        <v>666</v>
      </c>
      <c r="J25" s="1929">
        <v>666</v>
      </c>
      <c r="K25" s="1867">
        <f t="shared" si="2"/>
        <v>11723</v>
      </c>
      <c r="L25" s="1867">
        <f t="shared" si="2"/>
        <v>10174</v>
      </c>
      <c r="M25" s="1922"/>
      <c r="N25" s="1920"/>
      <c r="O25" s="1920"/>
      <c r="P25" s="1920"/>
      <c r="Q25" s="1920"/>
      <c r="R25" s="1926"/>
      <c r="S25" s="675"/>
    </row>
    <row r="26" spans="1:22" x14ac:dyDescent="0.2">
      <c r="A26" s="1913" t="s">
        <v>124</v>
      </c>
      <c r="B26" s="1941" t="s">
        <v>406</v>
      </c>
      <c r="C26" s="1927">
        <v>4396</v>
      </c>
      <c r="D26" s="1927">
        <v>2559</v>
      </c>
      <c r="E26" s="1928">
        <v>834</v>
      </c>
      <c r="F26" s="1928">
        <v>757</v>
      </c>
      <c r="G26" s="1928">
        <v>982</v>
      </c>
      <c r="H26" s="1928">
        <v>863</v>
      </c>
      <c r="I26" s="1928">
        <v>432</v>
      </c>
      <c r="J26" s="1929">
        <v>471</v>
      </c>
      <c r="K26" s="1867">
        <f t="shared" si="2"/>
        <v>6644</v>
      </c>
      <c r="L26" s="1867">
        <f t="shared" si="2"/>
        <v>4650</v>
      </c>
      <c r="M26" s="1922"/>
      <c r="N26" s="1920"/>
      <c r="O26" s="1920"/>
      <c r="P26" s="1920"/>
      <c r="Q26" s="1920"/>
      <c r="R26" s="1926"/>
      <c r="S26" s="675"/>
    </row>
    <row r="27" spans="1:22" x14ac:dyDescent="0.2">
      <c r="A27" s="1913" t="s">
        <v>125</v>
      </c>
      <c r="B27" s="1941" t="s">
        <v>416</v>
      </c>
      <c r="C27" s="1927">
        <f>3700+168</f>
        <v>3868</v>
      </c>
      <c r="D27" s="1927">
        <v>4147</v>
      </c>
      <c r="E27" s="1928">
        <v>1800</v>
      </c>
      <c r="F27" s="1928">
        <v>1874</v>
      </c>
      <c r="G27" s="1928">
        <v>1500</v>
      </c>
      <c r="H27" s="1928">
        <v>1146</v>
      </c>
      <c r="I27" s="1928">
        <v>320</v>
      </c>
      <c r="J27" s="1929">
        <v>361</v>
      </c>
      <c r="K27" s="1867">
        <f t="shared" si="2"/>
        <v>7488</v>
      </c>
      <c r="L27" s="1867">
        <f t="shared" si="2"/>
        <v>7528</v>
      </c>
      <c r="M27" s="1922"/>
      <c r="N27" s="1920"/>
      <c r="O27" s="1920"/>
      <c r="P27" s="1920"/>
      <c r="Q27" s="1920"/>
      <c r="R27" s="1926"/>
      <c r="S27" s="675"/>
    </row>
    <row r="28" spans="1:22" x14ac:dyDescent="0.2">
      <c r="A28" s="1913" t="s">
        <v>126</v>
      </c>
      <c r="B28" s="1941" t="s">
        <v>1059</v>
      </c>
      <c r="C28" s="1927">
        <v>9504</v>
      </c>
      <c r="D28" s="1927">
        <v>6129</v>
      </c>
      <c r="E28" s="1928">
        <v>2599</v>
      </c>
      <c r="F28" s="1928">
        <v>2760</v>
      </c>
      <c r="G28" s="1928">
        <v>1250</v>
      </c>
      <c r="H28" s="1928">
        <v>1565</v>
      </c>
      <c r="I28" s="1928">
        <v>314</v>
      </c>
      <c r="J28" s="1929">
        <v>366</v>
      </c>
      <c r="K28" s="1867">
        <f t="shared" si="2"/>
        <v>13667</v>
      </c>
      <c r="L28" s="1867">
        <f t="shared" si="2"/>
        <v>10820</v>
      </c>
      <c r="M28" s="1922"/>
      <c r="N28" s="1920"/>
      <c r="O28" s="1920"/>
      <c r="P28" s="1920"/>
      <c r="Q28" s="1920"/>
      <c r="R28" s="1926"/>
      <c r="S28" s="675"/>
      <c r="T28" s="2164"/>
      <c r="V28" s="2164"/>
    </row>
    <row r="29" spans="1:22" ht="9.9499999999999993" customHeight="1" x14ac:dyDescent="0.2">
      <c r="A29" s="1913"/>
      <c r="B29" s="1942"/>
      <c r="C29" s="1927"/>
      <c r="D29" s="1927"/>
      <c r="E29" s="1928"/>
      <c r="F29" s="1928"/>
      <c r="G29" s="1928"/>
      <c r="H29" s="1928"/>
      <c r="I29" s="1928"/>
      <c r="J29" s="1929"/>
      <c r="K29" s="1929"/>
      <c r="L29" s="1929"/>
      <c r="M29" s="1930"/>
      <c r="N29" s="1928"/>
      <c r="O29" s="1928"/>
      <c r="P29" s="1928"/>
      <c r="Q29" s="1928"/>
      <c r="R29" s="1926"/>
      <c r="S29" s="675"/>
    </row>
    <row r="30" spans="1:22" ht="15" customHeight="1" x14ac:dyDescent="0.2">
      <c r="A30" s="2156"/>
      <c r="B30" s="2157" t="s">
        <v>44</v>
      </c>
      <c r="C30" s="2165">
        <f t="shared" ref="C30:Q30" si="3">SUM(C17:C29)</f>
        <v>50597</v>
      </c>
      <c r="D30" s="2165">
        <f t="shared" si="3"/>
        <v>38552</v>
      </c>
      <c r="E30" s="2166">
        <f t="shared" si="3"/>
        <v>22691</v>
      </c>
      <c r="F30" s="2166">
        <f t="shared" si="3"/>
        <v>20476</v>
      </c>
      <c r="G30" s="2166">
        <f t="shared" si="3"/>
        <v>18407</v>
      </c>
      <c r="H30" s="2166">
        <f t="shared" si="3"/>
        <v>14179</v>
      </c>
      <c r="I30" s="2166">
        <f t="shared" si="3"/>
        <v>4702</v>
      </c>
      <c r="J30" s="2166">
        <f t="shared" si="3"/>
        <v>5389</v>
      </c>
      <c r="K30" s="2167">
        <f t="shared" si="3"/>
        <v>96397</v>
      </c>
      <c r="L30" s="2167">
        <f>SUM(L17:L29)</f>
        <v>78596</v>
      </c>
      <c r="M30" s="2168">
        <f t="shared" si="3"/>
        <v>0</v>
      </c>
      <c r="N30" s="2168">
        <f t="shared" si="3"/>
        <v>0</v>
      </c>
      <c r="O30" s="2168">
        <f t="shared" si="3"/>
        <v>0</v>
      </c>
      <c r="P30" s="2168">
        <f t="shared" si="3"/>
        <v>0</v>
      </c>
      <c r="Q30" s="2168">
        <f t="shared" si="3"/>
        <v>0</v>
      </c>
      <c r="R30" s="2169">
        <f>SUM(R17:R29)</f>
        <v>0</v>
      </c>
      <c r="S30" s="676"/>
    </row>
    <row r="31" spans="1:22" ht="9.9499999999999993" customHeight="1" x14ac:dyDescent="0.2">
      <c r="A31" s="1923"/>
      <c r="B31" s="1943"/>
      <c r="C31" s="1927"/>
      <c r="D31" s="1927"/>
      <c r="E31" s="1928"/>
      <c r="F31" s="1928"/>
      <c r="G31" s="1928"/>
      <c r="H31" s="1928"/>
      <c r="I31" s="1928"/>
      <c r="J31" s="1929"/>
      <c r="K31" s="1929"/>
      <c r="L31" s="1929"/>
      <c r="M31" s="1930"/>
      <c r="N31" s="1928"/>
      <c r="O31" s="1928"/>
      <c r="P31" s="1928"/>
      <c r="Q31" s="1928"/>
      <c r="R31" s="1854"/>
      <c r="S31" s="675"/>
    </row>
    <row r="32" spans="1:22" x14ac:dyDescent="0.2">
      <c r="A32" s="1913" t="s">
        <v>327</v>
      </c>
      <c r="B32" s="1941" t="s">
        <v>150</v>
      </c>
      <c r="C32" s="1927">
        <v>1134</v>
      </c>
      <c r="D32" s="1927">
        <v>950</v>
      </c>
      <c r="E32" s="1928">
        <v>250</v>
      </c>
      <c r="F32" s="1928">
        <v>202</v>
      </c>
      <c r="G32" s="1928">
        <v>220</v>
      </c>
      <c r="H32" s="1928">
        <v>169</v>
      </c>
      <c r="I32" s="1928">
        <v>170</v>
      </c>
      <c r="J32" s="1929">
        <v>174</v>
      </c>
      <c r="K32" s="1921">
        <f>C32+E32+G32+I32</f>
        <v>1774</v>
      </c>
      <c r="L32" s="1921">
        <f>D32+F32+H32+J32</f>
        <v>1495</v>
      </c>
      <c r="M32" s="1922"/>
      <c r="N32" s="1920"/>
      <c r="O32" s="1920"/>
      <c r="P32" s="1920"/>
      <c r="Q32" s="2170">
        <v>3500</v>
      </c>
      <c r="R32" s="2171">
        <v>2475</v>
      </c>
      <c r="S32" s="675"/>
    </row>
    <row r="33" spans="1:19" x14ac:dyDescent="0.2">
      <c r="A33" s="1913" t="s">
        <v>116</v>
      </c>
      <c r="B33" s="1941" t="s">
        <v>609</v>
      </c>
      <c r="C33" s="1927">
        <f>650+110</f>
        <v>760</v>
      </c>
      <c r="D33" s="1927">
        <v>798</v>
      </c>
      <c r="E33" s="1928">
        <v>1050</v>
      </c>
      <c r="F33" s="1928">
        <v>1052</v>
      </c>
      <c r="G33" s="1928">
        <v>437</v>
      </c>
      <c r="H33" s="1928">
        <v>397</v>
      </c>
      <c r="I33" s="1928">
        <v>235</v>
      </c>
      <c r="J33" s="1929">
        <v>255</v>
      </c>
      <c r="K33" s="1921">
        <f t="shared" ref="K33:L36" si="4">C33+E33+G33+I33</f>
        <v>2482</v>
      </c>
      <c r="L33" s="1921">
        <f t="shared" si="4"/>
        <v>2502</v>
      </c>
      <c r="M33" s="1922"/>
      <c r="N33" s="1920"/>
      <c r="O33" s="1920"/>
      <c r="P33" s="1920"/>
      <c r="Q33" s="2170">
        <v>36200</v>
      </c>
      <c r="R33" s="2171">
        <v>30526</v>
      </c>
      <c r="S33" s="675"/>
    </row>
    <row r="34" spans="1:19" x14ac:dyDescent="0.2">
      <c r="A34" s="1913" t="s">
        <v>117</v>
      </c>
      <c r="B34" s="1941" t="s">
        <v>610</v>
      </c>
      <c r="C34" s="1927">
        <f>1850+363</f>
        <v>2213</v>
      </c>
      <c r="D34" s="1927">
        <v>1592</v>
      </c>
      <c r="E34" s="1928">
        <v>491</v>
      </c>
      <c r="F34" s="1928">
        <v>141</v>
      </c>
      <c r="G34" s="1928">
        <v>279</v>
      </c>
      <c r="H34" s="1928">
        <v>377</v>
      </c>
      <c r="I34" s="1928">
        <v>157</v>
      </c>
      <c r="J34" s="1929">
        <v>180</v>
      </c>
      <c r="K34" s="1921">
        <f t="shared" si="4"/>
        <v>3140</v>
      </c>
      <c r="L34" s="1921">
        <f t="shared" si="4"/>
        <v>2290</v>
      </c>
      <c r="M34" s="1922"/>
      <c r="N34" s="1920"/>
      <c r="O34" s="1920"/>
      <c r="P34" s="1920"/>
      <c r="Q34" s="2170">
        <v>25696</v>
      </c>
      <c r="R34" s="2171">
        <v>25696</v>
      </c>
      <c r="S34" s="675"/>
    </row>
    <row r="35" spans="1:19" x14ac:dyDescent="0.2">
      <c r="A35" s="1913" t="s">
        <v>118</v>
      </c>
      <c r="B35" s="1941" t="s">
        <v>611</v>
      </c>
      <c r="C35" s="1927">
        <v>1278</v>
      </c>
      <c r="D35" s="1927">
        <v>1115</v>
      </c>
      <c r="E35" s="1928">
        <v>340</v>
      </c>
      <c r="F35" s="1928">
        <v>369</v>
      </c>
      <c r="G35" s="1928">
        <v>165</v>
      </c>
      <c r="H35" s="1928">
        <v>128</v>
      </c>
      <c r="I35" s="1928">
        <v>72</v>
      </c>
      <c r="J35" s="1929">
        <v>88</v>
      </c>
      <c r="K35" s="1921">
        <f t="shared" si="4"/>
        <v>1855</v>
      </c>
      <c r="L35" s="1921">
        <f t="shared" si="4"/>
        <v>1700</v>
      </c>
      <c r="M35" s="1922"/>
      <c r="N35" s="1920"/>
      <c r="O35" s="1920"/>
      <c r="P35" s="1920"/>
      <c r="Q35" s="2170">
        <v>22000</v>
      </c>
      <c r="R35" s="2171">
        <v>20927</v>
      </c>
      <c r="S35" s="675"/>
    </row>
    <row r="36" spans="1:19" x14ac:dyDescent="0.2">
      <c r="A36" s="1913" t="s">
        <v>119</v>
      </c>
      <c r="B36" s="1843" t="s">
        <v>1288</v>
      </c>
      <c r="C36" s="1927">
        <f>800+171</f>
        <v>971</v>
      </c>
      <c r="D36" s="1927">
        <v>1065</v>
      </c>
      <c r="E36" s="1928">
        <v>1868</v>
      </c>
      <c r="F36" s="1928">
        <v>1429</v>
      </c>
      <c r="G36" s="1928">
        <v>200</v>
      </c>
      <c r="H36" s="1928">
        <v>96</v>
      </c>
      <c r="I36" s="1928">
        <v>200</v>
      </c>
      <c r="J36" s="1929">
        <v>170</v>
      </c>
      <c r="K36" s="1921">
        <f t="shared" si="4"/>
        <v>3239</v>
      </c>
      <c r="L36" s="1921">
        <f t="shared" si="4"/>
        <v>2760</v>
      </c>
      <c r="M36" s="1922"/>
      <c r="N36" s="1920"/>
      <c r="O36" s="1920"/>
      <c r="P36" s="1920"/>
      <c r="Q36" s="1920"/>
      <c r="R36" s="1854"/>
      <c r="S36" s="675"/>
    </row>
    <row r="37" spans="1:19" ht="9.9499999999999993" customHeight="1" x14ac:dyDescent="0.2">
      <c r="A37" s="1913"/>
      <c r="B37" s="1942"/>
      <c r="C37" s="1927"/>
      <c r="D37" s="1927"/>
      <c r="E37" s="1928"/>
      <c r="F37" s="1928"/>
      <c r="G37" s="1928"/>
      <c r="H37" s="1928"/>
      <c r="I37" s="1928"/>
      <c r="J37" s="1929"/>
      <c r="K37" s="1929"/>
      <c r="L37" s="1929"/>
      <c r="M37" s="1930"/>
      <c r="N37" s="1928"/>
      <c r="O37" s="1928"/>
      <c r="P37" s="1928"/>
      <c r="Q37" s="1928"/>
      <c r="R37" s="1854"/>
      <c r="S37" s="675"/>
    </row>
    <row r="38" spans="1:19" ht="15" customHeight="1" x14ac:dyDescent="0.2">
      <c r="A38" s="2156"/>
      <c r="B38" s="2172" t="s">
        <v>151</v>
      </c>
      <c r="C38" s="2165">
        <f t="shared" ref="C38:Q38" si="5">SUM(C32:C37)</f>
        <v>6356</v>
      </c>
      <c r="D38" s="2165">
        <f t="shared" si="5"/>
        <v>5520</v>
      </c>
      <c r="E38" s="2166">
        <f t="shared" si="5"/>
        <v>3999</v>
      </c>
      <c r="F38" s="2166">
        <f t="shared" si="5"/>
        <v>3193</v>
      </c>
      <c r="G38" s="2166">
        <f t="shared" si="5"/>
        <v>1301</v>
      </c>
      <c r="H38" s="2166">
        <f t="shared" si="5"/>
        <v>1167</v>
      </c>
      <c r="I38" s="2166">
        <f t="shared" si="5"/>
        <v>834</v>
      </c>
      <c r="J38" s="2166">
        <f t="shared" si="5"/>
        <v>867</v>
      </c>
      <c r="K38" s="2167">
        <f t="shared" si="5"/>
        <v>12490</v>
      </c>
      <c r="L38" s="2167">
        <f t="shared" si="5"/>
        <v>10747</v>
      </c>
      <c r="M38" s="2168">
        <f t="shared" si="5"/>
        <v>0</v>
      </c>
      <c r="N38" s="2166">
        <f t="shared" si="5"/>
        <v>0</v>
      </c>
      <c r="O38" s="2166">
        <f t="shared" si="5"/>
        <v>0</v>
      </c>
      <c r="P38" s="2166">
        <f t="shared" si="5"/>
        <v>0</v>
      </c>
      <c r="Q38" s="2166">
        <f t="shared" si="5"/>
        <v>87396</v>
      </c>
      <c r="R38" s="2169">
        <f>SUM(R32:R37)</f>
        <v>79624</v>
      </c>
      <c r="S38" s="676"/>
    </row>
    <row r="39" spans="1:19" ht="9.9499999999999993" customHeight="1" x14ac:dyDescent="0.2">
      <c r="A39" s="1931"/>
      <c r="B39" s="1944"/>
      <c r="C39" s="1932"/>
      <c r="D39" s="1932"/>
      <c r="E39" s="1933"/>
      <c r="F39" s="1933"/>
      <c r="G39" s="1933"/>
      <c r="H39" s="1933"/>
      <c r="I39" s="1933"/>
      <c r="J39" s="1934"/>
      <c r="K39" s="1934"/>
      <c r="L39" s="1934"/>
      <c r="M39" s="1936"/>
      <c r="N39" s="1933"/>
      <c r="O39" s="1933"/>
      <c r="P39" s="1933"/>
      <c r="Q39" s="1933"/>
      <c r="R39" s="1935"/>
      <c r="S39" s="676"/>
    </row>
    <row r="40" spans="1:19" x14ac:dyDescent="0.2">
      <c r="A40" s="1913" t="s">
        <v>327</v>
      </c>
      <c r="B40" s="1941" t="s">
        <v>1035</v>
      </c>
      <c r="C40" s="1937">
        <f>1000+29</f>
        <v>1029</v>
      </c>
      <c r="D40" s="1937">
        <v>914</v>
      </c>
      <c r="E40" s="1938">
        <v>1500</v>
      </c>
      <c r="F40" s="1938">
        <v>1573</v>
      </c>
      <c r="G40" s="1938">
        <v>500</v>
      </c>
      <c r="H40" s="1938">
        <v>346</v>
      </c>
      <c r="I40" s="1928">
        <f>100+1124</f>
        <v>1224</v>
      </c>
      <c r="J40" s="1929">
        <v>1224</v>
      </c>
      <c r="K40" s="1921">
        <f>C40+E40+G40+I40</f>
        <v>4253</v>
      </c>
      <c r="L40" s="1921">
        <f>D40+F40+H40+J40</f>
        <v>4057</v>
      </c>
      <c r="M40" s="1936"/>
      <c r="N40" s="1933"/>
      <c r="O40" s="1928">
        <f>1500+791</f>
        <v>2291</v>
      </c>
      <c r="P40" s="1928">
        <v>2341</v>
      </c>
      <c r="Q40" s="1928"/>
      <c r="R40" s="1935"/>
      <c r="S40" s="676"/>
    </row>
    <row r="41" spans="1:19" ht="9.9499999999999993" customHeight="1" thickBot="1" x14ac:dyDescent="0.25">
      <c r="A41" s="1923"/>
      <c r="B41" s="1945"/>
      <c r="C41" s="1927"/>
      <c r="D41" s="1927"/>
      <c r="E41" s="1928"/>
      <c r="F41" s="1928"/>
      <c r="G41" s="1928"/>
      <c r="H41" s="1928"/>
      <c r="I41" s="1928"/>
      <c r="J41" s="1929"/>
      <c r="K41" s="1929"/>
      <c r="L41" s="1939"/>
      <c r="M41" s="1930"/>
      <c r="N41" s="1928"/>
      <c r="O41" s="1928"/>
      <c r="P41" s="1928"/>
      <c r="Q41" s="1928"/>
      <c r="R41" s="1926"/>
      <c r="S41" s="675"/>
    </row>
    <row r="42" spans="1:19" ht="15" customHeight="1" thickBot="1" x14ac:dyDescent="0.25">
      <c r="A42" s="2173"/>
      <c r="B42" s="2174" t="s">
        <v>417</v>
      </c>
      <c r="C42" s="2175">
        <f t="shared" ref="C42:R42" si="6">C15+C30+C38+C40</f>
        <v>74482</v>
      </c>
      <c r="D42" s="2175">
        <f t="shared" si="6"/>
        <v>60555</v>
      </c>
      <c r="E42" s="2175">
        <f t="shared" si="6"/>
        <v>35990</v>
      </c>
      <c r="F42" s="2175">
        <f t="shared" si="6"/>
        <v>31663</v>
      </c>
      <c r="G42" s="2175">
        <f t="shared" si="6"/>
        <v>24808</v>
      </c>
      <c r="H42" s="2175">
        <f t="shared" si="6"/>
        <v>18978</v>
      </c>
      <c r="I42" s="2175">
        <f t="shared" si="6"/>
        <v>9360</v>
      </c>
      <c r="J42" s="2175">
        <f t="shared" si="6"/>
        <v>9862</v>
      </c>
      <c r="K42" s="2176">
        <f t="shared" si="6"/>
        <v>144640</v>
      </c>
      <c r="L42" s="2176">
        <f>L15+L30+L38+L40</f>
        <v>121058</v>
      </c>
      <c r="M42" s="2177">
        <f t="shared" si="6"/>
        <v>0</v>
      </c>
      <c r="N42" s="2178">
        <f t="shared" si="6"/>
        <v>0</v>
      </c>
      <c r="O42" s="2178">
        <f t="shared" si="6"/>
        <v>2291</v>
      </c>
      <c r="P42" s="2178">
        <f t="shared" si="6"/>
        <v>2341</v>
      </c>
      <c r="Q42" s="2178">
        <f t="shared" si="6"/>
        <v>122422</v>
      </c>
      <c r="R42" s="2179">
        <f t="shared" si="6"/>
        <v>113787</v>
      </c>
      <c r="S42" s="675"/>
    </row>
    <row r="43" spans="1:19" x14ac:dyDescent="0.2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9" hidden="1" x14ac:dyDescent="0.2">
      <c r="F44">
        <v>31665</v>
      </c>
      <c r="H44">
        <v>18976</v>
      </c>
    </row>
    <row r="48" spans="1:19" x14ac:dyDescent="0.2">
      <c r="K48" s="7"/>
      <c r="L48" s="7"/>
    </row>
    <row r="49" spans="11:12" x14ac:dyDescent="0.2">
      <c r="K49" s="7"/>
      <c r="L49" s="7"/>
    </row>
  </sheetData>
  <mergeCells count="13">
    <mergeCell ref="M9:N9"/>
    <mergeCell ref="O9:P9"/>
    <mergeCell ref="Q9:R9"/>
    <mergeCell ref="A4:R4"/>
    <mergeCell ref="B5:R5"/>
    <mergeCell ref="C7:R7"/>
    <mergeCell ref="M8:R8"/>
    <mergeCell ref="C9:D9"/>
    <mergeCell ref="E9:F9"/>
    <mergeCell ref="G9:H9"/>
    <mergeCell ref="I9:J9"/>
    <mergeCell ref="K9:L9"/>
    <mergeCell ref="C8:L8"/>
  </mergeCells>
  <printOptions horizontalCentered="1"/>
  <pageMargins left="0.19685039370078741" right="0.19685039370078741" top="0.47244094488188981" bottom="0.47244094488188981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"/>
  <sheetViews>
    <sheetView zoomScale="80" workbookViewId="0">
      <selection activeCell="F2" sqref="F2"/>
    </sheetView>
  </sheetViews>
  <sheetFormatPr defaultRowHeight="12.75" x14ac:dyDescent="0.2"/>
  <cols>
    <col min="1" max="1" width="9.140625" style="6"/>
    <col min="2" max="2" width="50.7109375" style="6" customWidth="1"/>
    <col min="3" max="5" width="14.7109375" style="6" customWidth="1"/>
    <col min="6" max="6" width="11.85546875" style="6" customWidth="1"/>
    <col min="7" max="7" width="9.85546875" style="6" hidden="1" customWidth="1"/>
    <col min="8" max="9" width="9.140625" style="6" hidden="1" customWidth="1"/>
    <col min="10" max="10" width="9.140625" style="6" customWidth="1"/>
    <col min="11" max="16384" width="9.140625" style="6"/>
  </cols>
  <sheetData>
    <row r="2" spans="1:11" x14ac:dyDescent="0.2">
      <c r="A2" s="19"/>
      <c r="B2" s="13"/>
      <c r="C2" s="48"/>
      <c r="D2" s="98"/>
      <c r="E2" s="13"/>
      <c r="F2" s="530" t="s">
        <v>1203</v>
      </c>
    </row>
    <row r="3" spans="1:11" x14ac:dyDescent="0.2">
      <c r="A3" s="13"/>
      <c r="B3" s="13"/>
      <c r="C3" s="48"/>
      <c r="D3" s="150"/>
      <c r="E3" s="13"/>
      <c r="F3" s="531" t="s">
        <v>57</v>
      </c>
    </row>
    <row r="4" spans="1:11" ht="30.75" hidden="1" customHeight="1" x14ac:dyDescent="0.25">
      <c r="A4" s="13"/>
      <c r="B4" s="13"/>
      <c r="C4" s="48"/>
      <c r="D4" s="48"/>
      <c r="E4" s="13"/>
      <c r="F4" s="640" t="s">
        <v>667</v>
      </c>
      <c r="G4" s="2341"/>
      <c r="H4" s="2341"/>
      <c r="I4" s="2341"/>
      <c r="J4" s="2341"/>
      <c r="K4" s="2341"/>
    </row>
    <row r="5" spans="1:11" ht="26.25" customHeight="1" x14ac:dyDescent="0.25">
      <c r="A5" s="2339" t="s">
        <v>1204</v>
      </c>
      <c r="B5" s="2339"/>
      <c r="C5" s="2339"/>
      <c r="D5" s="2339"/>
      <c r="E5" s="2339"/>
      <c r="F5" s="2339"/>
      <c r="G5" s="2341"/>
      <c r="H5" s="2341"/>
      <c r="I5" s="2341"/>
      <c r="J5" s="2341"/>
      <c r="K5" s="2341"/>
    </row>
    <row r="6" spans="1:11" ht="15.75" x14ac:dyDescent="0.25">
      <c r="A6" s="2339" t="s">
        <v>1000</v>
      </c>
      <c r="B6" s="2339"/>
      <c r="C6" s="2339"/>
      <c r="D6" s="2339"/>
      <c r="E6" s="2339"/>
      <c r="F6" s="2339"/>
      <c r="G6" s="2341"/>
      <c r="H6" s="2341"/>
      <c r="I6" s="2341"/>
      <c r="J6" s="2341"/>
      <c r="K6" s="2341"/>
    </row>
    <row r="7" spans="1:11" ht="15.75" x14ac:dyDescent="0.25">
      <c r="A7" s="2340" t="s">
        <v>58</v>
      </c>
      <c r="B7" s="2340"/>
      <c r="C7" s="2340"/>
      <c r="D7" s="2340"/>
      <c r="E7" s="2340"/>
      <c r="F7" s="2340"/>
      <c r="G7" s="2342"/>
      <c r="H7" s="2342"/>
      <c r="I7" s="2342"/>
      <c r="J7" s="2342"/>
      <c r="K7" s="2342"/>
    </row>
    <row r="8" spans="1:11" ht="21" customHeight="1" thickBot="1" x14ac:dyDescent="0.3">
      <c r="A8" s="14"/>
      <c r="B8" s="14" t="s">
        <v>571</v>
      </c>
      <c r="C8" s="13"/>
      <c r="D8" s="13"/>
      <c r="E8" s="13"/>
    </row>
    <row r="9" spans="1:11" x14ac:dyDescent="0.2">
      <c r="A9" s="362"/>
      <c r="B9" s="9"/>
      <c r="C9" s="934" t="s">
        <v>1181</v>
      </c>
      <c r="D9" s="934" t="s">
        <v>1181</v>
      </c>
      <c r="E9" s="638"/>
      <c r="F9" s="151"/>
      <c r="G9" s="16" t="s">
        <v>1014</v>
      </c>
    </row>
    <row r="10" spans="1:11" x14ac:dyDescent="0.2">
      <c r="A10" s="361" t="s">
        <v>691</v>
      </c>
      <c r="B10" s="23" t="s">
        <v>33</v>
      </c>
      <c r="C10" s="935" t="s">
        <v>38</v>
      </c>
      <c r="D10" s="935" t="s">
        <v>333</v>
      </c>
      <c r="E10" s="639" t="s">
        <v>196</v>
      </c>
      <c r="F10" s="154" t="s">
        <v>196</v>
      </c>
      <c r="G10" s="1292" t="s">
        <v>511</v>
      </c>
    </row>
    <row r="11" spans="1:11" ht="13.5" thickBot="1" x14ac:dyDescent="0.25">
      <c r="A11" s="363"/>
      <c r="B11" s="11"/>
      <c r="C11" s="636" t="s">
        <v>8</v>
      </c>
      <c r="D11" s="636" t="s">
        <v>8</v>
      </c>
      <c r="E11" s="636"/>
      <c r="F11" s="24" t="s">
        <v>198</v>
      </c>
      <c r="G11" s="17" t="s">
        <v>38</v>
      </c>
      <c r="H11" s="6" t="s">
        <v>512</v>
      </c>
      <c r="I11" s="6" t="s">
        <v>513</v>
      </c>
    </row>
    <row r="12" spans="1:11" x14ac:dyDescent="0.2">
      <c r="A12" s="466">
        <v>1</v>
      </c>
      <c r="B12" s="872">
        <v>2</v>
      </c>
      <c r="C12" s="926">
        <v>3</v>
      </c>
      <c r="D12" s="1008">
        <v>4</v>
      </c>
      <c r="E12" s="1011">
        <v>5</v>
      </c>
      <c r="F12" s="873">
        <v>6</v>
      </c>
      <c r="G12" s="695">
        <v>7</v>
      </c>
      <c r="H12" s="18">
        <v>8</v>
      </c>
      <c r="I12" s="18">
        <v>9</v>
      </c>
    </row>
    <row r="13" spans="1:11" ht="8.25" customHeight="1" x14ac:dyDescent="0.2">
      <c r="A13" s="26"/>
      <c r="B13" s="27"/>
      <c r="C13" s="91"/>
      <c r="D13" s="153"/>
      <c r="E13" s="398"/>
      <c r="F13" s="166"/>
    </row>
    <row r="14" spans="1:11" ht="13.5" x14ac:dyDescent="0.25">
      <c r="A14" s="156" t="s">
        <v>134</v>
      </c>
      <c r="B14" s="157" t="s">
        <v>1003</v>
      </c>
      <c r="C14" s="399">
        <f>SUM(C16:C26)</f>
        <v>54512</v>
      </c>
      <c r="D14" s="399">
        <f>SUM(D16:D26)</f>
        <v>70493</v>
      </c>
      <c r="E14" s="399">
        <f>SUM(E16:E26)</f>
        <v>63321.834999999999</v>
      </c>
      <c r="F14" s="389">
        <f>E14/D14*100</f>
        <v>89.82712467904615</v>
      </c>
      <c r="G14" s="8">
        <f>'4.tábla'!DS26-C14</f>
        <v>0</v>
      </c>
      <c r="H14" s="8">
        <f>'4.tábla'!DT26-D14</f>
        <v>0</v>
      </c>
      <c r="I14" s="8">
        <f>'4.tábla'!DU26-E14</f>
        <v>0</v>
      </c>
    </row>
    <row r="15" spans="1:11" ht="12.75" customHeight="1" x14ac:dyDescent="0.25">
      <c r="A15" s="28"/>
      <c r="B15" s="62"/>
      <c r="C15" s="158"/>
      <c r="D15" s="158"/>
      <c r="E15" s="159"/>
      <c r="F15" s="390"/>
    </row>
    <row r="16" spans="1:11" ht="12.75" customHeight="1" x14ac:dyDescent="0.25">
      <c r="A16" s="571" t="s">
        <v>11</v>
      </c>
      <c r="B16" s="572" t="s">
        <v>436</v>
      </c>
      <c r="C16" s="573"/>
      <c r="D16" s="574"/>
      <c r="E16" s="159"/>
      <c r="F16" s="390"/>
    </row>
    <row r="17" spans="1:9" ht="12.75" customHeight="1" x14ac:dyDescent="0.25">
      <c r="A17" s="688">
        <v>1</v>
      </c>
      <c r="B17" s="331" t="s">
        <v>1096</v>
      </c>
      <c r="C17" s="573">
        <v>35012</v>
      </c>
      <c r="D17" s="573">
        <v>35012</v>
      </c>
      <c r="E17" s="351">
        <v>31440</v>
      </c>
      <c r="F17" s="391">
        <f>E17/D17*100</f>
        <v>89.797783617045582</v>
      </c>
    </row>
    <row r="18" spans="1:9" ht="12.75" customHeight="1" x14ac:dyDescent="0.25">
      <c r="A18" s="688">
        <v>2</v>
      </c>
      <c r="B18" s="331" t="s">
        <v>1195</v>
      </c>
      <c r="C18" s="573">
        <v>4400</v>
      </c>
      <c r="D18" s="573">
        <v>5710</v>
      </c>
      <c r="E18" s="351">
        <v>4236</v>
      </c>
      <c r="F18" s="391">
        <f>E18/D18*100</f>
        <v>74.185639229422065</v>
      </c>
    </row>
    <row r="19" spans="1:9" ht="12.75" customHeight="1" x14ac:dyDescent="0.25">
      <c r="A19" s="28"/>
      <c r="B19" s="62"/>
      <c r="C19" s="573"/>
      <c r="D19" s="573"/>
      <c r="E19" s="64"/>
      <c r="F19" s="391"/>
    </row>
    <row r="20" spans="1:9" ht="15.75" customHeight="1" x14ac:dyDescent="0.25">
      <c r="A20" s="571" t="s">
        <v>13</v>
      </c>
      <c r="B20" s="572" t="s">
        <v>437</v>
      </c>
      <c r="C20" s="573"/>
      <c r="D20" s="573"/>
      <c r="E20" s="64"/>
      <c r="F20" s="391"/>
    </row>
    <row r="21" spans="1:9" ht="12.75" customHeight="1" x14ac:dyDescent="0.2">
      <c r="A21" s="328">
        <v>1</v>
      </c>
      <c r="B21" s="332" t="s">
        <v>510</v>
      </c>
      <c r="C21" s="573">
        <v>13500</v>
      </c>
      <c r="D21" s="573">
        <v>14500</v>
      </c>
      <c r="E21" s="64">
        <v>14500</v>
      </c>
      <c r="F21" s="391">
        <f>E21/D21*100</f>
        <v>100</v>
      </c>
    </row>
    <row r="22" spans="1:9" ht="12.75" customHeight="1" x14ac:dyDescent="0.2">
      <c r="A22" s="328">
        <v>2</v>
      </c>
      <c r="B22" s="332" t="s">
        <v>1142</v>
      </c>
      <c r="C22" s="573">
        <v>1600</v>
      </c>
      <c r="D22" s="573">
        <v>1600</v>
      </c>
      <c r="E22" s="64">
        <v>1600</v>
      </c>
      <c r="F22" s="391">
        <f>E22/D22*100</f>
        <v>100</v>
      </c>
    </row>
    <row r="23" spans="1:9" ht="12.75" customHeight="1" x14ac:dyDescent="0.2">
      <c r="A23" s="328">
        <v>3</v>
      </c>
      <c r="B23" s="332" t="s">
        <v>1196</v>
      </c>
      <c r="C23" s="573">
        <v>0</v>
      </c>
      <c r="D23" s="573">
        <v>50</v>
      </c>
      <c r="E23" s="64">
        <v>50</v>
      </c>
      <c r="F23" s="391">
        <f>E23/D23*100</f>
        <v>100</v>
      </c>
    </row>
    <row r="24" spans="1:9" ht="12.75" customHeight="1" x14ac:dyDescent="0.2">
      <c r="A24" s="328">
        <v>4</v>
      </c>
      <c r="B24" s="332" t="s">
        <v>1122</v>
      </c>
      <c r="C24" s="573">
        <v>0</v>
      </c>
      <c r="D24" s="573">
        <v>7121</v>
      </c>
      <c r="E24" s="64">
        <v>7120.835</v>
      </c>
      <c r="F24" s="391">
        <f>E24/D24*100</f>
        <v>99.997682909703684</v>
      </c>
    </row>
    <row r="25" spans="1:9" ht="12.75" customHeight="1" x14ac:dyDescent="0.2">
      <c r="A25" s="328">
        <v>5</v>
      </c>
      <c r="B25" s="332" t="s">
        <v>1202</v>
      </c>
      <c r="C25" s="573">
        <v>0</v>
      </c>
      <c r="D25" s="573">
        <v>6500</v>
      </c>
      <c r="E25" s="64">
        <v>4375</v>
      </c>
      <c r="F25" s="391">
        <f>E25/D25*100</f>
        <v>67.307692307692307</v>
      </c>
    </row>
    <row r="26" spans="1:9" ht="14.25" customHeight="1" x14ac:dyDescent="0.2">
      <c r="A26" s="26"/>
      <c r="B26" s="34"/>
      <c r="C26" s="76"/>
      <c r="D26" s="76"/>
      <c r="E26" s="64"/>
      <c r="F26" s="391"/>
    </row>
    <row r="27" spans="1:9" ht="13.5" x14ac:dyDescent="0.25">
      <c r="A27" s="156" t="s">
        <v>306</v>
      </c>
      <c r="B27" s="157" t="s">
        <v>1004</v>
      </c>
      <c r="C27" s="399">
        <f>SUM(C31:C67)</f>
        <v>669332</v>
      </c>
      <c r="D27" s="399">
        <f>SUM(D31:D67)</f>
        <v>680624.755</v>
      </c>
      <c r="E27" s="399">
        <f>SUM(E31:E67)</f>
        <v>651403.72900000005</v>
      </c>
      <c r="F27" s="392">
        <f t="shared" ref="F27:F69" si="0">E27/D27*100</f>
        <v>95.706734763122157</v>
      </c>
      <c r="G27" s="8">
        <f>'4.tábla'!DS29-C27</f>
        <v>0</v>
      </c>
      <c r="H27" s="8">
        <f>'4.tábla'!DT29-D27</f>
        <v>0</v>
      </c>
      <c r="I27" s="8">
        <f>'4.tábla'!DU29-E27</f>
        <v>0</v>
      </c>
    </row>
    <row r="28" spans="1:9" ht="13.5" x14ac:dyDescent="0.25">
      <c r="A28" s="28"/>
      <c r="B28" s="62"/>
      <c r="C28" s="159"/>
      <c r="D28" s="158"/>
      <c r="E28" s="400"/>
      <c r="F28" s="393"/>
      <c r="I28" s="8"/>
    </row>
    <row r="29" spans="1:9" x14ac:dyDescent="0.2">
      <c r="A29" s="26" t="s">
        <v>11</v>
      </c>
      <c r="B29" s="63" t="s">
        <v>330</v>
      </c>
      <c r="C29" s="161"/>
      <c r="D29" s="160"/>
      <c r="E29" s="161"/>
      <c r="F29" s="394"/>
    </row>
    <row r="30" spans="1:9" x14ac:dyDescent="0.2">
      <c r="A30" s="26"/>
      <c r="B30" s="30" t="s">
        <v>12</v>
      </c>
      <c r="C30" s="64"/>
      <c r="D30" s="76"/>
      <c r="E30" s="64"/>
      <c r="F30" s="391"/>
    </row>
    <row r="31" spans="1:9" x14ac:dyDescent="0.2">
      <c r="A31" s="328">
        <v>1</v>
      </c>
      <c r="B31" s="330" t="s">
        <v>739</v>
      </c>
      <c r="C31" s="64">
        <v>8000</v>
      </c>
      <c r="D31" s="76">
        <v>5526</v>
      </c>
      <c r="E31" s="64">
        <v>4509</v>
      </c>
      <c r="F31" s="391">
        <f t="shared" si="0"/>
        <v>81.596091205211735</v>
      </c>
    </row>
    <row r="32" spans="1:9" x14ac:dyDescent="0.2">
      <c r="A32" s="328">
        <v>2</v>
      </c>
      <c r="B32" s="330" t="s">
        <v>740</v>
      </c>
      <c r="C32" s="64">
        <v>5000</v>
      </c>
      <c r="D32" s="76">
        <v>8956</v>
      </c>
      <c r="E32" s="64">
        <v>4370</v>
      </c>
      <c r="F32" s="391">
        <f t="shared" si="0"/>
        <v>48.79410451094239</v>
      </c>
    </row>
    <row r="33" spans="1:6" x14ac:dyDescent="0.2">
      <c r="A33" s="329">
        <v>3</v>
      </c>
      <c r="B33" s="330" t="s">
        <v>741</v>
      </c>
      <c r="C33" s="64">
        <v>7000</v>
      </c>
      <c r="D33" s="76">
        <v>5500</v>
      </c>
      <c r="E33" s="64">
        <v>5500</v>
      </c>
      <c r="F33" s="391">
        <f t="shared" si="0"/>
        <v>100</v>
      </c>
    </row>
    <row r="34" spans="1:6" x14ac:dyDescent="0.2">
      <c r="A34" s="329">
        <v>4</v>
      </c>
      <c r="B34" s="330" t="s">
        <v>1001</v>
      </c>
      <c r="C34" s="64">
        <v>2000</v>
      </c>
      <c r="D34" s="76">
        <v>0</v>
      </c>
      <c r="E34" s="64">
        <v>0</v>
      </c>
      <c r="F34" s="391">
        <v>0</v>
      </c>
    </row>
    <row r="35" spans="1:6" x14ac:dyDescent="0.2">
      <c r="A35" s="329">
        <v>5</v>
      </c>
      <c r="B35" s="330" t="s">
        <v>742</v>
      </c>
      <c r="C35" s="64">
        <v>7000</v>
      </c>
      <c r="D35" s="76">
        <v>5430</v>
      </c>
      <c r="E35" s="64">
        <v>5430</v>
      </c>
      <c r="F35" s="391">
        <f t="shared" si="0"/>
        <v>100</v>
      </c>
    </row>
    <row r="36" spans="1:6" x14ac:dyDescent="0.2">
      <c r="A36" s="329">
        <v>6</v>
      </c>
      <c r="B36" s="330" t="s">
        <v>743</v>
      </c>
      <c r="C36" s="64">
        <v>8000</v>
      </c>
      <c r="D36" s="76">
        <v>8000</v>
      </c>
      <c r="E36" s="64">
        <v>0</v>
      </c>
      <c r="F36" s="391">
        <f t="shared" si="0"/>
        <v>0</v>
      </c>
    </row>
    <row r="37" spans="1:6" x14ac:dyDescent="0.2">
      <c r="A37" s="329">
        <v>7</v>
      </c>
      <c r="B37" s="331" t="s">
        <v>163</v>
      </c>
      <c r="C37" s="64">
        <v>6500</v>
      </c>
      <c r="D37" s="76">
        <v>0</v>
      </c>
      <c r="E37" s="64">
        <v>0</v>
      </c>
      <c r="F37" s="391">
        <v>0</v>
      </c>
    </row>
    <row r="38" spans="1:6" x14ac:dyDescent="0.2">
      <c r="A38" s="329">
        <v>8</v>
      </c>
      <c r="B38" s="330" t="s">
        <v>331</v>
      </c>
      <c r="C38" s="64">
        <v>3500</v>
      </c>
      <c r="D38" s="76">
        <v>3500</v>
      </c>
      <c r="E38" s="64">
        <v>3400</v>
      </c>
      <c r="F38" s="391">
        <f t="shared" si="0"/>
        <v>97.142857142857139</v>
      </c>
    </row>
    <row r="39" spans="1:6" x14ac:dyDescent="0.2">
      <c r="A39" s="329">
        <v>9</v>
      </c>
      <c r="B39" s="330" t="s">
        <v>332</v>
      </c>
      <c r="C39" s="65">
        <v>2000</v>
      </c>
      <c r="D39" s="60">
        <v>2000</v>
      </c>
      <c r="E39" s="65">
        <v>1950</v>
      </c>
      <c r="F39" s="396">
        <f t="shared" si="0"/>
        <v>97.5</v>
      </c>
    </row>
    <row r="40" spans="1:6" x14ac:dyDescent="0.2">
      <c r="A40" s="329">
        <v>10</v>
      </c>
      <c r="B40" s="330" t="s">
        <v>438</v>
      </c>
      <c r="C40" s="66">
        <v>4500</v>
      </c>
      <c r="D40" s="88">
        <v>3884.7550000000001</v>
      </c>
      <c r="E40" s="66">
        <v>3884.6</v>
      </c>
      <c r="F40" s="396">
        <f t="shared" si="0"/>
        <v>99.996010044391468</v>
      </c>
    </row>
    <row r="41" spans="1:6" x14ac:dyDescent="0.2">
      <c r="A41" s="329">
        <v>11</v>
      </c>
      <c r="B41" s="333" t="s">
        <v>32</v>
      </c>
      <c r="C41" s="64">
        <v>3000</v>
      </c>
      <c r="D41" s="76">
        <v>3000</v>
      </c>
      <c r="E41" s="64">
        <v>3000</v>
      </c>
      <c r="F41" s="391">
        <f t="shared" si="0"/>
        <v>100</v>
      </c>
    </row>
    <row r="42" spans="1:6" x14ac:dyDescent="0.2">
      <c r="A42" s="329">
        <v>12</v>
      </c>
      <c r="B42" s="330" t="s">
        <v>439</v>
      </c>
      <c r="C42" s="64">
        <v>6000</v>
      </c>
      <c r="D42" s="76">
        <v>6000</v>
      </c>
      <c r="E42" s="64">
        <v>6000</v>
      </c>
      <c r="F42" s="391">
        <f t="shared" si="0"/>
        <v>100</v>
      </c>
    </row>
    <row r="43" spans="1:6" x14ac:dyDescent="0.2">
      <c r="A43" s="329">
        <v>13</v>
      </c>
      <c r="B43" s="330" t="s">
        <v>184</v>
      </c>
      <c r="C43" s="64">
        <v>1000</v>
      </c>
      <c r="D43" s="76">
        <v>1785</v>
      </c>
      <c r="E43" s="64">
        <v>540.23700000000008</v>
      </c>
      <c r="F43" s="391">
        <f t="shared" si="0"/>
        <v>30.265378151260506</v>
      </c>
    </row>
    <row r="44" spans="1:6" x14ac:dyDescent="0.2">
      <c r="A44" s="329">
        <v>14</v>
      </c>
      <c r="B44" s="331" t="s">
        <v>440</v>
      </c>
      <c r="C44" s="64">
        <v>39030</v>
      </c>
      <c r="D44" s="76">
        <v>44217</v>
      </c>
      <c r="E44" s="64">
        <v>35634.32</v>
      </c>
      <c r="F44" s="391">
        <f t="shared" si="0"/>
        <v>80.589637469751452</v>
      </c>
    </row>
    <row r="45" spans="1:6" x14ac:dyDescent="0.2">
      <c r="A45" s="329">
        <v>15</v>
      </c>
      <c r="B45" s="331" t="s">
        <v>82</v>
      </c>
      <c r="C45" s="64">
        <v>2000</v>
      </c>
      <c r="D45" s="76">
        <v>2000</v>
      </c>
      <c r="E45" s="64">
        <v>2000</v>
      </c>
      <c r="F45" s="391">
        <f t="shared" si="0"/>
        <v>100</v>
      </c>
    </row>
    <row r="46" spans="1:6" x14ac:dyDescent="0.2">
      <c r="A46" s="329">
        <v>16</v>
      </c>
      <c r="B46" s="331" t="s">
        <v>21</v>
      </c>
      <c r="C46" s="67">
        <v>4146</v>
      </c>
      <c r="D46" s="96">
        <v>4146</v>
      </c>
      <c r="E46" s="67">
        <v>4146</v>
      </c>
      <c r="F46" s="397">
        <f t="shared" si="0"/>
        <v>100</v>
      </c>
    </row>
    <row r="47" spans="1:6" x14ac:dyDescent="0.2">
      <c r="A47" s="329">
        <v>17</v>
      </c>
      <c r="B47" s="331" t="s">
        <v>1002</v>
      </c>
      <c r="C47" s="64">
        <v>750</v>
      </c>
      <c r="D47" s="76">
        <v>750</v>
      </c>
      <c r="E47" s="64">
        <v>750</v>
      </c>
      <c r="F47" s="397">
        <f t="shared" si="0"/>
        <v>100</v>
      </c>
    </row>
    <row r="48" spans="1:6" x14ac:dyDescent="0.2">
      <c r="A48" s="329">
        <v>18</v>
      </c>
      <c r="B48" s="331" t="s">
        <v>1123</v>
      </c>
      <c r="C48" s="84">
        <v>2500</v>
      </c>
      <c r="D48" s="97">
        <v>2500</v>
      </c>
      <c r="E48" s="65">
        <v>265.39999999999998</v>
      </c>
      <c r="F48" s="395">
        <f t="shared" si="0"/>
        <v>10.616</v>
      </c>
    </row>
    <row r="49" spans="1:6" x14ac:dyDescent="0.2">
      <c r="A49" s="329">
        <v>19</v>
      </c>
      <c r="B49" s="331" t="s">
        <v>1143</v>
      </c>
      <c r="C49" s="66">
        <v>1956</v>
      </c>
      <c r="D49" s="88">
        <v>1956</v>
      </c>
      <c r="E49" s="66">
        <v>1956</v>
      </c>
      <c r="F49" s="396">
        <f t="shared" si="0"/>
        <v>100</v>
      </c>
    </row>
    <row r="50" spans="1:6" x14ac:dyDescent="0.2">
      <c r="A50" s="328">
        <v>20</v>
      </c>
      <c r="B50" s="331" t="s">
        <v>1197</v>
      </c>
      <c r="C50" s="64">
        <v>2136</v>
      </c>
      <c r="D50" s="76">
        <v>2136</v>
      </c>
      <c r="E50" s="64">
        <v>2107.4209999999998</v>
      </c>
      <c r="F50" s="396">
        <f t="shared" si="0"/>
        <v>98.662031835205994</v>
      </c>
    </row>
    <row r="51" spans="1:6" x14ac:dyDescent="0.2">
      <c r="A51" s="329">
        <v>21</v>
      </c>
      <c r="B51" s="331" t="s">
        <v>1198</v>
      </c>
      <c r="C51" s="163">
        <v>3319</v>
      </c>
      <c r="D51" s="162">
        <v>3319</v>
      </c>
      <c r="E51" s="64">
        <v>3319</v>
      </c>
      <c r="F51" s="396">
        <f t="shared" si="0"/>
        <v>100</v>
      </c>
    </row>
    <row r="52" spans="1:6" x14ac:dyDescent="0.2">
      <c r="A52" s="329">
        <v>22</v>
      </c>
      <c r="B52" s="331" t="s">
        <v>1199</v>
      </c>
      <c r="C52" s="163">
        <v>4000</v>
      </c>
      <c r="D52" s="162">
        <v>4000</v>
      </c>
      <c r="E52" s="64">
        <v>1903.46</v>
      </c>
      <c r="F52" s="396">
        <f t="shared" si="0"/>
        <v>47.586500000000001</v>
      </c>
    </row>
    <row r="53" spans="1:6" x14ac:dyDescent="0.2">
      <c r="A53" s="329">
        <v>23</v>
      </c>
      <c r="B53" s="331" t="s">
        <v>1346</v>
      </c>
      <c r="C53" s="64">
        <v>0</v>
      </c>
      <c r="D53" s="76">
        <v>400</v>
      </c>
      <c r="E53" s="64">
        <v>0</v>
      </c>
      <c r="F53" s="396">
        <v>0</v>
      </c>
    </row>
    <row r="54" spans="1:6" x14ac:dyDescent="0.2">
      <c r="A54" s="328">
        <v>24</v>
      </c>
      <c r="B54" s="331" t="s">
        <v>1144</v>
      </c>
      <c r="C54" s="64">
        <v>0</v>
      </c>
      <c r="D54" s="76">
        <v>100</v>
      </c>
      <c r="E54" s="64">
        <v>0</v>
      </c>
      <c r="F54" s="396">
        <f t="shared" si="0"/>
        <v>0</v>
      </c>
    </row>
    <row r="55" spans="1:6" x14ac:dyDescent="0.2">
      <c r="A55" s="328">
        <v>25</v>
      </c>
      <c r="B55" s="331" t="s">
        <v>1200</v>
      </c>
      <c r="C55" s="64">
        <v>0</v>
      </c>
      <c r="D55" s="76">
        <v>3078</v>
      </c>
      <c r="E55" s="64">
        <v>2686.24</v>
      </c>
      <c r="F55" s="396">
        <f t="shared" si="0"/>
        <v>87.2722547108512</v>
      </c>
    </row>
    <row r="56" spans="1:6" x14ac:dyDescent="0.2">
      <c r="A56" s="328">
        <v>26</v>
      </c>
      <c r="B56" s="331" t="s">
        <v>1201</v>
      </c>
      <c r="C56" s="64">
        <v>0</v>
      </c>
      <c r="D56" s="76">
        <v>1235</v>
      </c>
      <c r="E56" s="64">
        <v>1235</v>
      </c>
      <c r="F56" s="396">
        <f t="shared" si="0"/>
        <v>100</v>
      </c>
    </row>
    <row r="57" spans="1:6" x14ac:dyDescent="0.2">
      <c r="A57" s="329">
        <v>27</v>
      </c>
      <c r="B57" s="331" t="s">
        <v>1097</v>
      </c>
      <c r="C57" s="64">
        <v>0</v>
      </c>
      <c r="D57" s="76">
        <v>1700</v>
      </c>
      <c r="E57" s="64">
        <v>1700</v>
      </c>
      <c r="F57" s="396">
        <f t="shared" si="0"/>
        <v>100</v>
      </c>
    </row>
    <row r="58" spans="1:6" ht="13.5" customHeight="1" x14ac:dyDescent="0.2">
      <c r="A58" s="26"/>
      <c r="B58" s="58"/>
      <c r="C58" s="64"/>
      <c r="D58" s="76"/>
      <c r="E58" s="64"/>
      <c r="F58" s="391"/>
    </row>
    <row r="59" spans="1:6" x14ac:dyDescent="0.2">
      <c r="A59" s="29" t="s">
        <v>13</v>
      </c>
      <c r="B59" s="63" t="s">
        <v>93</v>
      </c>
      <c r="C59" s="64"/>
      <c r="D59" s="76"/>
      <c r="E59" s="64"/>
      <c r="F59" s="391"/>
    </row>
    <row r="60" spans="1:6" x14ac:dyDescent="0.2">
      <c r="A60" s="334">
        <v>1</v>
      </c>
      <c r="B60" s="331" t="s">
        <v>514</v>
      </c>
      <c r="C60" s="64">
        <v>1000</v>
      </c>
      <c r="D60" s="76">
        <v>1000</v>
      </c>
      <c r="E60" s="64">
        <v>290</v>
      </c>
      <c r="F60" s="396">
        <f t="shared" si="0"/>
        <v>28.999999999999996</v>
      </c>
    </row>
    <row r="61" spans="1:6" x14ac:dyDescent="0.2">
      <c r="A61" s="26"/>
      <c r="B61" s="2"/>
      <c r="C61" s="64"/>
      <c r="D61" s="76"/>
      <c r="E61" s="64"/>
      <c r="F61" s="391"/>
    </row>
    <row r="62" spans="1:6" x14ac:dyDescent="0.2">
      <c r="A62" s="29" t="s">
        <v>22</v>
      </c>
      <c r="B62" s="63" t="s">
        <v>217</v>
      </c>
      <c r="C62" s="64"/>
      <c r="D62" s="76"/>
      <c r="E62" s="64"/>
      <c r="F62" s="391"/>
    </row>
    <row r="63" spans="1:6" x14ac:dyDescent="0.2">
      <c r="A63" s="334">
        <v>1</v>
      </c>
      <c r="B63" s="331" t="s">
        <v>257</v>
      </c>
      <c r="C63" s="64">
        <v>390201</v>
      </c>
      <c r="D63" s="76">
        <v>398462</v>
      </c>
      <c r="E63" s="64">
        <v>399321</v>
      </c>
      <c r="F63" s="391">
        <f t="shared" si="0"/>
        <v>100.21557890087387</v>
      </c>
    </row>
    <row r="64" spans="1:6" x14ac:dyDescent="0.2">
      <c r="A64" s="334">
        <v>2</v>
      </c>
      <c r="B64" s="331" t="s">
        <v>1098</v>
      </c>
      <c r="C64" s="64">
        <v>154794</v>
      </c>
      <c r="D64" s="76">
        <v>155994</v>
      </c>
      <c r="E64" s="64">
        <v>155456.05100000001</v>
      </c>
      <c r="F64" s="391">
        <f t="shared" si="0"/>
        <v>99.65514763388336</v>
      </c>
    </row>
    <row r="65" spans="1:6" x14ac:dyDescent="0.2">
      <c r="A65" s="334">
        <v>3</v>
      </c>
      <c r="B65" s="331" t="s">
        <v>1051</v>
      </c>
      <c r="C65" s="64">
        <v>0</v>
      </c>
      <c r="D65" s="76">
        <v>50</v>
      </c>
      <c r="E65" s="64">
        <v>50</v>
      </c>
      <c r="F65" s="391">
        <f t="shared" si="0"/>
        <v>100</v>
      </c>
    </row>
    <row r="66" spans="1:6" hidden="1" x14ac:dyDescent="0.2">
      <c r="A66" s="334"/>
      <c r="B66" s="331"/>
      <c r="C66" s="64"/>
      <c r="D66" s="76"/>
      <c r="E66" s="64"/>
      <c r="F66" s="391"/>
    </row>
    <row r="67" spans="1:6" x14ac:dyDescent="0.2">
      <c r="A67" s="334"/>
      <c r="B67" s="331"/>
      <c r="C67" s="64"/>
      <c r="D67" s="76"/>
      <c r="E67" s="64"/>
      <c r="F67" s="391"/>
    </row>
    <row r="68" spans="1:6" ht="14.25" customHeight="1" thickBot="1" x14ac:dyDescent="0.25">
      <c r="A68" s="29"/>
      <c r="B68" s="58"/>
      <c r="C68" s="64"/>
      <c r="D68" s="76"/>
      <c r="E68" s="64"/>
      <c r="F68" s="391"/>
    </row>
    <row r="69" spans="1:6" ht="15" thickBot="1" x14ac:dyDescent="0.25">
      <c r="A69" s="164"/>
      <c r="B69" s="165" t="s">
        <v>36</v>
      </c>
      <c r="C69" s="335">
        <f>C14+C27</f>
        <v>723844</v>
      </c>
      <c r="D69" s="335">
        <f>D14+D27</f>
        <v>751117.755</v>
      </c>
      <c r="E69" s="401">
        <f>E14+E27</f>
        <v>714725.56400000001</v>
      </c>
      <c r="F69" s="575">
        <f t="shared" si="0"/>
        <v>95.154928670272213</v>
      </c>
    </row>
    <row r="70" spans="1:6" ht="21" customHeight="1" x14ac:dyDescent="0.2">
      <c r="B70" s="544"/>
    </row>
    <row r="71" spans="1:6" x14ac:dyDescent="0.2">
      <c r="B71" s="3"/>
    </row>
    <row r="72" spans="1:6" x14ac:dyDescent="0.2">
      <c r="B72" s="145"/>
      <c r="C72" s="8"/>
      <c r="D72" s="8"/>
      <c r="E72" s="8"/>
    </row>
    <row r="73" spans="1:6" x14ac:dyDescent="0.2">
      <c r="B73" s="145"/>
      <c r="C73" s="8"/>
      <c r="D73" s="8"/>
      <c r="E73" s="8"/>
    </row>
    <row r="74" spans="1:6" x14ac:dyDescent="0.2">
      <c r="B74" s="145"/>
      <c r="C74" s="8"/>
      <c r="D74" s="8"/>
      <c r="E74" s="8"/>
    </row>
    <row r="75" spans="1:6" x14ac:dyDescent="0.2">
      <c r="B75" s="145"/>
      <c r="C75" s="8"/>
      <c r="D75" s="8"/>
      <c r="E75" s="8"/>
    </row>
  </sheetData>
  <mergeCells count="7">
    <mergeCell ref="A5:F5"/>
    <mergeCell ref="A6:F6"/>
    <mergeCell ref="A7:F7"/>
    <mergeCell ref="G4:K4"/>
    <mergeCell ref="G5:K5"/>
    <mergeCell ref="G6:K6"/>
    <mergeCell ref="G7:K7"/>
  </mergeCells>
  <phoneticPr fontId="0" type="noConversion"/>
  <printOptions horizontalCentered="1" verticalCentered="1"/>
  <pageMargins left="0" right="0" top="0.55118110236220474" bottom="0.51181102362204722" header="0.35433070866141736" footer="0.31496062992125984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zoomScale="80" workbookViewId="0">
      <selection activeCell="F2" sqref="F2"/>
    </sheetView>
  </sheetViews>
  <sheetFormatPr defaultRowHeight="12.75" x14ac:dyDescent="0.2"/>
  <cols>
    <col min="1" max="1" width="10.7109375" style="13" customWidth="1"/>
    <col min="2" max="2" width="74.7109375" style="13" customWidth="1"/>
    <col min="3" max="6" width="15.7109375" style="13" customWidth="1"/>
    <col min="7" max="9" width="9.140625" style="13" hidden="1" customWidth="1"/>
    <col min="10" max="13" width="9.140625" style="13" customWidth="1"/>
    <col min="14" max="16384" width="9.140625" style="13"/>
  </cols>
  <sheetData>
    <row r="2" spans="1:9" x14ac:dyDescent="0.2">
      <c r="F2" s="530" t="s">
        <v>1212</v>
      </c>
    </row>
    <row r="3" spans="1:9" x14ac:dyDescent="0.2">
      <c r="A3" s="19"/>
      <c r="C3" s="48"/>
      <c r="D3" s="98"/>
      <c r="F3" s="531" t="s">
        <v>57</v>
      </c>
    </row>
    <row r="4" spans="1:9" ht="33" hidden="1" customHeight="1" x14ac:dyDescent="0.2">
      <c r="C4" s="48"/>
      <c r="D4" s="150"/>
      <c r="F4" s="150" t="s">
        <v>668</v>
      </c>
    </row>
    <row r="5" spans="1:9" ht="34.5" customHeight="1" x14ac:dyDescent="0.25">
      <c r="A5" s="49"/>
      <c r="B5" s="49"/>
      <c r="C5" s="14"/>
      <c r="D5" s="14"/>
    </row>
    <row r="6" spans="1:9" ht="18.75" x14ac:dyDescent="0.3">
      <c r="A6" s="2343" t="s">
        <v>1204</v>
      </c>
      <c r="B6" s="2343"/>
      <c r="C6" s="2343"/>
      <c r="D6" s="2343"/>
      <c r="E6" s="2343"/>
      <c r="F6" s="2343"/>
    </row>
    <row r="7" spans="1:9" ht="18.75" x14ac:dyDescent="0.3">
      <c r="A7" s="2343" t="s">
        <v>1005</v>
      </c>
      <c r="B7" s="2343"/>
      <c r="C7" s="2343"/>
      <c r="D7" s="2343"/>
      <c r="E7" s="2343"/>
      <c r="F7" s="2343"/>
    </row>
    <row r="8" spans="1:9" ht="30.75" customHeight="1" x14ac:dyDescent="0.25">
      <c r="A8" s="2340" t="s">
        <v>58</v>
      </c>
      <c r="B8" s="2340"/>
      <c r="C8" s="2340"/>
      <c r="D8" s="2340"/>
      <c r="E8" s="2340"/>
      <c r="F8" s="2340"/>
    </row>
    <row r="9" spans="1:9" ht="15.75" x14ac:dyDescent="0.25">
      <c r="A9" s="899"/>
      <c r="B9" s="899"/>
      <c r="C9" s="899"/>
      <c r="D9" s="899"/>
      <c r="E9" s="899"/>
      <c r="F9" s="899"/>
    </row>
    <row r="10" spans="1:9" ht="15.75" x14ac:dyDescent="0.25">
      <c r="A10" s="899"/>
      <c r="B10" s="899"/>
      <c r="C10" s="899"/>
      <c r="D10" s="899"/>
      <c r="E10" s="899"/>
      <c r="F10" s="899"/>
    </row>
    <row r="11" spans="1:9" ht="23.25" customHeight="1" thickBot="1" x14ac:dyDescent="0.3">
      <c r="A11" s="14"/>
      <c r="B11" s="14" t="s">
        <v>571</v>
      </c>
    </row>
    <row r="12" spans="1:9" ht="22.5" customHeight="1" x14ac:dyDescent="0.25">
      <c r="A12" s="609"/>
      <c r="B12" s="601"/>
      <c r="C12" s="868" t="s">
        <v>1181</v>
      </c>
      <c r="D12" s="868" t="s">
        <v>1181</v>
      </c>
      <c r="E12" s="588"/>
      <c r="F12" s="71"/>
      <c r="G12" s="16" t="s">
        <v>1013</v>
      </c>
      <c r="H12" s="6"/>
      <c r="I12" s="6"/>
    </row>
    <row r="13" spans="1:9" ht="22.5" customHeight="1" x14ac:dyDescent="0.2">
      <c r="A13" s="610" t="s">
        <v>691</v>
      </c>
      <c r="B13" s="327" t="s">
        <v>33</v>
      </c>
      <c r="C13" s="869" t="s">
        <v>38</v>
      </c>
      <c r="D13" s="869" t="s">
        <v>333</v>
      </c>
      <c r="E13" s="589" t="s">
        <v>196</v>
      </c>
      <c r="F13" s="327" t="s">
        <v>196</v>
      </c>
      <c r="G13" s="17" t="s">
        <v>511</v>
      </c>
      <c r="H13" s="6"/>
      <c r="I13" s="6"/>
    </row>
    <row r="14" spans="1:9" ht="22.5" customHeight="1" thickBot="1" x14ac:dyDescent="0.3">
      <c r="A14" s="611"/>
      <c r="B14" s="602"/>
      <c r="C14" s="870" t="s">
        <v>8</v>
      </c>
      <c r="D14" s="870" t="s">
        <v>8</v>
      </c>
      <c r="E14" s="590"/>
      <c r="F14" s="336" t="s">
        <v>198</v>
      </c>
      <c r="G14" s="17" t="s">
        <v>38</v>
      </c>
      <c r="H14" s="6" t="s">
        <v>512</v>
      </c>
      <c r="I14" s="6" t="s">
        <v>513</v>
      </c>
    </row>
    <row r="15" spans="1:9" ht="22.5" customHeight="1" x14ac:dyDescent="0.2">
      <c r="A15" s="874">
        <v>1</v>
      </c>
      <c r="B15" s="875">
        <v>2</v>
      </c>
      <c r="C15" s="926">
        <v>3</v>
      </c>
      <c r="D15" s="1011">
        <v>4</v>
      </c>
      <c r="E15" s="1009">
        <v>5</v>
      </c>
      <c r="F15" s="880">
        <v>6</v>
      </c>
      <c r="G15" s="695">
        <v>7</v>
      </c>
      <c r="H15" s="18">
        <v>8</v>
      </c>
      <c r="I15" s="18">
        <v>9</v>
      </c>
    </row>
    <row r="16" spans="1:9" ht="15" customHeight="1" x14ac:dyDescent="0.2">
      <c r="A16" s="26"/>
      <c r="B16" s="27"/>
      <c r="C16" s="77"/>
      <c r="D16" s="152"/>
      <c r="E16" s="152"/>
      <c r="F16" s="154"/>
      <c r="G16" s="6"/>
      <c r="H16" s="6"/>
      <c r="I16" s="6"/>
    </row>
    <row r="17" spans="1:9" ht="18.75" customHeight="1" x14ac:dyDescent="0.25">
      <c r="A17" s="36" t="s">
        <v>134</v>
      </c>
      <c r="B17" s="603" t="s">
        <v>1006</v>
      </c>
      <c r="C17" s="357">
        <f>SUM(C18:C34)</f>
        <v>1388173</v>
      </c>
      <c r="D17" s="357">
        <f>SUM(D18:D34)</f>
        <v>1410817.027</v>
      </c>
      <c r="E17" s="357">
        <f>SUM(E18:E34)</f>
        <v>1410817.1980000001</v>
      </c>
      <c r="F17" s="358">
        <f>E17/D17*100</f>
        <v>100.00001212063626</v>
      </c>
      <c r="G17" s="10">
        <f>'5.tábla'!DS25-C17</f>
        <v>0.39999999990686774</v>
      </c>
      <c r="H17" s="10">
        <f>'5.tábla'!DT25-D17</f>
        <v>0</v>
      </c>
      <c r="I17" s="10">
        <f>'5.tábla'!DU25-E17</f>
        <v>0</v>
      </c>
    </row>
    <row r="18" spans="1:9" ht="15.75" x14ac:dyDescent="0.25">
      <c r="A18" s="37"/>
      <c r="B18" s="69"/>
      <c r="C18" s="74"/>
      <c r="D18" s="936"/>
      <c r="E18" s="936"/>
      <c r="F18" s="937"/>
    </row>
    <row r="19" spans="1:9" ht="14.25" customHeight="1" x14ac:dyDescent="0.25">
      <c r="A19" s="612" t="s">
        <v>11</v>
      </c>
      <c r="B19" s="604" t="s">
        <v>441</v>
      </c>
      <c r="C19" s="381"/>
      <c r="D19" s="381"/>
      <c r="E19" s="381"/>
      <c r="F19" s="938"/>
    </row>
    <row r="20" spans="1:9" ht="24.95" customHeight="1" x14ac:dyDescent="0.2">
      <c r="A20" s="671">
        <v>1</v>
      </c>
      <c r="B20" s="943" t="s">
        <v>258</v>
      </c>
      <c r="C20" s="381">
        <v>185</v>
      </c>
      <c r="D20" s="381">
        <v>184.08</v>
      </c>
      <c r="E20" s="381">
        <v>184.07999999999998</v>
      </c>
      <c r="F20" s="938">
        <f t="shared" ref="F20:F23" si="0">E20/D20*100</f>
        <v>99.999999999999986</v>
      </c>
    </row>
    <row r="21" spans="1:9" ht="24.95" customHeight="1" x14ac:dyDescent="0.2">
      <c r="A21" s="671">
        <v>2</v>
      </c>
      <c r="B21" s="958" t="s">
        <v>1031</v>
      </c>
      <c r="C21" s="381">
        <v>0</v>
      </c>
      <c r="D21" s="381">
        <v>13803.867000000002</v>
      </c>
      <c r="E21" s="381">
        <v>13803.867000000002</v>
      </c>
      <c r="F21" s="938">
        <f t="shared" si="0"/>
        <v>100</v>
      </c>
    </row>
    <row r="22" spans="1:9" ht="24.95" customHeight="1" x14ac:dyDescent="0.2">
      <c r="A22" s="671">
        <v>3</v>
      </c>
      <c r="B22" s="958" t="s">
        <v>1205</v>
      </c>
      <c r="C22" s="381">
        <v>0</v>
      </c>
      <c r="D22" s="381">
        <v>1051</v>
      </c>
      <c r="E22" s="381">
        <v>1051.105</v>
      </c>
      <c r="F22" s="938">
        <f t="shared" si="0"/>
        <v>100.00999048525215</v>
      </c>
    </row>
    <row r="23" spans="1:9" ht="24.95" customHeight="1" x14ac:dyDescent="0.2">
      <c r="A23" s="671">
        <v>4</v>
      </c>
      <c r="B23" s="958" t="s">
        <v>1206</v>
      </c>
      <c r="C23" s="381">
        <v>0</v>
      </c>
      <c r="D23" s="381">
        <v>1600</v>
      </c>
      <c r="E23" s="381">
        <v>1600</v>
      </c>
      <c r="F23" s="938">
        <f t="shared" si="0"/>
        <v>100</v>
      </c>
    </row>
    <row r="24" spans="1:9" ht="24.95" customHeight="1" x14ac:dyDescent="0.2">
      <c r="A24" s="671">
        <v>5</v>
      </c>
      <c r="B24" s="943" t="s">
        <v>1207</v>
      </c>
      <c r="C24" s="381">
        <v>0</v>
      </c>
      <c r="D24" s="381">
        <v>800</v>
      </c>
      <c r="E24" s="382">
        <v>800</v>
      </c>
      <c r="F24" s="938">
        <f>E24/D24*100</f>
        <v>100</v>
      </c>
    </row>
    <row r="25" spans="1:9" ht="24.95" customHeight="1" x14ac:dyDescent="0.2">
      <c r="A25" s="671">
        <v>6</v>
      </c>
      <c r="B25" s="958" t="s">
        <v>1208</v>
      </c>
      <c r="C25" s="382">
        <v>0</v>
      </c>
      <c r="D25" s="381">
        <v>320</v>
      </c>
      <c r="E25" s="381">
        <v>320</v>
      </c>
      <c r="F25" s="938">
        <f>E25/D25*100</f>
        <v>100</v>
      </c>
    </row>
    <row r="26" spans="1:9" ht="13.5" customHeight="1" x14ac:dyDescent="0.2">
      <c r="A26" s="379"/>
      <c r="B26" s="380"/>
      <c r="C26" s="381"/>
      <c r="D26" s="381"/>
      <c r="E26" s="381"/>
      <c r="F26" s="938"/>
    </row>
    <row r="27" spans="1:9" ht="17.25" customHeight="1" x14ac:dyDescent="0.25">
      <c r="A27" s="612" t="s">
        <v>13</v>
      </c>
      <c r="B27" s="604" t="s">
        <v>556</v>
      </c>
      <c r="C27" s="381"/>
      <c r="D27" s="381"/>
      <c r="E27" s="381"/>
      <c r="F27" s="938"/>
    </row>
    <row r="28" spans="1:9" ht="24.95" customHeight="1" x14ac:dyDescent="0.2">
      <c r="A28" s="613">
        <v>1</v>
      </c>
      <c r="B28" s="605" t="s">
        <v>1124</v>
      </c>
      <c r="C28" s="381">
        <v>0</v>
      </c>
      <c r="D28" s="381">
        <v>136</v>
      </c>
      <c r="E28" s="381">
        <v>135.666</v>
      </c>
      <c r="F28" s="938">
        <f t="shared" ref="F28" si="1">E28/D28*100</f>
        <v>99.754411764705878</v>
      </c>
    </row>
    <row r="29" spans="1:9" ht="15.75" customHeight="1" x14ac:dyDescent="0.2">
      <c r="A29" s="613"/>
      <c r="B29" s="670"/>
      <c r="C29" s="381"/>
      <c r="D29" s="381"/>
      <c r="E29" s="381"/>
      <c r="F29" s="938"/>
    </row>
    <row r="30" spans="1:9" ht="17.25" customHeight="1" x14ac:dyDescent="0.25">
      <c r="A30" s="612" t="s">
        <v>22</v>
      </c>
      <c r="B30" s="604" t="s">
        <v>633</v>
      </c>
      <c r="C30" s="381"/>
      <c r="D30" s="381"/>
      <c r="E30" s="381"/>
      <c r="F30" s="938"/>
    </row>
    <row r="31" spans="1:9" ht="24.95" customHeight="1" x14ac:dyDescent="0.2">
      <c r="A31" s="613">
        <v>1</v>
      </c>
      <c r="B31" s="605" t="s">
        <v>1209</v>
      </c>
      <c r="C31" s="381">
        <v>52000</v>
      </c>
      <c r="D31" s="381">
        <v>52806</v>
      </c>
      <c r="E31" s="381">
        <v>52806</v>
      </c>
      <c r="F31" s="938">
        <f>E31/D31*100</f>
        <v>100</v>
      </c>
    </row>
    <row r="32" spans="1:9" ht="24.95" customHeight="1" x14ac:dyDescent="0.2">
      <c r="A32" s="379">
        <v>2</v>
      </c>
      <c r="B32" s="380" t="s">
        <v>1210</v>
      </c>
      <c r="C32" s="381">
        <v>1335988</v>
      </c>
      <c r="D32" s="381">
        <v>1340116.08</v>
      </c>
      <c r="E32" s="382">
        <v>1340116.48</v>
      </c>
      <c r="F32" s="938">
        <f>E32/D32*100</f>
        <v>100.00002984816061</v>
      </c>
    </row>
    <row r="33" spans="1:9" ht="7.5" customHeight="1" x14ac:dyDescent="0.2">
      <c r="A33" s="379"/>
      <c r="B33" s="380"/>
      <c r="C33" s="381"/>
      <c r="D33" s="381"/>
      <c r="E33" s="381"/>
      <c r="F33" s="938"/>
    </row>
    <row r="34" spans="1:9" ht="7.5" customHeight="1" x14ac:dyDescent="0.2">
      <c r="A34" s="379"/>
      <c r="B34" s="380"/>
      <c r="C34" s="381"/>
      <c r="D34" s="381"/>
      <c r="E34" s="381"/>
      <c r="F34" s="938"/>
    </row>
    <row r="35" spans="1:9" ht="18.75" customHeight="1" x14ac:dyDescent="0.25">
      <c r="A35" s="633" t="s">
        <v>306</v>
      </c>
      <c r="B35" s="634" t="s">
        <v>1007</v>
      </c>
      <c r="C35" s="635">
        <f>SUM(C37:C42)</f>
        <v>0</v>
      </c>
      <c r="D35" s="939">
        <f>SUM(D37:D42)</f>
        <v>3278</v>
      </c>
      <c r="E35" s="939">
        <f>SUM(E37:E42)</f>
        <v>3277.5</v>
      </c>
      <c r="F35" s="940">
        <f>E35/D35*100</f>
        <v>99.984746796827324</v>
      </c>
      <c r="G35" s="10">
        <f>'5.tábla'!DS59-C35</f>
        <v>0</v>
      </c>
      <c r="H35" s="10">
        <f>'5.tábla'!DT59-D35</f>
        <v>0</v>
      </c>
      <c r="I35" s="10">
        <f>'5.tábla'!DU59-E35</f>
        <v>0</v>
      </c>
    </row>
    <row r="36" spans="1:9" ht="18.75" customHeight="1" x14ac:dyDescent="0.25">
      <c r="A36" s="928"/>
      <c r="B36" s="929"/>
      <c r="C36" s="927"/>
      <c r="D36" s="941"/>
      <c r="E36" s="941"/>
      <c r="F36" s="942"/>
      <c r="G36" s="10"/>
      <c r="H36" s="6"/>
      <c r="I36" s="10"/>
    </row>
    <row r="37" spans="1:9" ht="24.95" customHeight="1" x14ac:dyDescent="0.2">
      <c r="A37" s="671">
        <v>1</v>
      </c>
      <c r="B37" s="679" t="s">
        <v>557</v>
      </c>
      <c r="C37" s="381">
        <v>0</v>
      </c>
      <c r="D37" s="381">
        <v>0</v>
      </c>
      <c r="E37" s="381">
        <v>0</v>
      </c>
      <c r="F37" s="938">
        <v>0</v>
      </c>
      <c r="H37" s="6"/>
    </row>
    <row r="38" spans="1:9" ht="24.95" customHeight="1" x14ac:dyDescent="0.2">
      <c r="A38" s="671">
        <v>2</v>
      </c>
      <c r="B38" s="679" t="s">
        <v>1211</v>
      </c>
      <c r="C38" s="381">
        <v>0</v>
      </c>
      <c r="D38" s="381">
        <v>478</v>
      </c>
      <c r="E38" s="381">
        <v>477.5</v>
      </c>
      <c r="F38" s="938">
        <f t="shared" ref="F38:F40" si="2">E38/D38*100</f>
        <v>99.895397489539747</v>
      </c>
    </row>
    <row r="39" spans="1:9" ht="24.95" customHeight="1" x14ac:dyDescent="0.2">
      <c r="A39" s="671">
        <v>3</v>
      </c>
      <c r="B39" s="679" t="s">
        <v>1032</v>
      </c>
      <c r="C39" s="381">
        <v>0</v>
      </c>
      <c r="D39" s="381">
        <v>2700</v>
      </c>
      <c r="E39" s="381">
        <v>2700</v>
      </c>
      <c r="F39" s="938">
        <f t="shared" si="2"/>
        <v>100</v>
      </c>
    </row>
    <row r="40" spans="1:9" ht="24.95" customHeight="1" x14ac:dyDescent="0.2">
      <c r="A40" s="671">
        <v>4</v>
      </c>
      <c r="B40" s="679" t="s">
        <v>634</v>
      </c>
      <c r="C40" s="381">
        <v>0</v>
      </c>
      <c r="D40" s="381">
        <v>100</v>
      </c>
      <c r="E40" s="381">
        <v>100</v>
      </c>
      <c r="F40" s="938">
        <f t="shared" si="2"/>
        <v>100</v>
      </c>
    </row>
    <row r="41" spans="1:9" ht="14.25" customHeight="1" x14ac:dyDescent="0.2">
      <c r="A41" s="613"/>
      <c r="B41" s="696"/>
      <c r="C41" s="381"/>
      <c r="D41" s="381"/>
      <c r="E41" s="381"/>
      <c r="F41" s="938"/>
    </row>
    <row r="42" spans="1:9" ht="12" customHeight="1" x14ac:dyDescent="0.2">
      <c r="A42" s="613"/>
      <c r="B42" s="606"/>
      <c r="C42" s="381"/>
      <c r="D42" s="381"/>
      <c r="E42" s="381"/>
      <c r="F42" s="938"/>
    </row>
    <row r="43" spans="1:9" ht="11.25" customHeight="1" thickBot="1" x14ac:dyDescent="0.25">
      <c r="A43" s="379"/>
      <c r="B43" s="607"/>
      <c r="C43" s="381"/>
      <c r="D43" s="381"/>
      <c r="E43" s="381"/>
      <c r="F43" s="938"/>
    </row>
    <row r="44" spans="1:9" ht="29.25" customHeight="1" thickBot="1" x14ac:dyDescent="0.25">
      <c r="A44" s="614"/>
      <c r="B44" s="608" t="s">
        <v>36</v>
      </c>
      <c r="C44" s="352">
        <f>C17+C35</f>
        <v>1388173</v>
      </c>
      <c r="D44" s="352">
        <f>D17+D35</f>
        <v>1414095.027</v>
      </c>
      <c r="E44" s="352">
        <f>E17+E35</f>
        <v>1414094.6980000001</v>
      </c>
      <c r="F44" s="387">
        <f>E44/D44*100</f>
        <v>99.999976734236839</v>
      </c>
    </row>
    <row r="45" spans="1:9" ht="27.75" customHeight="1" x14ac:dyDescent="0.2">
      <c r="A45" s="383"/>
      <c r="B45" s="383"/>
      <c r="C45" s="383"/>
      <c r="D45" s="383"/>
      <c r="E45" s="383"/>
      <c r="F45" s="383"/>
    </row>
    <row r="46" spans="1:9" x14ac:dyDescent="0.2">
      <c r="A46" s="383"/>
      <c r="E46" s="10"/>
    </row>
    <row r="47" spans="1:9" x14ac:dyDescent="0.2">
      <c r="B47" s="150"/>
      <c r="C47" s="10"/>
      <c r="D47" s="10"/>
      <c r="E47" s="10"/>
    </row>
    <row r="48" spans="1:9" x14ac:dyDescent="0.2">
      <c r="B48" s="145"/>
      <c r="C48" s="10"/>
      <c r="D48" s="10"/>
      <c r="E48" s="10"/>
    </row>
    <row r="49" spans="2:5" x14ac:dyDescent="0.2">
      <c r="B49" s="150"/>
      <c r="C49" s="10"/>
      <c r="D49" s="10"/>
      <c r="E49" s="10"/>
    </row>
    <row r="50" spans="2:5" x14ac:dyDescent="0.2">
      <c r="B50" s="150"/>
      <c r="C50" s="10"/>
      <c r="D50" s="10"/>
      <c r="E50" s="10"/>
    </row>
  </sheetData>
  <mergeCells count="3">
    <mergeCell ref="A6:F6"/>
    <mergeCell ref="A7:F7"/>
    <mergeCell ref="A8:F8"/>
  </mergeCells>
  <phoneticPr fontId="0" type="noConversion"/>
  <printOptions horizontalCentered="1" verticalCentered="1"/>
  <pageMargins left="0" right="0" top="0.51181102362204722" bottom="0.62992125984251968" header="0.35433070866141736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7"/>
  <sheetViews>
    <sheetView zoomScale="85" zoomScaleNormal="80" workbookViewId="0">
      <selection activeCell="F2" sqref="F2"/>
    </sheetView>
  </sheetViews>
  <sheetFormatPr defaultRowHeight="12.75" x14ac:dyDescent="0.2"/>
  <cols>
    <col min="1" max="1" width="5.42578125" style="6" customWidth="1"/>
    <col min="2" max="2" width="50.7109375" style="6" customWidth="1"/>
    <col min="3" max="3" width="16.140625" style="6" customWidth="1"/>
    <col min="4" max="4" width="16.140625" style="32" customWidth="1"/>
    <col min="5" max="5" width="15.85546875" style="6" customWidth="1"/>
    <col min="6" max="6" width="10.42578125" style="6" customWidth="1"/>
    <col min="7" max="9" width="9.140625" style="6" hidden="1" customWidth="1"/>
    <col min="10" max="11" width="9.140625" style="6" customWidth="1"/>
    <col min="12" max="16384" width="9.140625" style="6"/>
  </cols>
  <sheetData>
    <row r="2" spans="1:28" x14ac:dyDescent="0.2">
      <c r="A2" s="13"/>
      <c r="B2" s="13"/>
      <c r="C2" s="21"/>
      <c r="D2" s="21"/>
      <c r="E2" s="21"/>
      <c r="F2" s="530" t="s">
        <v>1215</v>
      </c>
    </row>
    <row r="3" spans="1:28" x14ac:dyDescent="0.2">
      <c r="A3" s="13"/>
      <c r="B3" s="13"/>
      <c r="C3" s="21"/>
      <c r="D3" s="21"/>
      <c r="E3" s="320"/>
      <c r="F3" s="531" t="s">
        <v>57</v>
      </c>
    </row>
    <row r="4" spans="1:28" ht="36" hidden="1" customHeight="1" x14ac:dyDescent="0.2">
      <c r="A4" s="13"/>
      <c r="B4" s="13"/>
      <c r="C4" s="21"/>
      <c r="F4" s="640" t="s">
        <v>277</v>
      </c>
      <c r="G4" s="2347"/>
      <c r="H4" s="2347"/>
      <c r="I4" s="2347"/>
      <c r="J4" s="2347"/>
      <c r="K4" s="2347"/>
    </row>
    <row r="5" spans="1:28" ht="18.75" customHeight="1" x14ac:dyDescent="0.2">
      <c r="A5" s="2344" t="s">
        <v>1216</v>
      </c>
      <c r="B5" s="2344"/>
      <c r="C5" s="2344"/>
      <c r="D5" s="2344"/>
      <c r="E5" s="2344"/>
      <c r="F5" s="2344"/>
      <c r="G5" s="2347"/>
      <c r="H5" s="2347"/>
      <c r="I5" s="2347"/>
      <c r="J5" s="2347"/>
      <c r="K5" s="2347"/>
    </row>
    <row r="6" spans="1:28" ht="14.25" x14ac:dyDescent="0.2">
      <c r="A6" s="2345" t="s">
        <v>1008</v>
      </c>
      <c r="B6" s="2345"/>
      <c r="C6" s="2345"/>
      <c r="D6" s="2345"/>
      <c r="E6" s="2345"/>
      <c r="F6" s="2345"/>
      <c r="G6" s="2348"/>
      <c r="H6" s="2348"/>
      <c r="I6" s="2348"/>
      <c r="J6" s="2348"/>
      <c r="K6" s="2348"/>
    </row>
    <row r="7" spans="1:28" ht="20.25" customHeight="1" x14ac:dyDescent="0.25">
      <c r="A7" s="2346" t="s">
        <v>58</v>
      </c>
      <c r="B7" s="2346"/>
      <c r="C7" s="2346"/>
      <c r="D7" s="2346"/>
      <c r="E7" s="2346"/>
      <c r="F7" s="2346"/>
    </row>
    <row r="8" spans="1:28" ht="20.25" customHeight="1" x14ac:dyDescent="0.2">
      <c r="A8" s="900"/>
      <c r="B8" s="900"/>
      <c r="C8" s="900"/>
      <c r="D8" s="900"/>
      <c r="E8" s="900"/>
      <c r="F8" s="900"/>
    </row>
    <row r="9" spans="1:28" ht="13.5" thickBot="1" x14ac:dyDescent="0.25">
      <c r="A9" s="13"/>
      <c r="B9" s="22"/>
      <c r="C9" s="15"/>
    </row>
    <row r="10" spans="1:28" ht="13.5" customHeight="1" x14ac:dyDescent="0.2">
      <c r="A10" s="362"/>
      <c r="B10" s="944"/>
      <c r="C10" s="934" t="s">
        <v>1181</v>
      </c>
      <c r="D10" s="934" t="s">
        <v>1181</v>
      </c>
      <c r="E10" s="641"/>
      <c r="F10" s="99"/>
      <c r="G10" s="16" t="s">
        <v>1014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8" ht="13.5" customHeight="1" x14ac:dyDescent="0.2">
      <c r="A11" s="361" t="s">
        <v>689</v>
      </c>
      <c r="B11" s="945" t="s">
        <v>33</v>
      </c>
      <c r="C11" s="935" t="s">
        <v>38</v>
      </c>
      <c r="D11" s="935" t="s">
        <v>333</v>
      </c>
      <c r="E11" s="642" t="s">
        <v>196</v>
      </c>
      <c r="F11" s="100" t="s">
        <v>196</v>
      </c>
      <c r="G11" s="17" t="s">
        <v>511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ht="13.5" customHeight="1" thickBot="1" x14ac:dyDescent="0.25">
      <c r="A12" s="363"/>
      <c r="B12" s="946"/>
      <c r="C12" s="636" t="s">
        <v>8</v>
      </c>
      <c r="D12" s="636" t="s">
        <v>8</v>
      </c>
      <c r="E12" s="643"/>
      <c r="F12" s="101" t="s">
        <v>198</v>
      </c>
      <c r="G12" s="17" t="s">
        <v>38</v>
      </c>
      <c r="H12" s="6" t="s">
        <v>512</v>
      </c>
      <c r="I12" s="6" t="s">
        <v>513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ht="13.5" customHeight="1" x14ac:dyDescent="0.2">
      <c r="A13" s="876">
        <v>1</v>
      </c>
      <c r="B13" s="877">
        <v>2</v>
      </c>
      <c r="C13" s="926">
        <v>3</v>
      </c>
      <c r="D13" s="1008">
        <v>4</v>
      </c>
      <c r="E13" s="1010">
        <v>5</v>
      </c>
      <c r="F13" s="878">
        <v>6</v>
      </c>
      <c r="G13" s="695">
        <v>7</v>
      </c>
      <c r="H13" s="18">
        <v>8</v>
      </c>
      <c r="I13" s="18">
        <v>9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ht="31.5" customHeight="1" x14ac:dyDescent="0.2">
      <c r="A14" s="419" t="s">
        <v>134</v>
      </c>
      <c r="B14" s="56" t="s">
        <v>1009</v>
      </c>
      <c r="C14" s="93">
        <f>SUM(C16:C25)</f>
        <v>600</v>
      </c>
      <c r="D14" s="93">
        <f>SUM(D16:D25)</f>
        <v>58478</v>
      </c>
      <c r="E14" s="93">
        <f>SUM(E16:E25)</f>
        <v>57243.025000000001</v>
      </c>
      <c r="F14" s="143">
        <f>E14/D14*100</f>
        <v>97.888137419200376</v>
      </c>
      <c r="G14" s="8">
        <f>'4.tábla'!DS38-C14</f>
        <v>0</v>
      </c>
      <c r="H14" s="8">
        <f>'4.tábla'!DT38-D14</f>
        <v>0</v>
      </c>
      <c r="I14" s="8">
        <f>'4.tábla'!DU38-E14</f>
        <v>0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9.75" customHeight="1" x14ac:dyDescent="0.2">
      <c r="A15" s="25"/>
      <c r="B15" s="337"/>
      <c r="C15" s="339"/>
      <c r="D15" s="410"/>
      <c r="E15" s="410"/>
      <c r="F15" s="338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6.5" customHeight="1" x14ac:dyDescent="0.25">
      <c r="A16" s="344" t="s">
        <v>53</v>
      </c>
      <c r="B16" s="818" t="s">
        <v>436</v>
      </c>
      <c r="C16" s="340"/>
      <c r="D16" s="411"/>
      <c r="E16" s="411"/>
      <c r="F16" s="34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 ht="13.5" customHeight="1" x14ac:dyDescent="0.2">
      <c r="A17" s="328">
        <v>1</v>
      </c>
      <c r="B17" s="577" t="s">
        <v>83</v>
      </c>
      <c r="C17" s="340">
        <v>500</v>
      </c>
      <c r="D17" s="411">
        <v>500</v>
      </c>
      <c r="E17" s="411">
        <v>0</v>
      </c>
      <c r="F17" s="342">
        <f>E17/D17*100</f>
        <v>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ht="13.5" customHeight="1" x14ac:dyDescent="0.2">
      <c r="A18" s="328">
        <v>2</v>
      </c>
      <c r="B18" s="577" t="s">
        <v>612</v>
      </c>
      <c r="C18" s="340">
        <v>100</v>
      </c>
      <c r="D18" s="411">
        <v>100</v>
      </c>
      <c r="E18" s="411">
        <v>0</v>
      </c>
      <c r="F18" s="342">
        <f>E18/D18*100</f>
        <v>0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ht="8.25" customHeight="1" x14ac:dyDescent="0.2">
      <c r="A19" s="328"/>
      <c r="B19" s="577"/>
      <c r="C19" s="92"/>
      <c r="D19" s="412"/>
      <c r="E19" s="412"/>
      <c r="F19" s="34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 ht="12.75" customHeight="1" x14ac:dyDescent="0.25">
      <c r="A20" s="344" t="s">
        <v>54</v>
      </c>
      <c r="B20" s="819" t="s">
        <v>437</v>
      </c>
      <c r="C20" s="92"/>
      <c r="D20" s="412"/>
      <c r="E20" s="412"/>
      <c r="F20" s="34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</row>
    <row r="21" spans="1:28" ht="12.75" customHeight="1" x14ac:dyDescent="0.2">
      <c r="A21" s="328">
        <v>1</v>
      </c>
      <c r="B21" s="577" t="s">
        <v>1015</v>
      </c>
      <c r="C21" s="340">
        <v>0</v>
      </c>
      <c r="D21" s="411">
        <v>57243</v>
      </c>
      <c r="E21" s="412">
        <v>57243.025000000001</v>
      </c>
      <c r="F21" s="342">
        <f>E21/D21*100</f>
        <v>100.00004367346227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ht="8.25" customHeight="1" x14ac:dyDescent="0.2">
      <c r="A22" s="328"/>
      <c r="B22" s="577"/>
      <c r="C22" s="340"/>
      <c r="D22" s="411"/>
      <c r="E22" s="412"/>
      <c r="F22" s="34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</row>
    <row r="23" spans="1:28" ht="12.75" customHeight="1" x14ac:dyDescent="0.25">
      <c r="A23" s="344" t="s">
        <v>55</v>
      </c>
      <c r="B23" s="819" t="s">
        <v>1145</v>
      </c>
      <c r="C23" s="340"/>
      <c r="D23" s="411"/>
      <c r="E23" s="412"/>
      <c r="F23" s="34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8" ht="12.75" customHeight="1" x14ac:dyDescent="0.2">
      <c r="A24" s="328">
        <v>1</v>
      </c>
      <c r="B24" s="577" t="s">
        <v>1146</v>
      </c>
      <c r="C24" s="340">
        <v>0</v>
      </c>
      <c r="D24" s="411">
        <v>635</v>
      </c>
      <c r="E24" s="412">
        <v>0</v>
      </c>
      <c r="F24" s="342">
        <f>E24/D24*100</f>
        <v>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spans="1:28" ht="8.25" customHeight="1" x14ac:dyDescent="0.2">
      <c r="A25" s="26"/>
      <c r="B25" s="54"/>
      <c r="C25" s="92"/>
      <c r="D25" s="413"/>
      <c r="E25" s="413"/>
      <c r="F25" s="168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spans="1:28" ht="16.5" customHeight="1" x14ac:dyDescent="0.2">
      <c r="A26" s="156" t="s">
        <v>306</v>
      </c>
      <c r="B26" s="321" t="s">
        <v>1010</v>
      </c>
      <c r="C26" s="341">
        <f>SUM(C28:C67)</f>
        <v>440628</v>
      </c>
      <c r="D26" s="341">
        <f>SUM(D28:D67)</f>
        <v>698379</v>
      </c>
      <c r="E26" s="341">
        <f>SUM(E28:E67)</f>
        <v>187466.78100000002</v>
      </c>
      <c r="F26" s="414">
        <f>E26/D26*100</f>
        <v>26.84312973328236</v>
      </c>
      <c r="G26" s="8">
        <f>'4.tábla'!DS42-C26</f>
        <v>0</v>
      </c>
      <c r="H26" s="8">
        <f>'4.tábla'!DT42-D26</f>
        <v>0</v>
      </c>
      <c r="I26" s="8">
        <f>'4.tábla'!DU42-E26</f>
        <v>0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ht="7.5" customHeight="1" x14ac:dyDescent="0.2">
      <c r="A27" s="20"/>
      <c r="B27" s="55"/>
      <c r="C27" s="94"/>
      <c r="D27" s="415"/>
      <c r="E27" s="415"/>
      <c r="F27" s="416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ht="13.5" customHeight="1" x14ac:dyDescent="0.2">
      <c r="A28" s="344" t="s">
        <v>53</v>
      </c>
      <c r="B28" s="578" t="s">
        <v>91</v>
      </c>
      <c r="C28" s="95"/>
      <c r="D28" s="95"/>
      <c r="E28" s="95"/>
      <c r="F28" s="16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ht="13.5" customHeight="1" x14ac:dyDescent="0.2">
      <c r="A29" s="329">
        <v>1</v>
      </c>
      <c r="B29" s="331" t="s">
        <v>185</v>
      </c>
      <c r="C29" s="65">
        <v>2000</v>
      </c>
      <c r="D29" s="65">
        <v>2000</v>
      </c>
      <c r="E29" s="65">
        <v>2000</v>
      </c>
      <c r="F29" s="342">
        <f t="shared" ref="F29:F70" si="0">E29/D29*100</f>
        <v>100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 ht="13.5" customHeight="1" x14ac:dyDescent="0.2">
      <c r="A30" s="329">
        <v>2</v>
      </c>
      <c r="B30" s="331" t="s">
        <v>1100</v>
      </c>
      <c r="C30" s="65">
        <v>2000</v>
      </c>
      <c r="D30" s="65">
        <v>2000</v>
      </c>
      <c r="E30" s="65">
        <v>2000</v>
      </c>
      <c r="F30" s="342">
        <f t="shared" si="0"/>
        <v>100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ht="13.5" customHeight="1" x14ac:dyDescent="0.2">
      <c r="A31" s="329">
        <v>3</v>
      </c>
      <c r="B31" s="331" t="s">
        <v>183</v>
      </c>
      <c r="C31" s="65">
        <v>1800</v>
      </c>
      <c r="D31" s="65">
        <v>1800</v>
      </c>
      <c r="E31" s="65">
        <v>1800</v>
      </c>
      <c r="F31" s="342">
        <f t="shared" si="0"/>
        <v>100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ht="13.5" customHeight="1" x14ac:dyDescent="0.2">
      <c r="A32" s="329">
        <v>4</v>
      </c>
      <c r="B32" s="331" t="s">
        <v>30</v>
      </c>
      <c r="C32" s="65">
        <v>2000</v>
      </c>
      <c r="D32" s="65">
        <v>2000</v>
      </c>
      <c r="E32" s="65">
        <v>0</v>
      </c>
      <c r="F32" s="342">
        <f t="shared" si="0"/>
        <v>0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ht="13.5" customHeight="1" x14ac:dyDescent="0.2">
      <c r="A33" s="329">
        <v>5</v>
      </c>
      <c r="B33" s="331" t="s">
        <v>1101</v>
      </c>
      <c r="C33" s="65">
        <v>4000</v>
      </c>
      <c r="D33" s="65">
        <v>4000</v>
      </c>
      <c r="E33" s="65">
        <v>4000</v>
      </c>
      <c r="F33" s="342">
        <f t="shared" si="0"/>
        <v>100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ht="13.5" customHeight="1" x14ac:dyDescent="0.2">
      <c r="A34" s="329">
        <v>6</v>
      </c>
      <c r="B34" s="331" t="s">
        <v>1102</v>
      </c>
      <c r="C34" s="65">
        <v>900</v>
      </c>
      <c r="D34" s="65">
        <v>900</v>
      </c>
      <c r="E34" s="65">
        <v>900</v>
      </c>
      <c r="F34" s="342">
        <f t="shared" si="0"/>
        <v>100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3.5" customHeight="1" x14ac:dyDescent="0.2">
      <c r="A35" s="329">
        <v>7</v>
      </c>
      <c r="B35" s="331" t="s">
        <v>216</v>
      </c>
      <c r="C35" s="350">
        <v>2900</v>
      </c>
      <c r="D35" s="350">
        <v>2900</v>
      </c>
      <c r="E35" s="350">
        <v>2900</v>
      </c>
      <c r="F35" s="342">
        <f t="shared" si="0"/>
        <v>100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ht="13.5" customHeight="1" x14ac:dyDescent="0.2">
      <c r="A36" s="689">
        <v>8</v>
      </c>
      <c r="B36" s="331" t="s">
        <v>34</v>
      </c>
      <c r="C36" s="350">
        <v>3500</v>
      </c>
      <c r="D36" s="350">
        <v>3500</v>
      </c>
      <c r="E36" s="350">
        <v>3500</v>
      </c>
      <c r="F36" s="342">
        <f t="shared" si="0"/>
        <v>100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 ht="13.5" customHeight="1" x14ac:dyDescent="0.2">
      <c r="A37" s="329">
        <v>9</v>
      </c>
      <c r="B37" s="331" t="s">
        <v>186</v>
      </c>
      <c r="C37" s="350">
        <v>700</v>
      </c>
      <c r="D37" s="350">
        <v>700</v>
      </c>
      <c r="E37" s="350">
        <v>700</v>
      </c>
      <c r="F37" s="342">
        <f t="shared" si="0"/>
        <v>100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ht="13.5" customHeight="1" x14ac:dyDescent="0.2">
      <c r="A38" s="329">
        <v>10</v>
      </c>
      <c r="B38" s="331" t="s">
        <v>1103</v>
      </c>
      <c r="C38" s="350">
        <v>2600</v>
      </c>
      <c r="D38" s="350">
        <v>2600</v>
      </c>
      <c r="E38" s="350">
        <v>2600</v>
      </c>
      <c r="F38" s="342">
        <f t="shared" si="0"/>
        <v>100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 ht="13.5" customHeight="1" x14ac:dyDescent="0.2">
      <c r="A39" s="329">
        <v>11</v>
      </c>
      <c r="B39" s="331" t="s">
        <v>1104</v>
      </c>
      <c r="C39" s="350">
        <v>1000</v>
      </c>
      <c r="D39" s="350">
        <v>1000</v>
      </c>
      <c r="E39" s="350">
        <v>1000</v>
      </c>
      <c r="F39" s="342">
        <f t="shared" si="0"/>
        <v>100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 ht="13.5" customHeight="1" x14ac:dyDescent="0.2">
      <c r="A40" s="329">
        <v>12</v>
      </c>
      <c r="B40" s="331" t="s">
        <v>440</v>
      </c>
      <c r="C40" s="350">
        <v>2000</v>
      </c>
      <c r="D40" s="350">
        <v>2000</v>
      </c>
      <c r="E40" s="350">
        <v>2000</v>
      </c>
      <c r="F40" s="342">
        <f t="shared" si="0"/>
        <v>100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spans="1:28" ht="9" customHeight="1" x14ac:dyDescent="0.2">
      <c r="A41" s="329"/>
      <c r="B41" s="332"/>
      <c r="C41" s="407"/>
      <c r="D41" s="350"/>
      <c r="E41" s="350"/>
      <c r="F41" s="34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ht="13.5" customHeight="1" x14ac:dyDescent="0.2">
      <c r="A42" s="344" t="s">
        <v>54</v>
      </c>
      <c r="B42" s="408" t="s">
        <v>92</v>
      </c>
      <c r="C42" s="409"/>
      <c r="D42" s="349"/>
      <c r="E42" s="349"/>
      <c r="F42" s="34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ht="13.5" customHeight="1" x14ac:dyDescent="0.2">
      <c r="A43" s="689">
        <v>1</v>
      </c>
      <c r="B43" s="331" t="s">
        <v>1105</v>
      </c>
      <c r="C43" s="409">
        <v>1000</v>
      </c>
      <c r="D43" s="349">
        <v>1000</v>
      </c>
      <c r="E43" s="349">
        <v>1000</v>
      </c>
      <c r="F43" s="342">
        <f t="shared" si="0"/>
        <v>100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 ht="13.5" customHeight="1" x14ac:dyDescent="0.2">
      <c r="A44" s="329">
        <v>2</v>
      </c>
      <c r="B44" s="331" t="s">
        <v>1106</v>
      </c>
      <c r="C44" s="409">
        <v>1000</v>
      </c>
      <c r="D44" s="349">
        <v>1000</v>
      </c>
      <c r="E44" s="349">
        <v>1000</v>
      </c>
      <c r="F44" s="342">
        <f t="shared" si="0"/>
        <v>100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ht="13.5" customHeight="1" x14ac:dyDescent="0.2">
      <c r="A45" s="329">
        <v>3</v>
      </c>
      <c r="B45" s="331" t="s">
        <v>749</v>
      </c>
      <c r="C45" s="349">
        <v>1600</v>
      </c>
      <c r="D45" s="349">
        <v>1600</v>
      </c>
      <c r="E45" s="349">
        <v>1216.3040000000001</v>
      </c>
      <c r="F45" s="342">
        <f t="shared" si="0"/>
        <v>76.019000000000005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ht="13.5" customHeight="1" x14ac:dyDescent="0.2">
      <c r="A46" s="329">
        <v>4</v>
      </c>
      <c r="B46" s="331" t="s">
        <v>152</v>
      </c>
      <c r="C46" s="349">
        <v>2000</v>
      </c>
      <c r="D46" s="349">
        <v>2000</v>
      </c>
      <c r="E46" s="349">
        <v>2000</v>
      </c>
      <c r="F46" s="342">
        <f t="shared" si="0"/>
        <v>100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ht="9.75" customHeight="1" x14ac:dyDescent="0.2">
      <c r="A47" s="329"/>
      <c r="B47" s="346"/>
      <c r="C47" s="349"/>
      <c r="D47" s="349"/>
      <c r="E47" s="349"/>
      <c r="F47" s="34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 ht="13.5" customHeight="1" x14ac:dyDescent="0.2">
      <c r="A48" s="344" t="s">
        <v>55</v>
      </c>
      <c r="B48" s="345" t="s">
        <v>362</v>
      </c>
      <c r="C48" s="359"/>
      <c r="D48" s="417"/>
      <c r="E48" s="359"/>
      <c r="F48" s="34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28" ht="13.5" customHeight="1" x14ac:dyDescent="0.2">
      <c r="A49" s="328">
        <v>1</v>
      </c>
      <c r="B49" s="331" t="s">
        <v>326</v>
      </c>
      <c r="C49" s="349">
        <v>1000</v>
      </c>
      <c r="D49" s="349">
        <v>1000</v>
      </c>
      <c r="E49" s="349">
        <v>1000</v>
      </c>
      <c r="F49" s="342">
        <f t="shared" si="0"/>
        <v>100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spans="1:28" ht="13.5" customHeight="1" x14ac:dyDescent="0.2">
      <c r="A50" s="328">
        <v>2</v>
      </c>
      <c r="B50" s="331" t="s">
        <v>25</v>
      </c>
      <c r="C50" s="349">
        <v>4000</v>
      </c>
      <c r="D50" s="349">
        <v>84000</v>
      </c>
      <c r="E50" s="349">
        <v>84000</v>
      </c>
      <c r="F50" s="342">
        <f t="shared" si="0"/>
        <v>100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1:28" ht="13.5" customHeight="1" x14ac:dyDescent="0.2">
      <c r="A51" s="328">
        <v>3</v>
      </c>
      <c r="B51" s="576" t="s">
        <v>1107</v>
      </c>
      <c r="C51" s="349">
        <v>1500</v>
      </c>
      <c r="D51" s="349">
        <v>1500</v>
      </c>
      <c r="E51" s="349">
        <v>1500</v>
      </c>
      <c r="F51" s="342">
        <f t="shared" si="0"/>
        <v>100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ht="13.5" customHeight="1" x14ac:dyDescent="0.2">
      <c r="A52" s="329">
        <v>4</v>
      </c>
      <c r="B52" s="579" t="s">
        <v>1108</v>
      </c>
      <c r="C52" s="349">
        <v>500</v>
      </c>
      <c r="D52" s="349">
        <v>500</v>
      </c>
      <c r="E52" s="349">
        <v>500</v>
      </c>
      <c r="F52" s="342">
        <f t="shared" si="0"/>
        <v>100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spans="1:28" ht="13.5" customHeight="1" x14ac:dyDescent="0.2">
      <c r="A53" s="328">
        <v>5</v>
      </c>
      <c r="B53" s="583" t="s">
        <v>1213</v>
      </c>
      <c r="C53" s="349">
        <v>2000</v>
      </c>
      <c r="D53" s="349">
        <v>2000</v>
      </c>
      <c r="E53" s="349">
        <v>2000</v>
      </c>
      <c r="F53" s="342">
        <f t="shared" si="0"/>
        <v>100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 ht="13.5" customHeight="1" x14ac:dyDescent="0.2">
      <c r="A54" s="328">
        <v>6</v>
      </c>
      <c r="B54" s="583" t="s">
        <v>1214</v>
      </c>
      <c r="C54" s="349">
        <v>0</v>
      </c>
      <c r="D54" s="349">
        <v>2500</v>
      </c>
      <c r="E54" s="349">
        <v>0</v>
      </c>
      <c r="F54" s="342">
        <f t="shared" si="0"/>
        <v>0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 ht="13.5" customHeight="1" x14ac:dyDescent="0.2">
      <c r="A55" s="328">
        <v>7</v>
      </c>
      <c r="B55" s="331" t="s">
        <v>365</v>
      </c>
      <c r="C55" s="349">
        <v>0</v>
      </c>
      <c r="D55" s="349">
        <v>44357</v>
      </c>
      <c r="E55" s="349">
        <v>17873.605</v>
      </c>
      <c r="F55" s="342">
        <f t="shared" si="0"/>
        <v>40.29489144892576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spans="1:28" ht="13.5" customHeight="1" x14ac:dyDescent="0.2">
      <c r="A56" s="328">
        <v>8</v>
      </c>
      <c r="B56" s="331" t="s">
        <v>1016</v>
      </c>
      <c r="C56" s="349">
        <v>0</v>
      </c>
      <c r="D56" s="349">
        <v>2881</v>
      </c>
      <c r="E56" s="349">
        <v>0</v>
      </c>
      <c r="F56" s="342">
        <f t="shared" si="0"/>
        <v>0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spans="1:28" ht="13.5" customHeight="1" x14ac:dyDescent="0.2">
      <c r="A57" s="328">
        <v>9</v>
      </c>
      <c r="B57" s="331" t="s">
        <v>1017</v>
      </c>
      <c r="C57" s="349">
        <v>0</v>
      </c>
      <c r="D57" s="349">
        <v>86085</v>
      </c>
      <c r="E57" s="349">
        <v>21967.262000000002</v>
      </c>
      <c r="F57" s="342">
        <f t="shared" si="0"/>
        <v>25.51810652262299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1:28" ht="13.5" customHeight="1" x14ac:dyDescent="0.2">
      <c r="A58" s="328">
        <v>10</v>
      </c>
      <c r="B58" s="331" t="s">
        <v>1147</v>
      </c>
      <c r="C58" s="349"/>
      <c r="D58" s="349">
        <v>1420</v>
      </c>
      <c r="E58" s="349">
        <v>1000</v>
      </c>
      <c r="F58" s="342">
        <f t="shared" si="0"/>
        <v>70.422535211267601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1:28" ht="13.5" customHeight="1" x14ac:dyDescent="0.2">
      <c r="A59" s="328">
        <v>11</v>
      </c>
      <c r="B59" s="331" t="s">
        <v>1109</v>
      </c>
      <c r="C59" s="349">
        <v>0</v>
      </c>
      <c r="D59" s="349">
        <v>788</v>
      </c>
      <c r="E59" s="349">
        <v>0</v>
      </c>
      <c r="F59" s="342">
        <f t="shared" si="0"/>
        <v>0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0" spans="1:28" ht="13.5" customHeight="1" x14ac:dyDescent="0.2">
      <c r="A60" s="328">
        <v>12</v>
      </c>
      <c r="B60" s="331" t="s">
        <v>1052</v>
      </c>
      <c r="C60" s="349"/>
      <c r="D60" s="349">
        <v>145</v>
      </c>
      <c r="E60" s="349">
        <v>144.61000000000001</v>
      </c>
      <c r="F60" s="342">
        <f t="shared" si="0"/>
        <v>99.731034482758631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spans="1:28" ht="9.75" customHeight="1" x14ac:dyDescent="0.2">
      <c r="A61" s="328"/>
      <c r="B61" s="2"/>
      <c r="C61" s="351"/>
      <c r="D61" s="351"/>
      <c r="E61" s="351"/>
      <c r="F61" s="342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</row>
    <row r="62" spans="1:28" ht="13.5" customHeight="1" x14ac:dyDescent="0.2">
      <c r="A62" s="344" t="s">
        <v>56</v>
      </c>
      <c r="B62" s="347" t="s">
        <v>93</v>
      </c>
      <c r="C62" s="349"/>
      <c r="D62" s="349"/>
      <c r="E62" s="349"/>
      <c r="F62" s="34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spans="1:28" ht="13.5" customHeight="1" x14ac:dyDescent="0.2">
      <c r="A63" s="328">
        <v>1</v>
      </c>
      <c r="B63" s="580" t="s">
        <v>751</v>
      </c>
      <c r="C63" s="65">
        <v>4000</v>
      </c>
      <c r="D63" s="65">
        <v>4600</v>
      </c>
      <c r="E63" s="65">
        <v>600</v>
      </c>
      <c r="F63" s="342">
        <f t="shared" si="0"/>
        <v>13.043478260869565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</row>
    <row r="64" spans="1:28" ht="13.5" customHeight="1" x14ac:dyDescent="0.2">
      <c r="A64" s="328">
        <v>2</v>
      </c>
      <c r="B64" s="580" t="s">
        <v>1018</v>
      </c>
      <c r="C64" s="65">
        <v>0</v>
      </c>
      <c r="D64" s="65">
        <v>38975</v>
      </c>
      <c r="E64" s="65">
        <v>28265</v>
      </c>
      <c r="F64" s="342">
        <f t="shared" si="0"/>
        <v>72.520846696600387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1:28" ht="9.75" customHeight="1" x14ac:dyDescent="0.2">
      <c r="A65" s="328"/>
      <c r="B65" s="348"/>
      <c r="C65" s="65"/>
      <c r="D65" s="65"/>
      <c r="E65" s="65"/>
      <c r="F65" s="342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spans="1:28" ht="13.5" customHeight="1" x14ac:dyDescent="0.2">
      <c r="A66" s="344" t="s">
        <v>378</v>
      </c>
      <c r="B66" s="581" t="s">
        <v>379</v>
      </c>
      <c r="C66" s="350"/>
      <c r="D66" s="350"/>
      <c r="E66" s="350"/>
      <c r="F66" s="342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spans="1:28" ht="13.5" customHeight="1" x14ac:dyDescent="0.2">
      <c r="A67" s="328">
        <v>2</v>
      </c>
      <c r="B67" s="2" t="s">
        <v>1125</v>
      </c>
      <c r="C67" s="350">
        <v>396628</v>
      </c>
      <c r="D67" s="350">
        <v>396628</v>
      </c>
      <c r="E67" s="350">
        <v>0</v>
      </c>
      <c r="F67" s="342">
        <f t="shared" si="0"/>
        <v>0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 ht="9.75" customHeight="1" x14ac:dyDescent="0.2">
      <c r="A68" s="344"/>
      <c r="B68" s="582"/>
      <c r="C68" s="350"/>
      <c r="D68" s="350"/>
      <c r="E68" s="350"/>
      <c r="F68" s="342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ht="13.5" customHeight="1" thickBot="1" x14ac:dyDescent="0.25">
      <c r="A69" s="328"/>
      <c r="B69" s="2"/>
      <c r="C69" s="65"/>
      <c r="D69" s="65"/>
      <c r="E69" s="65"/>
      <c r="F69" s="34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0" spans="1:28" ht="18" customHeight="1" thickBot="1" x14ac:dyDescent="0.3">
      <c r="A70" s="353"/>
      <c r="B70" s="354" t="s">
        <v>36</v>
      </c>
      <c r="C70" s="355">
        <f>C14+C26</f>
        <v>441228</v>
      </c>
      <c r="D70" s="355">
        <f>D14+D26</f>
        <v>756857</v>
      </c>
      <c r="E70" s="355">
        <f>E14+E26</f>
        <v>244709.80600000001</v>
      </c>
      <c r="F70" s="418">
        <f t="shared" si="0"/>
        <v>32.332370051409974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spans="1:28" ht="19.5" customHeight="1" x14ac:dyDescent="0.2">
      <c r="B71" s="383"/>
    </row>
    <row r="72" spans="1:28" ht="8.25" customHeight="1" x14ac:dyDescent="0.2"/>
    <row r="74" spans="1:28" x14ac:dyDescent="0.2">
      <c r="B74" s="145"/>
      <c r="C74" s="8"/>
      <c r="D74" s="8"/>
      <c r="E74" s="8"/>
    </row>
    <row r="75" spans="1:28" x14ac:dyDescent="0.2">
      <c r="B75" s="145"/>
      <c r="C75" s="8"/>
      <c r="D75" s="8"/>
      <c r="E75" s="8"/>
    </row>
    <row r="76" spans="1:28" x14ac:dyDescent="0.2">
      <c r="B76" s="145"/>
      <c r="C76" s="8"/>
      <c r="D76" s="8"/>
      <c r="E76" s="8"/>
    </row>
    <row r="77" spans="1:28" x14ac:dyDescent="0.2">
      <c r="B77" s="145"/>
      <c r="C77" s="8"/>
      <c r="D77" s="8"/>
      <c r="E77" s="8"/>
    </row>
  </sheetData>
  <mergeCells count="6">
    <mergeCell ref="A5:F5"/>
    <mergeCell ref="A6:F6"/>
    <mergeCell ref="A7:F7"/>
    <mergeCell ref="G4:K4"/>
    <mergeCell ref="G5:K5"/>
    <mergeCell ref="G6:K6"/>
  </mergeCells>
  <phoneticPr fontId="0" type="noConversion"/>
  <printOptions horizontalCentered="1" verticalCentered="1"/>
  <pageMargins left="0.15748031496062992" right="0.23622047244094491" top="0.47" bottom="0.36" header="0.16" footer="0.23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zoomScale="80" zoomScaleNormal="80" zoomScaleSheetLayoutView="75" workbookViewId="0">
      <selection activeCell="F3" sqref="F3"/>
    </sheetView>
  </sheetViews>
  <sheetFormatPr defaultRowHeight="12.75" x14ac:dyDescent="0.2"/>
  <cols>
    <col min="1" max="1" width="6.7109375" style="13" customWidth="1"/>
    <col min="2" max="2" width="65.7109375" style="13" customWidth="1"/>
    <col min="3" max="5" width="11.7109375" style="13" customWidth="1"/>
    <col min="6" max="6" width="10" style="13" customWidth="1"/>
    <col min="7" max="9" width="9.140625" style="13" hidden="1" customWidth="1"/>
    <col min="10" max="10" width="9.140625" style="13" customWidth="1"/>
    <col min="11" max="16384" width="9.140625" style="13"/>
  </cols>
  <sheetData>
    <row r="2" spans="1:6" x14ac:dyDescent="0.2">
      <c r="A2" s="19"/>
      <c r="C2" s="48"/>
      <c r="D2" s="2351"/>
      <c r="E2" s="2351"/>
    </row>
    <row r="3" spans="1:6" x14ac:dyDescent="0.2">
      <c r="C3" s="48"/>
      <c r="D3" s="48"/>
      <c r="F3" s="530" t="s">
        <v>1221</v>
      </c>
    </row>
    <row r="4" spans="1:6" x14ac:dyDescent="0.2">
      <c r="C4" s="48"/>
      <c r="D4" s="48"/>
      <c r="F4" s="531" t="s">
        <v>57</v>
      </c>
    </row>
    <row r="5" spans="1:6" ht="15.75" hidden="1" x14ac:dyDescent="0.25">
      <c r="A5" s="14"/>
      <c r="B5" s="14"/>
      <c r="C5" s="14"/>
      <c r="D5" s="14"/>
      <c r="F5" s="150" t="s">
        <v>645</v>
      </c>
    </row>
    <row r="6" spans="1:6" ht="15.75" x14ac:dyDescent="0.25">
      <c r="A6" s="14"/>
      <c r="B6" s="14"/>
      <c r="C6" s="14"/>
      <c r="D6" s="14"/>
    </row>
    <row r="7" spans="1:6" ht="15.75" x14ac:dyDescent="0.25">
      <c r="A7" s="2339"/>
      <c r="B7" s="2350"/>
      <c r="C7" s="51"/>
      <c r="D7" s="51"/>
    </row>
    <row r="8" spans="1:6" ht="15.75" x14ac:dyDescent="0.25">
      <c r="A8" s="49"/>
      <c r="B8" s="49"/>
      <c r="C8" s="14"/>
      <c r="D8" s="14"/>
    </row>
    <row r="9" spans="1:6" ht="18.75" x14ac:dyDescent="0.3">
      <c r="A9" s="2343" t="s">
        <v>1222</v>
      </c>
      <c r="B9" s="2343"/>
      <c r="C9" s="2343"/>
      <c r="D9" s="2343"/>
      <c r="E9" s="2343"/>
      <c r="F9" s="2343"/>
    </row>
    <row r="10" spans="1:6" ht="18.75" x14ac:dyDescent="0.3">
      <c r="A10" s="2343" t="s">
        <v>1011</v>
      </c>
      <c r="B10" s="2343"/>
      <c r="C10" s="2343"/>
      <c r="D10" s="2343"/>
      <c r="E10" s="2343"/>
      <c r="F10" s="2343"/>
    </row>
    <row r="11" spans="1:6" ht="18.75" x14ac:dyDescent="0.3">
      <c r="A11" s="2343"/>
      <c r="B11" s="2343"/>
      <c r="C11" s="2343"/>
      <c r="D11" s="2343"/>
      <c r="E11" s="2343"/>
      <c r="F11" s="2343"/>
    </row>
    <row r="12" spans="1:6" ht="18.75" x14ac:dyDescent="0.3">
      <c r="A12" s="2349" t="s">
        <v>58</v>
      </c>
      <c r="B12" s="2349"/>
      <c r="C12" s="2349"/>
      <c r="D12" s="2349"/>
      <c r="E12" s="2349"/>
      <c r="F12" s="2349"/>
    </row>
    <row r="13" spans="1:6" ht="15.75" x14ac:dyDescent="0.25">
      <c r="A13" s="47"/>
      <c r="B13" s="51"/>
      <c r="C13" s="51"/>
      <c r="D13" s="51"/>
    </row>
    <row r="14" spans="1:6" ht="15.75" x14ac:dyDescent="0.25">
      <c r="A14" s="47"/>
      <c r="B14" s="51"/>
      <c r="C14" s="51"/>
      <c r="D14" s="51"/>
    </row>
    <row r="15" spans="1:6" ht="15.75" x14ac:dyDescent="0.25">
      <c r="A15" s="49"/>
      <c r="B15" s="50"/>
      <c r="C15" s="52"/>
      <c r="D15" s="52"/>
    </row>
    <row r="16" spans="1:6" ht="15.75" x14ac:dyDescent="0.25">
      <c r="A16" s="49"/>
      <c r="B16" s="49"/>
      <c r="C16" s="14"/>
      <c r="D16" s="14"/>
    </row>
    <row r="17" spans="1:9" ht="16.5" thickBot="1" x14ac:dyDescent="0.3">
      <c r="A17" s="14"/>
      <c r="B17" s="14" t="s">
        <v>571</v>
      </c>
    </row>
    <row r="18" spans="1:9" ht="15.75" x14ac:dyDescent="0.25">
      <c r="A18" s="364"/>
      <c r="B18" s="42"/>
      <c r="C18" s="868" t="s">
        <v>1181</v>
      </c>
      <c r="D18" s="868" t="s">
        <v>1181</v>
      </c>
      <c r="E18" s="641"/>
      <c r="F18" s="99"/>
      <c r="G18" s="16" t="s">
        <v>1013</v>
      </c>
      <c r="H18" s="6"/>
      <c r="I18" s="6"/>
    </row>
    <row r="19" spans="1:9" ht="15.75" x14ac:dyDescent="0.25">
      <c r="A19" s="366" t="s">
        <v>691</v>
      </c>
      <c r="B19" s="43" t="s">
        <v>33</v>
      </c>
      <c r="C19" s="947" t="s">
        <v>38</v>
      </c>
      <c r="D19" s="947" t="s">
        <v>333</v>
      </c>
      <c r="E19" s="644" t="s">
        <v>196</v>
      </c>
      <c r="F19" s="68" t="s">
        <v>196</v>
      </c>
      <c r="G19" s="17" t="s">
        <v>511</v>
      </c>
      <c r="H19" s="6"/>
      <c r="I19" s="6"/>
    </row>
    <row r="20" spans="1:9" ht="16.5" thickBot="1" x14ac:dyDescent="0.3">
      <c r="A20" s="365"/>
      <c r="B20" s="44"/>
      <c r="C20" s="948" t="s">
        <v>8</v>
      </c>
      <c r="D20" s="948" t="s">
        <v>8</v>
      </c>
      <c r="E20" s="645"/>
      <c r="F20" s="72" t="s">
        <v>198</v>
      </c>
      <c r="G20" s="17" t="s">
        <v>38</v>
      </c>
      <c r="H20" s="6" t="s">
        <v>512</v>
      </c>
      <c r="I20" s="6" t="s">
        <v>513</v>
      </c>
    </row>
    <row r="21" spans="1:9" ht="15.75" x14ac:dyDescent="0.2">
      <c r="A21" s="874">
        <v>1</v>
      </c>
      <c r="B21" s="879">
        <v>2</v>
      </c>
      <c r="C21" s="926">
        <v>3</v>
      </c>
      <c r="D21" s="1008">
        <v>4</v>
      </c>
      <c r="E21" s="1009">
        <v>5</v>
      </c>
      <c r="F21" s="880">
        <v>6</v>
      </c>
      <c r="G21" s="695">
        <v>7</v>
      </c>
      <c r="H21" s="18">
        <v>8</v>
      </c>
      <c r="I21" s="18">
        <v>9</v>
      </c>
    </row>
    <row r="22" spans="1:9" x14ac:dyDescent="0.2">
      <c r="A22" s="26"/>
      <c r="B22" s="61"/>
      <c r="C22" s="77"/>
      <c r="D22" s="152"/>
      <c r="E22" s="152"/>
      <c r="F22" s="154"/>
    </row>
    <row r="23" spans="1:9" ht="25.5" customHeight="1" x14ac:dyDescent="0.25">
      <c r="A23" s="36" t="s">
        <v>134</v>
      </c>
      <c r="B23" s="356" t="s">
        <v>1012</v>
      </c>
      <c r="C23" s="357">
        <f>SUM(C25:C28)</f>
        <v>0</v>
      </c>
      <c r="D23" s="357">
        <f>SUM(D25:D28)</f>
        <v>304449.10499999998</v>
      </c>
      <c r="E23" s="357">
        <f>SUM(E25:E28)</f>
        <v>304449.10499999998</v>
      </c>
      <c r="F23" s="586">
        <v>0</v>
      </c>
      <c r="G23" s="10">
        <f>'5.tábla'!DS66-C23</f>
        <v>0</v>
      </c>
      <c r="H23" s="10">
        <f>'5.tábla'!DT66-D23</f>
        <v>0.1000000000349246</v>
      </c>
      <c r="I23" s="10">
        <f>'5.tábla'!DU66-E23</f>
        <v>0.1000000000349246</v>
      </c>
    </row>
    <row r="24" spans="1:9" ht="15" customHeight="1" x14ac:dyDescent="0.25">
      <c r="A24" s="38"/>
      <c r="B24" s="73"/>
      <c r="C24" s="46"/>
      <c r="D24" s="75"/>
      <c r="E24" s="75"/>
      <c r="F24" s="384"/>
    </row>
    <row r="25" spans="1:9" ht="50.1" customHeight="1" x14ac:dyDescent="0.2">
      <c r="A25" s="949">
        <v>1</v>
      </c>
      <c r="B25" s="680" t="s">
        <v>1148</v>
      </c>
      <c r="C25" s="690">
        <v>0</v>
      </c>
      <c r="D25" s="690">
        <f>15184.594-0.1</f>
        <v>15184.493999999999</v>
      </c>
      <c r="E25" s="690">
        <f>15184.594-0.1</f>
        <v>15184.493999999999</v>
      </c>
      <c r="F25" s="691">
        <f>E25/D25*100</f>
        <v>100</v>
      </c>
    </row>
    <row r="26" spans="1:9" ht="50.1" customHeight="1" x14ac:dyDescent="0.2">
      <c r="A26" s="949">
        <v>2</v>
      </c>
      <c r="B26" s="680" t="s">
        <v>1217</v>
      </c>
      <c r="C26" s="690">
        <v>0</v>
      </c>
      <c r="D26" s="690">
        <v>71422.611000000004</v>
      </c>
      <c r="E26" s="690">
        <v>71422.611000000004</v>
      </c>
      <c r="F26" s="691">
        <f>E26/D26*100</f>
        <v>100</v>
      </c>
    </row>
    <row r="27" spans="1:9" ht="50.1" customHeight="1" x14ac:dyDescent="0.2">
      <c r="A27" s="949">
        <v>3</v>
      </c>
      <c r="B27" s="680" t="s">
        <v>1218</v>
      </c>
      <c r="C27" s="690">
        <v>0</v>
      </c>
      <c r="D27" s="690">
        <v>1500</v>
      </c>
      <c r="E27" s="690">
        <v>1500</v>
      </c>
      <c r="F27" s="691">
        <f>E27/D27*100</f>
        <v>100</v>
      </c>
    </row>
    <row r="28" spans="1:9" ht="50.1" customHeight="1" x14ac:dyDescent="0.2">
      <c r="A28" s="949">
        <v>4</v>
      </c>
      <c r="B28" s="680" t="s">
        <v>1219</v>
      </c>
      <c r="C28" s="690">
        <v>0</v>
      </c>
      <c r="D28" s="690">
        <v>216342</v>
      </c>
      <c r="E28" s="690">
        <v>216342</v>
      </c>
      <c r="F28" s="691">
        <f>E28/D28*100</f>
        <v>100</v>
      </c>
    </row>
    <row r="29" spans="1:9" ht="42.75" customHeight="1" x14ac:dyDescent="0.25">
      <c r="A29" s="584" t="s">
        <v>306</v>
      </c>
      <c r="B29" s="585" t="s">
        <v>564</v>
      </c>
      <c r="C29" s="357">
        <f>SUM(C31:C31)</f>
        <v>0</v>
      </c>
      <c r="D29" s="357">
        <f>SUM(D31:D31)</f>
        <v>31900.55</v>
      </c>
      <c r="E29" s="357">
        <f>SUM(E31:E31)</f>
        <v>31900.55</v>
      </c>
      <c r="F29" s="586">
        <f>E29/D29*100</f>
        <v>100</v>
      </c>
      <c r="G29" s="10">
        <f>'5.tábla'!DS85-C29</f>
        <v>0</v>
      </c>
      <c r="H29" s="10">
        <f>'5.tábla'!DT85-D29</f>
        <v>0</v>
      </c>
      <c r="I29" s="10">
        <f>'5.tábla'!DU85-E29</f>
        <v>0</v>
      </c>
    </row>
    <row r="30" spans="1:9" ht="15" customHeight="1" x14ac:dyDescent="0.25">
      <c r="A30" s="618"/>
      <c r="B30" s="615"/>
      <c r="C30" s="616"/>
      <c r="D30" s="616"/>
      <c r="E30" s="616"/>
      <c r="F30" s="617"/>
    </row>
    <row r="31" spans="1:9" ht="32.25" customHeight="1" x14ac:dyDescent="0.2">
      <c r="A31" s="949">
        <v>1</v>
      </c>
      <c r="B31" s="680" t="s">
        <v>1220</v>
      </c>
      <c r="C31" s="690">
        <v>0</v>
      </c>
      <c r="D31" s="690">
        <v>31900.55</v>
      </c>
      <c r="E31" s="690">
        <v>31900.55</v>
      </c>
      <c r="F31" s="691">
        <f>E31/D31*100</f>
        <v>100</v>
      </c>
    </row>
    <row r="32" spans="1:9" ht="31.5" customHeight="1" thickBot="1" x14ac:dyDescent="0.3">
      <c r="A32" s="39"/>
      <c r="B32" s="70"/>
      <c r="C32" s="75"/>
      <c r="D32" s="385"/>
      <c r="E32" s="385"/>
      <c r="F32" s="386"/>
    </row>
    <row r="33" spans="1:8" ht="24.75" customHeight="1" thickBot="1" x14ac:dyDescent="0.3">
      <c r="A33" s="40"/>
      <c r="B33" s="41" t="s">
        <v>36</v>
      </c>
      <c r="C33" s="352">
        <f>C23+C29</f>
        <v>0</v>
      </c>
      <c r="D33" s="352">
        <f>D23+D29</f>
        <v>336349.65499999997</v>
      </c>
      <c r="E33" s="352">
        <f>E23+E29</f>
        <v>336349.65499999997</v>
      </c>
      <c r="F33" s="387">
        <f>E33/D33*100</f>
        <v>100</v>
      </c>
      <c r="H33" s="10"/>
    </row>
    <row r="34" spans="1:8" ht="24" customHeight="1" x14ac:dyDescent="0.2">
      <c r="H34" s="10"/>
    </row>
    <row r="36" spans="1:8" x14ac:dyDescent="0.2">
      <c r="B36" s="145"/>
      <c r="C36" s="10"/>
      <c r="D36" s="10"/>
      <c r="E36" s="10"/>
    </row>
    <row r="37" spans="1:8" x14ac:dyDescent="0.2">
      <c r="B37" s="145"/>
      <c r="C37" s="10"/>
      <c r="D37" s="10"/>
      <c r="E37" s="10"/>
    </row>
  </sheetData>
  <mergeCells count="6">
    <mergeCell ref="A11:F11"/>
    <mergeCell ref="A12:F12"/>
    <mergeCell ref="A7:B7"/>
    <mergeCell ref="D2:E2"/>
    <mergeCell ref="A9:F9"/>
    <mergeCell ref="A10:F10"/>
  </mergeCells>
  <phoneticPr fontId="0" type="noConversion"/>
  <printOptions horizontalCentered="1" verticalCentered="1"/>
  <pageMargins left="0.17" right="0.17" top="0.15748031496062992" bottom="1.99" header="0.98" footer="0.34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5"/>
  <dimension ref="A2:I47"/>
  <sheetViews>
    <sheetView zoomScale="80" zoomScaleNormal="80" workbookViewId="0">
      <selection activeCell="F2" sqref="F2"/>
    </sheetView>
  </sheetViews>
  <sheetFormatPr defaultRowHeight="12.75" x14ac:dyDescent="0.2"/>
  <cols>
    <col min="1" max="1" width="8.42578125" style="544" customWidth="1"/>
    <col min="2" max="2" width="67.42578125" style="544" customWidth="1"/>
    <col min="3" max="6" width="11.7109375" style="544" customWidth="1"/>
    <col min="7" max="9" width="9.140625" style="544" hidden="1" customWidth="1"/>
    <col min="10" max="16" width="9.140625" style="544" customWidth="1"/>
    <col min="17" max="16384" width="9.140625" style="544"/>
  </cols>
  <sheetData>
    <row r="2" spans="1:6" x14ac:dyDescent="0.2">
      <c r="A2" s="546"/>
      <c r="C2" s="545"/>
      <c r="D2" s="545"/>
      <c r="F2" s="545" t="s">
        <v>1223</v>
      </c>
    </row>
    <row r="3" spans="1:6" x14ac:dyDescent="0.2">
      <c r="C3" s="545"/>
      <c r="D3" s="545"/>
      <c r="F3" s="545" t="s">
        <v>57</v>
      </c>
    </row>
    <row r="4" spans="1:6" hidden="1" x14ac:dyDescent="0.2">
      <c r="C4" s="820"/>
      <c r="D4" s="820"/>
      <c r="F4" s="547" t="s">
        <v>523</v>
      </c>
    </row>
    <row r="5" spans="1:6" x14ac:dyDescent="0.2">
      <c r="C5" s="820"/>
      <c r="D5" s="820"/>
    </row>
    <row r="6" spans="1:6" ht="15.75" x14ac:dyDescent="0.25">
      <c r="A6" s="821"/>
      <c r="B6" s="821"/>
      <c r="C6" s="821"/>
      <c r="D6" s="821"/>
    </row>
    <row r="7" spans="1:6" ht="15.75" x14ac:dyDescent="0.25">
      <c r="A7" s="821"/>
      <c r="B7" s="821"/>
      <c r="C7" s="821"/>
      <c r="D7" s="821"/>
    </row>
    <row r="8" spans="1:6" ht="15.75" x14ac:dyDescent="0.25">
      <c r="A8" s="2352"/>
      <c r="B8" s="2352"/>
      <c r="C8" s="822"/>
      <c r="D8" s="822"/>
    </row>
    <row r="9" spans="1:6" ht="15.75" x14ac:dyDescent="0.25">
      <c r="A9" s="823"/>
      <c r="B9" s="823"/>
      <c r="C9" s="821"/>
      <c r="D9" s="821"/>
    </row>
    <row r="10" spans="1:6" ht="15.75" x14ac:dyDescent="0.25">
      <c r="A10" s="2352" t="s">
        <v>1224</v>
      </c>
      <c r="B10" s="2352"/>
      <c r="C10" s="2352"/>
      <c r="D10" s="2352"/>
      <c r="E10" s="2352"/>
      <c r="F10" s="2352"/>
    </row>
    <row r="11" spans="1:6" ht="15.75" x14ac:dyDescent="0.25">
      <c r="A11" s="2352" t="s">
        <v>515</v>
      </c>
      <c r="B11" s="2352"/>
      <c r="C11" s="2352"/>
      <c r="D11" s="2352"/>
      <c r="E11" s="2352"/>
      <c r="F11" s="2352"/>
    </row>
    <row r="12" spans="1:6" ht="15.75" x14ac:dyDescent="0.25">
      <c r="A12" s="817"/>
      <c r="B12" s="817"/>
      <c r="C12" s="817"/>
      <c r="D12" s="817"/>
      <c r="E12" s="817"/>
      <c r="F12" s="817"/>
    </row>
    <row r="13" spans="1:6" ht="15.75" x14ac:dyDescent="0.25">
      <c r="A13" s="2353" t="s">
        <v>58</v>
      </c>
      <c r="B13" s="2353"/>
      <c r="C13" s="2353"/>
      <c r="D13" s="2353"/>
      <c r="E13" s="2353"/>
      <c r="F13" s="2353"/>
    </row>
    <row r="14" spans="1:6" ht="15.75" x14ac:dyDescent="0.25">
      <c r="A14" s="824"/>
      <c r="B14" s="822"/>
      <c r="C14" s="822"/>
      <c r="D14" s="822"/>
    </row>
    <row r="15" spans="1:6" ht="15.75" x14ac:dyDescent="0.25">
      <c r="A15" s="824"/>
      <c r="B15" s="822"/>
      <c r="C15" s="822"/>
      <c r="D15" s="822"/>
    </row>
    <row r="16" spans="1:6" ht="15.75" x14ac:dyDescent="0.25">
      <c r="A16" s="823"/>
      <c r="B16" s="817"/>
      <c r="C16" s="825"/>
      <c r="D16" s="825"/>
    </row>
    <row r="17" spans="1:9" ht="15.75" x14ac:dyDescent="0.25">
      <c r="A17" s="823"/>
      <c r="B17" s="823"/>
      <c r="C17" s="821"/>
      <c r="D17" s="821"/>
    </row>
    <row r="18" spans="1:9" ht="16.5" thickBot="1" x14ac:dyDescent="0.3">
      <c r="A18" s="821"/>
      <c r="B18" s="821" t="s">
        <v>571</v>
      </c>
    </row>
    <row r="19" spans="1:9" ht="15.75" x14ac:dyDescent="0.25">
      <c r="A19" s="950"/>
      <c r="B19" s="950"/>
      <c r="C19" s="2025" t="s">
        <v>1181</v>
      </c>
      <c r="D19" s="951" t="s">
        <v>1181</v>
      </c>
      <c r="E19" s="641"/>
      <c r="F19" s="99"/>
    </row>
    <row r="20" spans="1:9" ht="15.75" x14ac:dyDescent="0.25">
      <c r="A20" s="952" t="s">
        <v>691</v>
      </c>
      <c r="B20" s="952" t="s">
        <v>33</v>
      </c>
      <c r="C20" s="2026" t="s">
        <v>38</v>
      </c>
      <c r="D20" s="954" t="s">
        <v>333</v>
      </c>
      <c r="E20" s="644" t="s">
        <v>196</v>
      </c>
      <c r="F20" s="68" t="s">
        <v>196</v>
      </c>
    </row>
    <row r="21" spans="1:9" ht="16.5" thickBot="1" x14ac:dyDescent="0.3">
      <c r="A21" s="955"/>
      <c r="B21" s="955"/>
      <c r="C21" s="2027" t="s">
        <v>8</v>
      </c>
      <c r="D21" s="956" t="s">
        <v>8</v>
      </c>
      <c r="E21" s="645"/>
      <c r="F21" s="72" t="s">
        <v>198</v>
      </c>
    </row>
    <row r="22" spans="1:9" ht="15.75" x14ac:dyDescent="0.2">
      <c r="A22" s="874">
        <v>1</v>
      </c>
      <c r="B22" s="879">
        <v>2</v>
      </c>
      <c r="C22" s="926">
        <v>3</v>
      </c>
      <c r="D22" s="1008">
        <v>4</v>
      </c>
      <c r="E22" s="1009">
        <v>5</v>
      </c>
      <c r="F22" s="880">
        <v>6</v>
      </c>
    </row>
    <row r="23" spans="1:9" x14ac:dyDescent="0.2">
      <c r="A23" s="328"/>
      <c r="B23" s="826"/>
      <c r="C23" s="77"/>
      <c r="D23" s="152"/>
      <c r="E23" s="152"/>
      <c r="F23" s="154"/>
    </row>
    <row r="24" spans="1:9" ht="31.5" customHeight="1" x14ac:dyDescent="0.3">
      <c r="A24" s="833" t="s">
        <v>134</v>
      </c>
      <c r="B24" s="834" t="s">
        <v>516</v>
      </c>
      <c r="C24" s="835">
        <f>SUM(C25:C26)</f>
        <v>0</v>
      </c>
      <c r="D24" s="836">
        <f>SUM(D26)</f>
        <v>0</v>
      </c>
      <c r="E24" s="836">
        <f>SUM(E26)</f>
        <v>0</v>
      </c>
      <c r="F24" s="832">
        <v>0</v>
      </c>
    </row>
    <row r="25" spans="1:9" ht="16.5" x14ac:dyDescent="0.25">
      <c r="A25" s="837"/>
      <c r="B25" s="838"/>
      <c r="C25" s="840"/>
      <c r="D25" s="841"/>
      <c r="E25" s="841"/>
      <c r="F25" s="842"/>
    </row>
    <row r="26" spans="1:9" s="827" customFormat="1" ht="30" hidden="1" customHeight="1" x14ac:dyDescent="0.2">
      <c r="A26" s="843">
        <v>1</v>
      </c>
      <c r="B26" s="844" t="s">
        <v>1053</v>
      </c>
      <c r="C26" s="865"/>
      <c r="D26" s="866"/>
      <c r="E26" s="866"/>
      <c r="F26" s="867" t="e">
        <f>E26/D26*100</f>
        <v>#DIV/0!</v>
      </c>
    </row>
    <row r="27" spans="1:9" s="827" customFormat="1" ht="30" customHeight="1" x14ac:dyDescent="0.25">
      <c r="A27" s="837"/>
      <c r="B27" s="838"/>
      <c r="C27" s="846"/>
      <c r="D27" s="847"/>
      <c r="E27" s="847"/>
      <c r="F27" s="848"/>
    </row>
    <row r="28" spans="1:9" s="827" customFormat="1" ht="30" customHeight="1" x14ac:dyDescent="0.3">
      <c r="A28" s="833" t="s">
        <v>306</v>
      </c>
      <c r="B28" s="834" t="s">
        <v>517</v>
      </c>
      <c r="C28" s="835">
        <f>SUM(C30:C31)</f>
        <v>15000</v>
      </c>
      <c r="D28" s="836">
        <f>SUM(D30:D31)</f>
        <v>15000</v>
      </c>
      <c r="E28" s="836">
        <f>SUM(E30:E31)</f>
        <v>4053.596</v>
      </c>
      <c r="F28" s="832">
        <f>E28/D28*100</f>
        <v>27.023973333333334</v>
      </c>
      <c r="G28" s="1889">
        <f>'4.tábla'!DS40-C28</f>
        <v>0</v>
      </c>
      <c r="H28" s="1889">
        <f>'4.tábla'!DT40-D28</f>
        <v>0</v>
      </c>
      <c r="I28" s="1889">
        <f>'4.tábla'!DU40-E28</f>
        <v>0</v>
      </c>
    </row>
    <row r="29" spans="1:9" s="827" customFormat="1" ht="30" customHeight="1" x14ac:dyDescent="0.25">
      <c r="A29" s="849"/>
      <c r="B29" s="850"/>
      <c r="C29" s="851"/>
      <c r="D29" s="852"/>
      <c r="E29" s="853"/>
      <c r="F29" s="854"/>
    </row>
    <row r="30" spans="1:9" s="827" customFormat="1" ht="30" customHeight="1" x14ac:dyDescent="0.2">
      <c r="A30" s="843">
        <v>1</v>
      </c>
      <c r="B30" s="844" t="s">
        <v>1110</v>
      </c>
      <c r="C30" s="845">
        <v>8000</v>
      </c>
      <c r="D30" s="855">
        <v>8000</v>
      </c>
      <c r="E30" s="855">
        <v>2053.596</v>
      </c>
      <c r="F30" s="867">
        <f>E30/D30*100</f>
        <v>25.669950000000004</v>
      </c>
    </row>
    <row r="31" spans="1:9" s="827" customFormat="1" ht="30" customHeight="1" x14ac:dyDescent="0.2">
      <c r="A31" s="843">
        <v>2</v>
      </c>
      <c r="B31" s="844" t="s">
        <v>558</v>
      </c>
      <c r="C31" s="845">
        <v>7000</v>
      </c>
      <c r="D31" s="855">
        <v>7000</v>
      </c>
      <c r="E31" s="855">
        <v>2000</v>
      </c>
      <c r="F31" s="867">
        <f>E31/D31*100</f>
        <v>28.571428571428569</v>
      </c>
    </row>
    <row r="32" spans="1:9" s="827" customFormat="1" ht="30" customHeight="1" thickBot="1" x14ac:dyDescent="0.3">
      <c r="A32" s="837"/>
      <c r="B32" s="838"/>
      <c r="C32" s="839"/>
      <c r="D32" s="856"/>
      <c r="E32" s="857"/>
      <c r="F32" s="858"/>
    </row>
    <row r="33" spans="1:9" ht="30" customHeight="1" thickTop="1" thickBot="1" x14ac:dyDescent="0.25">
      <c r="A33" s="859" t="s">
        <v>692</v>
      </c>
      <c r="B33" s="828" t="s">
        <v>518</v>
      </c>
      <c r="C33" s="829">
        <f>C24+C28</f>
        <v>15000</v>
      </c>
      <c r="D33" s="830">
        <f>D24+D28</f>
        <v>15000</v>
      </c>
      <c r="E33" s="830">
        <f>E24+E28</f>
        <v>4053.596</v>
      </c>
      <c r="F33" s="831">
        <f>E33/D33*100</f>
        <v>27.023973333333334</v>
      </c>
    </row>
    <row r="34" spans="1:9" ht="30" customHeight="1" thickTop="1" x14ac:dyDescent="0.25">
      <c r="A34" s="849"/>
      <c r="B34" s="860"/>
      <c r="C34" s="861"/>
      <c r="D34" s="862"/>
      <c r="E34" s="853"/>
      <c r="F34" s="854"/>
    </row>
    <row r="35" spans="1:9" ht="30" customHeight="1" x14ac:dyDescent="0.3">
      <c r="A35" s="833" t="s">
        <v>134</v>
      </c>
      <c r="B35" s="834" t="s">
        <v>519</v>
      </c>
      <c r="C35" s="835">
        <f>SUM(C36:C37)</f>
        <v>0</v>
      </c>
      <c r="D35" s="836">
        <f>SUM(D36:D37)</f>
        <v>0</v>
      </c>
      <c r="E35" s="836">
        <f>SUM(E36:E37)</f>
        <v>0</v>
      </c>
      <c r="F35" s="832">
        <v>0</v>
      </c>
      <c r="G35" s="370">
        <f>0-C35</f>
        <v>0</v>
      </c>
      <c r="H35" s="370">
        <f>0-D35</f>
        <v>0</v>
      </c>
      <c r="I35" s="370">
        <f>0-E35</f>
        <v>0</v>
      </c>
    </row>
    <row r="36" spans="1:9" ht="30" customHeight="1" x14ac:dyDescent="0.25">
      <c r="A36" s="843"/>
      <c r="B36" s="844"/>
      <c r="C36" s="845"/>
      <c r="D36" s="863"/>
      <c r="E36" s="853"/>
      <c r="F36" s="854"/>
      <c r="H36" s="6"/>
    </row>
    <row r="37" spans="1:9" ht="30" hidden="1" customHeight="1" x14ac:dyDescent="0.2">
      <c r="A37" s="843">
        <v>1</v>
      </c>
      <c r="B37" s="844" t="s">
        <v>1112</v>
      </c>
      <c r="C37" s="845"/>
      <c r="D37" s="855"/>
      <c r="E37" s="855"/>
      <c r="F37" s="864" t="e">
        <f>E37/D37*100</f>
        <v>#DIV/0!</v>
      </c>
      <c r="H37" s="6"/>
    </row>
    <row r="38" spans="1:9" ht="30" customHeight="1" x14ac:dyDescent="0.25">
      <c r="A38" s="843"/>
      <c r="B38" s="844"/>
      <c r="C38" s="861"/>
      <c r="D38" s="862"/>
      <c r="E38" s="853"/>
      <c r="F38" s="854"/>
    </row>
    <row r="39" spans="1:9" ht="30" customHeight="1" x14ac:dyDescent="0.3">
      <c r="A39" s="833" t="s">
        <v>306</v>
      </c>
      <c r="B39" s="834" t="s">
        <v>520</v>
      </c>
      <c r="C39" s="835">
        <f>SUM(C41:C44)</f>
        <v>19000</v>
      </c>
      <c r="D39" s="836">
        <f>SUM(D41:D44)</f>
        <v>18976</v>
      </c>
      <c r="E39" s="836">
        <f>SUM(E41:E44)</f>
        <v>13615.005000000001</v>
      </c>
      <c r="F39" s="832">
        <f>E39/D39*100</f>
        <v>71.748550801011817</v>
      </c>
      <c r="G39" s="370">
        <f>'5.tábla'!DS84-C39</f>
        <v>0</v>
      </c>
      <c r="H39" s="370">
        <f>'5.tábla'!DT84-D39</f>
        <v>0</v>
      </c>
      <c r="I39" s="370">
        <f>'5.tábla'!DU84-E39</f>
        <v>0</v>
      </c>
    </row>
    <row r="40" spans="1:9" ht="30" customHeight="1" x14ac:dyDescent="0.25">
      <c r="A40" s="843"/>
      <c r="B40" s="844"/>
      <c r="C40" s="845"/>
      <c r="D40" s="863"/>
      <c r="E40" s="853"/>
      <c r="F40" s="854"/>
      <c r="G40" s="370"/>
      <c r="H40" s="370"/>
      <c r="I40" s="370"/>
    </row>
    <row r="41" spans="1:9" ht="30" customHeight="1" x14ac:dyDescent="0.2">
      <c r="A41" s="843">
        <v>1</v>
      </c>
      <c r="B41" s="844" t="s">
        <v>565</v>
      </c>
      <c r="C41" s="845">
        <v>14000</v>
      </c>
      <c r="D41" s="855">
        <v>14000</v>
      </c>
      <c r="E41" s="959">
        <v>8354.8420000000006</v>
      </c>
      <c r="F41" s="864">
        <f>E41/D41*100</f>
        <v>59.677442857142857</v>
      </c>
    </row>
    <row r="42" spans="1:9" ht="30" customHeight="1" x14ac:dyDescent="0.2">
      <c r="A42" s="843">
        <v>2</v>
      </c>
      <c r="B42" s="844" t="s">
        <v>1111</v>
      </c>
      <c r="C42" s="845">
        <v>3500</v>
      </c>
      <c r="D42" s="855">
        <v>3476</v>
      </c>
      <c r="E42" s="959">
        <v>3760.163</v>
      </c>
      <c r="F42" s="864">
        <f>E42/D42*100</f>
        <v>108.175</v>
      </c>
    </row>
    <row r="43" spans="1:9" ht="30" customHeight="1" x14ac:dyDescent="0.2">
      <c r="A43" s="843">
        <v>3</v>
      </c>
      <c r="B43" s="844" t="s">
        <v>566</v>
      </c>
      <c r="C43" s="845">
        <v>1500</v>
      </c>
      <c r="D43" s="855">
        <v>1500</v>
      </c>
      <c r="E43" s="959">
        <v>1500</v>
      </c>
      <c r="F43" s="864">
        <f>E43/D43*100</f>
        <v>100</v>
      </c>
    </row>
    <row r="44" spans="1:9" ht="24.95" hidden="1" customHeight="1" x14ac:dyDescent="0.25">
      <c r="A44" s="849"/>
      <c r="B44" s="860" t="s">
        <v>521</v>
      </c>
      <c r="C44" s="861"/>
      <c r="D44" s="862">
        <v>0</v>
      </c>
      <c r="E44" s="853"/>
      <c r="F44" s="854"/>
    </row>
    <row r="45" spans="1:9" ht="30" customHeight="1" thickBot="1" x14ac:dyDescent="0.3">
      <c r="A45" s="849"/>
      <c r="B45" s="860"/>
      <c r="C45" s="861"/>
      <c r="D45" s="862"/>
      <c r="E45" s="853"/>
      <c r="F45" s="854"/>
    </row>
    <row r="46" spans="1:9" ht="30" customHeight="1" thickTop="1" thickBot="1" x14ac:dyDescent="0.25">
      <c r="A46" s="859" t="s">
        <v>693</v>
      </c>
      <c r="B46" s="828" t="s">
        <v>522</v>
      </c>
      <c r="C46" s="829">
        <f>C35+C39</f>
        <v>19000</v>
      </c>
      <c r="D46" s="830">
        <f>D35+D39</f>
        <v>18976</v>
      </c>
      <c r="E46" s="830">
        <f>E35+E39</f>
        <v>13615.005000000001</v>
      </c>
      <c r="F46" s="831">
        <f>E46/D46*100</f>
        <v>71.748550801011817</v>
      </c>
    </row>
    <row r="47" spans="1:9" ht="23.25" customHeight="1" thickTop="1" x14ac:dyDescent="0.2">
      <c r="B47" s="13"/>
    </row>
  </sheetData>
  <mergeCells count="4">
    <mergeCell ref="A8:B8"/>
    <mergeCell ref="A10:F10"/>
    <mergeCell ref="A11:F11"/>
    <mergeCell ref="A13:F13"/>
  </mergeCells>
  <phoneticPr fontId="0" type="noConversion"/>
  <printOptions horizontalCentered="1" verticalCentered="1"/>
  <pageMargins left="0.15763888888888888" right="0.15763888888888888" top="0.48" bottom="0.66" header="0.27" footer="0.28999999999999998"/>
  <pageSetup paperSize="9" scale="8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0"/>
  <dimension ref="A2:AS244"/>
  <sheetViews>
    <sheetView zoomScale="80" zoomScaleNormal="80" workbookViewId="0">
      <selection activeCell="F2" sqref="F2"/>
    </sheetView>
  </sheetViews>
  <sheetFormatPr defaultRowHeight="12.75" x14ac:dyDescent="0.2"/>
  <cols>
    <col min="1" max="1" width="6.7109375" style="375" customWidth="1"/>
    <col min="2" max="2" width="55.42578125" style="1192" customWidth="1"/>
    <col min="3" max="3" width="12.7109375" style="1193" customWidth="1"/>
    <col min="4" max="4" width="12.7109375" style="1192" customWidth="1"/>
    <col min="5" max="6" width="12.7109375" style="376" customWidth="1"/>
    <col min="7" max="9" width="6.7109375" style="376" hidden="1" customWidth="1"/>
    <col min="10" max="11" width="9.140625" style="376" customWidth="1"/>
    <col min="12" max="45" width="9.140625" style="376"/>
    <col min="46" max="16384" width="9.140625" style="1192"/>
  </cols>
  <sheetData>
    <row r="2" spans="1:11" x14ac:dyDescent="0.2">
      <c r="D2" s="545"/>
      <c r="F2" s="545" t="s">
        <v>1239</v>
      </c>
    </row>
    <row r="3" spans="1:11" x14ac:dyDescent="0.2">
      <c r="D3" s="545"/>
      <c r="F3" s="545" t="s">
        <v>57</v>
      </c>
    </row>
    <row r="4" spans="1:11" hidden="1" x14ac:dyDescent="0.2">
      <c r="D4" s="547"/>
      <c r="F4" s="547" t="s">
        <v>471</v>
      </c>
    </row>
    <row r="5" spans="1:11" ht="18" customHeight="1" x14ac:dyDescent="0.2"/>
    <row r="6" spans="1:11" ht="16.5" x14ac:dyDescent="0.25">
      <c r="A6" s="2354" t="s">
        <v>1240</v>
      </c>
      <c r="B6" s="2354"/>
      <c r="C6" s="2354"/>
      <c r="D6" s="2354"/>
      <c r="E6" s="2354"/>
      <c r="F6" s="2354"/>
    </row>
    <row r="7" spans="1:11" x14ac:dyDescent="0.2">
      <c r="A7" s="2355" t="s">
        <v>389</v>
      </c>
      <c r="B7" s="2355"/>
      <c r="C7" s="2355"/>
      <c r="D7" s="2355"/>
      <c r="E7" s="2355"/>
      <c r="F7" s="2355"/>
    </row>
    <row r="8" spans="1:11" ht="21" customHeight="1" thickBot="1" x14ac:dyDescent="0.25"/>
    <row r="9" spans="1:11" ht="15" customHeight="1" x14ac:dyDescent="0.25">
      <c r="A9" s="1194"/>
      <c r="B9" s="1195"/>
      <c r="C9" s="868" t="s">
        <v>1181</v>
      </c>
      <c r="D9" s="868" t="s">
        <v>1181</v>
      </c>
      <c r="E9" s="591"/>
      <c r="F9" s="78"/>
      <c r="G9" s="16" t="s">
        <v>500</v>
      </c>
      <c r="H9" s="6"/>
      <c r="I9" s="6"/>
      <c r="J9" s="825"/>
      <c r="K9" s="825"/>
    </row>
    <row r="10" spans="1:11" ht="15" customHeight="1" x14ac:dyDescent="0.25">
      <c r="A10" s="1198" t="s">
        <v>207</v>
      </c>
      <c r="B10" s="1199" t="s">
        <v>335</v>
      </c>
      <c r="C10" s="869" t="s">
        <v>38</v>
      </c>
      <c r="D10" s="869" t="s">
        <v>333</v>
      </c>
      <c r="E10" s="592" t="s">
        <v>196</v>
      </c>
      <c r="F10" s="587" t="s">
        <v>196</v>
      </c>
      <c r="G10" s="1292" t="s">
        <v>511</v>
      </c>
      <c r="H10" s="6"/>
      <c r="I10" s="6"/>
      <c r="J10" s="825"/>
      <c r="K10" s="825"/>
    </row>
    <row r="11" spans="1:11" ht="15" customHeight="1" thickBot="1" x14ac:dyDescent="0.3">
      <c r="A11" s="1201" t="s">
        <v>208</v>
      </c>
      <c r="B11" s="1202"/>
      <c r="C11" s="870" t="s">
        <v>8</v>
      </c>
      <c r="D11" s="870" t="s">
        <v>8</v>
      </c>
      <c r="E11" s="645"/>
      <c r="F11" s="593" t="s">
        <v>198</v>
      </c>
      <c r="G11" s="17" t="s">
        <v>38</v>
      </c>
      <c r="H11" s="6" t="s">
        <v>512</v>
      </c>
      <c r="I11" s="6" t="s">
        <v>513</v>
      </c>
      <c r="J11" s="825"/>
      <c r="K11" s="825"/>
    </row>
    <row r="12" spans="1:11" ht="15" customHeight="1" thickBot="1" x14ac:dyDescent="0.3">
      <c r="A12" s="1205">
        <v>1</v>
      </c>
      <c r="B12" s="1205">
        <v>2</v>
      </c>
      <c r="C12" s="1064">
        <v>3</v>
      </c>
      <c r="D12" s="1064">
        <v>4</v>
      </c>
      <c r="E12" s="1797">
        <v>5</v>
      </c>
      <c r="F12" s="1798">
        <v>6</v>
      </c>
      <c r="G12" s="825"/>
      <c r="H12" s="825"/>
      <c r="I12" s="825"/>
      <c r="J12" s="825"/>
      <c r="K12" s="825"/>
    </row>
    <row r="13" spans="1:11" ht="8.1" customHeight="1" x14ac:dyDescent="0.25">
      <c r="A13" s="1206"/>
      <c r="B13" s="1207"/>
      <c r="C13" s="1208"/>
      <c r="D13" s="1209"/>
      <c r="E13" s="1209"/>
      <c r="F13" s="1209"/>
      <c r="G13" s="825"/>
      <c r="H13" s="825"/>
      <c r="J13" s="825"/>
      <c r="K13" s="825"/>
    </row>
    <row r="14" spans="1:11" ht="15" customHeight="1" x14ac:dyDescent="0.25">
      <c r="A14" s="1210" t="s">
        <v>134</v>
      </c>
      <c r="B14" s="1211" t="s">
        <v>551</v>
      </c>
      <c r="C14" s="1212"/>
      <c r="D14" s="1213"/>
      <c r="E14" s="1213"/>
      <c r="F14" s="1213"/>
      <c r="G14" s="825"/>
      <c r="H14" s="825"/>
      <c r="J14" s="825"/>
      <c r="K14" s="825"/>
    </row>
    <row r="15" spans="1:11" ht="6" customHeight="1" x14ac:dyDescent="0.25">
      <c r="A15" s="1210"/>
      <c r="B15" s="1211"/>
      <c r="C15" s="1212"/>
      <c r="D15" s="1214"/>
      <c r="E15" s="1214"/>
      <c r="F15" s="1214"/>
      <c r="G15" s="825"/>
      <c r="H15" s="825"/>
      <c r="J15" s="825"/>
      <c r="K15" s="825"/>
    </row>
    <row r="16" spans="1:11" ht="15" customHeight="1" x14ac:dyDescent="0.25">
      <c r="A16" s="1215" t="s">
        <v>692</v>
      </c>
      <c r="B16" s="1216" t="s">
        <v>448</v>
      </c>
      <c r="C16" s="1212"/>
      <c r="D16" s="1214"/>
      <c r="E16" s="1214"/>
      <c r="F16" s="1214"/>
      <c r="G16" s="825"/>
      <c r="H16" s="825"/>
      <c r="I16" s="825"/>
      <c r="J16" s="825"/>
      <c r="K16" s="825"/>
    </row>
    <row r="17" spans="1:11" ht="6" customHeight="1" x14ac:dyDescent="0.25">
      <c r="A17" s="1215"/>
      <c r="B17" s="1216"/>
      <c r="C17" s="1212"/>
      <c r="D17" s="1214"/>
      <c r="E17" s="1214"/>
      <c r="F17" s="1214"/>
      <c r="G17" s="825"/>
      <c r="H17" s="825"/>
      <c r="I17" s="825"/>
      <c r="J17" s="825"/>
      <c r="K17" s="825"/>
    </row>
    <row r="18" spans="1:11" ht="15" customHeight="1" x14ac:dyDescent="0.25">
      <c r="A18" s="1217">
        <v>1</v>
      </c>
      <c r="B18" s="1218" t="s">
        <v>449</v>
      </c>
      <c r="C18" s="1212"/>
      <c r="D18" s="1214"/>
      <c r="E18" s="1214"/>
      <c r="F18" s="1214"/>
      <c r="G18" s="825"/>
      <c r="H18" s="825"/>
      <c r="I18" s="825"/>
      <c r="J18" s="825"/>
      <c r="K18" s="825"/>
    </row>
    <row r="19" spans="1:11" ht="9.9499999999999993" hidden="1" customHeight="1" x14ac:dyDescent="0.25">
      <c r="A19" s="1215"/>
      <c r="B19" s="1216"/>
      <c r="C19" s="1212"/>
      <c r="D19" s="1214"/>
      <c r="E19" s="1214"/>
      <c r="F19" s="1214"/>
      <c r="G19" s="825"/>
      <c r="H19" s="825"/>
      <c r="I19" s="825"/>
      <c r="J19" s="825"/>
      <c r="K19" s="825"/>
    </row>
    <row r="20" spans="1:11" ht="15" customHeight="1" x14ac:dyDescent="0.25">
      <c r="A20" s="1217">
        <v>2</v>
      </c>
      <c r="B20" s="1218" t="s">
        <v>253</v>
      </c>
      <c r="C20" s="1212"/>
      <c r="D20" s="1214"/>
      <c r="E20" s="1214"/>
      <c r="F20" s="1214"/>
      <c r="G20" s="825"/>
      <c r="H20" s="825"/>
      <c r="I20" s="825"/>
      <c r="J20" s="825"/>
      <c r="K20" s="825"/>
    </row>
    <row r="21" spans="1:11" ht="3.95" hidden="1" customHeight="1" x14ac:dyDescent="0.25">
      <c r="A21" s="1215"/>
      <c r="B21" s="1216"/>
      <c r="C21" s="1212"/>
      <c r="D21" s="1214"/>
      <c r="E21" s="1214"/>
      <c r="F21" s="1214"/>
      <c r="G21" s="825"/>
      <c r="H21" s="825"/>
      <c r="I21" s="825"/>
      <c r="J21" s="825"/>
      <c r="K21" s="825"/>
    </row>
    <row r="22" spans="1:11" ht="15" hidden="1" customHeight="1" x14ac:dyDescent="0.25">
      <c r="A22" s="1206" t="s">
        <v>132</v>
      </c>
      <c r="B22" s="1220" t="s">
        <v>1113</v>
      </c>
      <c r="C22" s="1222"/>
      <c r="D22" s="1222"/>
      <c r="E22" s="1222"/>
      <c r="F22" s="388" t="e">
        <f>E22/D22*100</f>
        <v>#DIV/0!</v>
      </c>
      <c r="G22" s="825"/>
      <c r="H22" s="825"/>
      <c r="I22" s="825"/>
      <c r="J22" s="825"/>
      <c r="K22" s="825"/>
    </row>
    <row r="23" spans="1:11" ht="15" hidden="1" customHeight="1" x14ac:dyDescent="0.25">
      <c r="A23" s="1206" t="s">
        <v>368</v>
      </c>
      <c r="B23" s="1220" t="s">
        <v>1114</v>
      </c>
      <c r="C23" s="1222"/>
      <c r="D23" s="1222"/>
      <c r="E23" s="1222"/>
      <c r="F23" s="388" t="e">
        <f>E23/D23*100</f>
        <v>#DIV/0!</v>
      </c>
      <c r="G23" s="825"/>
      <c r="H23" s="825"/>
      <c r="I23" s="825"/>
      <c r="J23" s="825"/>
      <c r="K23" s="825"/>
    </row>
    <row r="24" spans="1:11" ht="3.95" hidden="1" customHeight="1" x14ac:dyDescent="0.25">
      <c r="A24" s="1215"/>
      <c r="B24" s="1216"/>
      <c r="C24" s="1212"/>
      <c r="D24" s="1214"/>
      <c r="E24" s="1214"/>
      <c r="F24" s="1214"/>
      <c r="G24" s="825"/>
      <c r="H24" s="825"/>
      <c r="I24" s="825"/>
      <c r="J24" s="825"/>
      <c r="K24" s="825"/>
    </row>
    <row r="25" spans="1:11" ht="15" hidden="1" customHeight="1" x14ac:dyDescent="0.25">
      <c r="A25" s="1215"/>
      <c r="B25" s="1218" t="s">
        <v>482</v>
      </c>
      <c r="C25" s="1225">
        <f>SUM(C22:C24)</f>
        <v>0</v>
      </c>
      <c r="D25" s="1225">
        <f>SUM(D22:D24)</f>
        <v>0</v>
      </c>
      <c r="E25" s="1225">
        <f>SUM(E22:E24)</f>
        <v>0</v>
      </c>
      <c r="F25" s="1239" t="e">
        <f>E25/D25*100</f>
        <v>#DIV/0!</v>
      </c>
      <c r="G25" s="1237">
        <f>'4.tábla'!F33-C25</f>
        <v>0</v>
      </c>
      <c r="H25" s="1237">
        <f>'4.tábla'!G33-D25</f>
        <v>0</v>
      </c>
      <c r="I25" s="1237">
        <f>'4.tábla'!H33-E25</f>
        <v>0</v>
      </c>
      <c r="J25" s="825"/>
      <c r="K25" s="825"/>
    </row>
    <row r="26" spans="1:11" ht="6" hidden="1" customHeight="1" x14ac:dyDescent="0.25">
      <c r="A26" s="1215"/>
      <c r="B26" s="1216"/>
      <c r="C26" s="1212"/>
      <c r="D26" s="1214"/>
      <c r="E26" s="1214"/>
      <c r="F26" s="1214"/>
      <c r="G26" s="825"/>
      <c r="H26" s="825"/>
      <c r="I26" s="825"/>
      <c r="J26" s="825"/>
      <c r="K26" s="825"/>
    </row>
    <row r="27" spans="1:11" ht="15" customHeight="1" x14ac:dyDescent="0.25">
      <c r="A27" s="1217">
        <v>3</v>
      </c>
      <c r="B27" s="1218" t="s">
        <v>718</v>
      </c>
      <c r="C27" s="1212"/>
      <c r="D27" s="1214"/>
      <c r="E27" s="1214"/>
      <c r="F27" s="1214"/>
      <c r="G27" s="825"/>
      <c r="H27" s="825"/>
      <c r="I27" s="825"/>
      <c r="J27" s="825"/>
      <c r="K27" s="825"/>
    </row>
    <row r="28" spans="1:11" ht="9.9499999999999993" hidden="1" customHeight="1" x14ac:dyDescent="0.25">
      <c r="A28" s="1215"/>
      <c r="B28" s="1216"/>
      <c r="C28" s="1212"/>
      <c r="D28" s="1214"/>
      <c r="E28" s="1214"/>
      <c r="F28" s="1214"/>
      <c r="G28" s="825"/>
      <c r="H28" s="825"/>
      <c r="I28" s="825"/>
      <c r="J28" s="825"/>
      <c r="K28" s="825"/>
    </row>
    <row r="29" spans="1:11" ht="15" customHeight="1" x14ac:dyDescent="0.25">
      <c r="A29" s="1217">
        <v>4</v>
      </c>
      <c r="B29" s="1218" t="s">
        <v>450</v>
      </c>
      <c r="C29" s="1212"/>
      <c r="D29" s="1214"/>
      <c r="E29" s="1214"/>
      <c r="F29" s="1214"/>
      <c r="G29" s="825"/>
      <c r="H29" s="825"/>
      <c r="I29" s="825"/>
      <c r="J29" s="825"/>
      <c r="K29" s="825"/>
    </row>
    <row r="30" spans="1:11" ht="9.9499999999999993" hidden="1" customHeight="1" x14ac:dyDescent="0.25">
      <c r="A30" s="1206"/>
      <c r="B30" s="1218"/>
      <c r="C30" s="1212"/>
      <c r="D30" s="1214"/>
      <c r="E30" s="1214"/>
      <c r="F30" s="1214"/>
      <c r="G30" s="825"/>
      <c r="H30" s="825"/>
      <c r="I30" s="825"/>
      <c r="J30" s="825"/>
      <c r="K30" s="825"/>
    </row>
    <row r="31" spans="1:11" ht="15" customHeight="1" x14ac:dyDescent="0.25">
      <c r="A31" s="1217">
        <v>5</v>
      </c>
      <c r="B31" s="1218" t="s">
        <v>451</v>
      </c>
      <c r="C31" s="1212"/>
      <c r="D31" s="1214"/>
      <c r="E31" s="1214"/>
      <c r="F31" s="1214"/>
      <c r="G31" s="825"/>
      <c r="H31" s="825"/>
      <c r="I31" s="825"/>
      <c r="J31" s="825"/>
      <c r="K31" s="825"/>
    </row>
    <row r="32" spans="1:11" ht="9.9499999999999993" hidden="1" customHeight="1" x14ac:dyDescent="0.25">
      <c r="A32" s="1206"/>
      <c r="B32" s="1218"/>
      <c r="C32" s="1212"/>
      <c r="D32" s="1214"/>
      <c r="E32" s="1214"/>
      <c r="F32" s="1214"/>
      <c r="G32" s="825"/>
      <c r="H32" s="825"/>
      <c r="I32" s="825"/>
      <c r="J32" s="825"/>
      <c r="K32" s="825"/>
    </row>
    <row r="33" spans="1:11" ht="15" customHeight="1" x14ac:dyDescent="0.25">
      <c r="A33" s="1217">
        <v>6</v>
      </c>
      <c r="B33" s="1218" t="s">
        <v>722</v>
      </c>
      <c r="C33" s="1212"/>
      <c r="D33" s="1214"/>
      <c r="E33" s="1214"/>
      <c r="F33" s="1214"/>
      <c r="G33" s="825"/>
      <c r="H33" s="825"/>
      <c r="I33" s="825"/>
      <c r="J33" s="825"/>
      <c r="K33" s="825"/>
    </row>
    <row r="34" spans="1:11" ht="6" customHeight="1" x14ac:dyDescent="0.25">
      <c r="A34" s="1215"/>
      <c r="B34" s="1216"/>
      <c r="C34" s="1212"/>
      <c r="D34" s="1214"/>
      <c r="E34" s="1214"/>
      <c r="F34" s="1214"/>
      <c r="G34" s="825"/>
      <c r="H34" s="825"/>
      <c r="I34" s="825"/>
      <c r="J34" s="825"/>
      <c r="K34" s="825"/>
    </row>
    <row r="35" spans="1:11" ht="15" customHeight="1" x14ac:dyDescent="0.25">
      <c r="A35" s="1206" t="s">
        <v>132</v>
      </c>
      <c r="B35" s="1220" t="s">
        <v>1225</v>
      </c>
      <c r="C35" s="1222">
        <v>0</v>
      </c>
      <c r="D35" s="1222">
        <v>3676</v>
      </c>
      <c r="E35" s="1222">
        <v>3198.0360000000001</v>
      </c>
      <c r="F35" s="388">
        <f>E35/D35*100</f>
        <v>86.997714907508168</v>
      </c>
      <c r="G35" s="825"/>
      <c r="H35" s="825"/>
      <c r="I35" s="825"/>
      <c r="J35" s="825"/>
      <c r="K35" s="825"/>
    </row>
    <row r="36" spans="1:11" ht="6" customHeight="1" x14ac:dyDescent="0.25">
      <c r="A36" s="1215"/>
      <c r="B36" s="1216"/>
      <c r="C36" s="1212"/>
      <c r="D36" s="1214"/>
      <c r="E36" s="1214"/>
      <c r="F36" s="1214"/>
      <c r="G36" s="825"/>
      <c r="H36" s="825"/>
      <c r="I36" s="825"/>
      <c r="J36" s="825"/>
      <c r="K36" s="825"/>
    </row>
    <row r="37" spans="1:11" ht="15" customHeight="1" x14ac:dyDescent="0.25">
      <c r="A37" s="1215"/>
      <c r="B37" s="1218" t="s">
        <v>485</v>
      </c>
      <c r="C37" s="1224">
        <f>SUM(C35:C35)</f>
        <v>0</v>
      </c>
      <c r="D37" s="1224">
        <f>SUM(D35:D35)</f>
        <v>3676</v>
      </c>
      <c r="E37" s="1224">
        <f>SUM(E35:E35)</f>
        <v>3198.0360000000001</v>
      </c>
      <c r="F37" s="1239">
        <f>E37/D37*100</f>
        <v>86.997714907508168</v>
      </c>
      <c r="G37" s="1237">
        <f>'4.tábla'!R33-C37</f>
        <v>0</v>
      </c>
      <c r="H37" s="825">
        <f>'4.tábla'!S33-D37</f>
        <v>0</v>
      </c>
      <c r="I37" s="825">
        <f>'4.tábla'!T33-E37</f>
        <v>0</v>
      </c>
      <c r="J37" s="825"/>
      <c r="K37" s="825"/>
    </row>
    <row r="38" spans="1:11" ht="6" customHeight="1" x14ac:dyDescent="0.25">
      <c r="A38" s="1215"/>
      <c r="B38" s="1216"/>
      <c r="C38" s="1212"/>
      <c r="D38" s="1214"/>
      <c r="E38" s="1214"/>
      <c r="F38" s="1214"/>
      <c r="G38" s="825"/>
      <c r="H38" s="825"/>
      <c r="I38" s="825"/>
      <c r="J38" s="825"/>
      <c r="K38" s="825"/>
    </row>
    <row r="39" spans="1:11" ht="15" customHeight="1" x14ac:dyDescent="0.25">
      <c r="A39" s="1217">
        <v>7</v>
      </c>
      <c r="B39" s="1218" t="s">
        <v>723</v>
      </c>
      <c r="C39" s="1212"/>
      <c r="D39" s="1214"/>
      <c r="E39" s="1214"/>
      <c r="F39" s="1214"/>
      <c r="G39" s="825"/>
      <c r="H39" s="825"/>
      <c r="I39" s="825"/>
      <c r="J39" s="825"/>
      <c r="K39" s="825"/>
    </row>
    <row r="40" spans="1:11" ht="9.9499999999999993" hidden="1" customHeight="1" x14ac:dyDescent="0.25">
      <c r="A40" s="1215"/>
      <c r="B40" s="1216"/>
      <c r="C40" s="1212"/>
      <c r="D40" s="1214"/>
      <c r="E40" s="1214"/>
      <c r="F40" s="1214"/>
      <c r="G40" s="825"/>
      <c r="H40" s="825"/>
      <c r="I40" s="825"/>
      <c r="J40" s="825"/>
      <c r="K40" s="825"/>
    </row>
    <row r="41" spans="1:11" ht="15" customHeight="1" x14ac:dyDescent="0.25">
      <c r="A41" s="1217">
        <v>8</v>
      </c>
      <c r="B41" s="1218" t="s">
        <v>452</v>
      </c>
      <c r="C41" s="1212"/>
      <c r="D41" s="1214"/>
      <c r="E41" s="1214"/>
      <c r="F41" s="1214"/>
      <c r="G41" s="825"/>
      <c r="H41" s="825"/>
      <c r="I41" s="825"/>
      <c r="J41" s="825"/>
      <c r="K41" s="825"/>
    </row>
    <row r="42" spans="1:11" ht="9.9499999999999993" hidden="1" customHeight="1" x14ac:dyDescent="0.25">
      <c r="A42" s="1215"/>
      <c r="B42" s="1216"/>
      <c r="C42" s="1212"/>
      <c r="D42" s="1214"/>
      <c r="E42" s="1214"/>
      <c r="F42" s="1214"/>
      <c r="G42" s="825"/>
      <c r="H42" s="825"/>
      <c r="I42" s="825"/>
      <c r="J42" s="825"/>
      <c r="K42" s="825"/>
    </row>
    <row r="43" spans="1:11" ht="15" customHeight="1" x14ac:dyDescent="0.25">
      <c r="A43" s="1217">
        <v>9</v>
      </c>
      <c r="B43" s="1218" t="s">
        <v>724</v>
      </c>
      <c r="C43" s="1212"/>
      <c r="D43" s="1214"/>
      <c r="E43" s="1214"/>
      <c r="F43" s="1214"/>
      <c r="G43" s="825"/>
      <c r="H43" s="825"/>
      <c r="I43" s="825"/>
      <c r="J43" s="825"/>
      <c r="K43" s="825"/>
    </row>
    <row r="44" spans="1:11" ht="9.9499999999999993" hidden="1" customHeight="1" x14ac:dyDescent="0.25">
      <c r="A44" s="1217"/>
      <c r="B44" s="1218"/>
      <c r="C44" s="1212"/>
      <c r="D44" s="1214"/>
      <c r="E44" s="1214"/>
      <c r="F44" s="1214"/>
      <c r="G44" s="825"/>
      <c r="H44" s="825"/>
      <c r="I44" s="825"/>
      <c r="J44" s="825"/>
      <c r="K44" s="825"/>
    </row>
    <row r="45" spans="1:11" ht="15" customHeight="1" x14ac:dyDescent="0.25">
      <c r="A45" s="1217">
        <v>10</v>
      </c>
      <c r="B45" s="1218" t="s">
        <v>453</v>
      </c>
      <c r="C45" s="1212"/>
      <c r="D45" s="1214"/>
      <c r="E45" s="1214"/>
      <c r="F45" s="1214"/>
      <c r="G45" s="825"/>
      <c r="H45" s="825"/>
      <c r="I45" s="825"/>
      <c r="J45" s="825"/>
      <c r="K45" s="825"/>
    </row>
    <row r="46" spans="1:11" ht="6" customHeight="1" x14ac:dyDescent="0.25">
      <c r="A46" s="1217"/>
      <c r="B46" s="1218"/>
      <c r="C46" s="1212"/>
      <c r="D46" s="1214"/>
      <c r="E46" s="1214"/>
      <c r="F46" s="1214"/>
      <c r="G46" s="825"/>
      <c r="H46" s="825"/>
      <c r="I46" s="825"/>
      <c r="J46" s="825"/>
      <c r="K46" s="825"/>
    </row>
    <row r="47" spans="1:11" ht="15" customHeight="1" x14ac:dyDescent="0.25">
      <c r="A47" s="1217">
        <v>11</v>
      </c>
      <c r="B47" s="1218" t="s">
        <v>725</v>
      </c>
      <c r="C47" s="1212"/>
      <c r="D47" s="1214"/>
      <c r="E47" s="1214"/>
      <c r="F47" s="1214"/>
      <c r="G47" s="825"/>
      <c r="H47" s="825"/>
      <c r="I47" s="825"/>
      <c r="J47" s="825"/>
      <c r="K47" s="825"/>
    </row>
    <row r="48" spans="1:11" ht="9.9499999999999993" hidden="1" customHeight="1" x14ac:dyDescent="0.25">
      <c r="A48" s="1210"/>
      <c r="B48" s="1207"/>
      <c r="C48" s="1212"/>
      <c r="D48" s="1214"/>
      <c r="E48" s="1214"/>
      <c r="F48" s="1214"/>
      <c r="G48" s="825"/>
      <c r="H48" s="825"/>
      <c r="I48" s="825"/>
      <c r="J48" s="825"/>
      <c r="K48" s="825"/>
    </row>
    <row r="49" spans="1:11" ht="15" customHeight="1" x14ac:dyDescent="0.25">
      <c r="A49" s="1206" t="s">
        <v>132</v>
      </c>
      <c r="B49" s="1220" t="s">
        <v>1149</v>
      </c>
      <c r="C49" s="1221">
        <v>4120</v>
      </c>
      <c r="D49" s="1222">
        <v>6979</v>
      </c>
      <c r="E49" s="1222">
        <v>9962.3990000000013</v>
      </c>
      <c r="F49" s="388">
        <f>E49/D49*100</f>
        <v>142.74823040550223</v>
      </c>
      <c r="G49" s="825"/>
      <c r="H49" s="825"/>
      <c r="I49" s="825"/>
      <c r="J49" s="825"/>
      <c r="K49" s="825"/>
    </row>
    <row r="50" spans="1:11" ht="15" customHeight="1" x14ac:dyDescent="0.25">
      <c r="A50" s="1206" t="s">
        <v>368</v>
      </c>
      <c r="B50" s="1220" t="s">
        <v>567</v>
      </c>
      <c r="C50" s="1221">
        <v>2540</v>
      </c>
      <c r="D50" s="1222">
        <v>9150</v>
      </c>
      <c r="E50" s="1222">
        <v>3855.8490000000002</v>
      </c>
      <c r="F50" s="388">
        <f>E50/D50*100</f>
        <v>42.140426229508201</v>
      </c>
      <c r="G50" s="825"/>
      <c r="H50" s="825"/>
      <c r="I50" s="825"/>
      <c r="J50" s="825"/>
      <c r="K50" s="825"/>
    </row>
    <row r="51" spans="1:11" ht="15" hidden="1" customHeight="1" x14ac:dyDescent="0.25">
      <c r="A51" s="1206" t="s">
        <v>737</v>
      </c>
      <c r="B51" s="1220" t="s">
        <v>568</v>
      </c>
      <c r="C51" s="1221"/>
      <c r="D51" s="1222"/>
      <c r="E51" s="1222"/>
      <c r="F51" s="388">
        <v>0</v>
      </c>
      <c r="G51" s="825"/>
      <c r="H51" s="825"/>
      <c r="I51" s="825"/>
      <c r="J51" s="825"/>
      <c r="K51" s="825"/>
    </row>
    <row r="52" spans="1:11" ht="6" customHeight="1" x14ac:dyDescent="0.25">
      <c r="A52" s="1206"/>
      <c r="B52" s="1220"/>
      <c r="C52" s="1221"/>
      <c r="D52" s="1222"/>
      <c r="E52" s="1222"/>
      <c r="F52" s="388"/>
      <c r="G52" s="825"/>
      <c r="H52" s="825"/>
      <c r="I52" s="825"/>
      <c r="J52" s="825"/>
      <c r="K52" s="825"/>
    </row>
    <row r="53" spans="1:11" ht="15" hidden="1" customHeight="1" x14ac:dyDescent="0.25">
      <c r="A53" s="953">
        <v>6</v>
      </c>
      <c r="B53" s="1220" t="s">
        <v>569</v>
      </c>
      <c r="C53" s="1221">
        <v>0</v>
      </c>
      <c r="D53" s="1222">
        <v>0</v>
      </c>
      <c r="E53" s="1222">
        <v>0</v>
      </c>
      <c r="F53" s="1222">
        <v>0</v>
      </c>
      <c r="G53" s="825"/>
      <c r="H53" s="825"/>
      <c r="I53" s="825"/>
      <c r="J53" s="825"/>
      <c r="K53" s="825"/>
    </row>
    <row r="54" spans="1:11" ht="15" hidden="1" customHeight="1" x14ac:dyDescent="0.25">
      <c r="A54" s="1223">
        <v>7</v>
      </c>
      <c r="B54" s="1220" t="s">
        <v>570</v>
      </c>
      <c r="C54" s="1221">
        <v>0</v>
      </c>
      <c r="D54" s="1222">
        <v>0</v>
      </c>
      <c r="E54" s="1222">
        <v>0</v>
      </c>
      <c r="F54" s="1222">
        <v>0</v>
      </c>
      <c r="G54" s="825"/>
      <c r="H54" s="825"/>
      <c r="I54" s="825"/>
      <c r="J54" s="825"/>
      <c r="K54" s="825"/>
    </row>
    <row r="55" spans="1:11" ht="9.9499999999999993" hidden="1" customHeight="1" thickBot="1" x14ac:dyDescent="0.3">
      <c r="A55" s="1223"/>
      <c r="B55" s="1220"/>
      <c r="C55" s="1221"/>
      <c r="D55" s="1222"/>
      <c r="E55" s="1222"/>
      <c r="F55" s="1222"/>
      <c r="G55" s="825"/>
      <c r="H55" s="825"/>
      <c r="I55" s="825"/>
      <c r="J55" s="825"/>
      <c r="K55" s="825"/>
    </row>
    <row r="56" spans="1:11" ht="15" customHeight="1" x14ac:dyDescent="0.25">
      <c r="A56" s="1223"/>
      <c r="B56" s="1218" t="s">
        <v>454</v>
      </c>
      <c r="C56" s="1224">
        <f>SUM(C49:C54)</f>
        <v>6660</v>
      </c>
      <c r="D56" s="1225">
        <f>SUM(D49:D54)</f>
        <v>16129</v>
      </c>
      <c r="E56" s="1225">
        <f>SUM(E49:E54)</f>
        <v>13818.248000000001</v>
      </c>
      <c r="F56" s="1239">
        <f>E56/D56*100</f>
        <v>85.673308946617894</v>
      </c>
      <c r="G56" s="1237">
        <f>'4.tábla'!AG33-C56</f>
        <v>0</v>
      </c>
      <c r="H56" s="1237">
        <f>'4.tábla'!AH33-D56</f>
        <v>0</v>
      </c>
      <c r="I56" s="1237">
        <f>'4.tábla'!AI33-E56</f>
        <v>0</v>
      </c>
      <c r="J56" s="825"/>
      <c r="K56" s="825"/>
    </row>
    <row r="57" spans="1:11" ht="6" customHeight="1" x14ac:dyDescent="0.25">
      <c r="A57" s="1223"/>
      <c r="B57" s="1207"/>
      <c r="C57" s="1212"/>
      <c r="D57" s="1214"/>
      <c r="E57" s="1214"/>
      <c r="F57" s="1214"/>
      <c r="G57" s="825"/>
      <c r="H57" s="825"/>
      <c r="I57" s="825"/>
      <c r="J57" s="825"/>
      <c r="K57" s="825"/>
    </row>
    <row r="58" spans="1:11" ht="15" customHeight="1" x14ac:dyDescent="0.25">
      <c r="A58" s="1217">
        <v>12</v>
      </c>
      <c r="B58" s="1218" t="s">
        <v>455</v>
      </c>
      <c r="C58" s="1212"/>
      <c r="D58" s="1214"/>
      <c r="E58" s="1214"/>
      <c r="F58" s="1214"/>
      <c r="G58" s="825"/>
      <c r="H58" s="825"/>
      <c r="I58" s="825"/>
      <c r="J58" s="825"/>
      <c r="K58" s="825"/>
    </row>
    <row r="59" spans="1:11" ht="9.9499999999999993" hidden="1" customHeight="1" x14ac:dyDescent="0.25">
      <c r="A59" s="1217"/>
      <c r="B59" s="1218"/>
      <c r="C59" s="1212"/>
      <c r="D59" s="1214"/>
      <c r="E59" s="1214"/>
      <c r="F59" s="1214"/>
      <c r="G59" s="825"/>
      <c r="H59" s="825"/>
      <c r="I59" s="825"/>
      <c r="J59" s="825"/>
      <c r="K59" s="825"/>
    </row>
    <row r="60" spans="1:11" ht="15" customHeight="1" x14ac:dyDescent="0.25">
      <c r="A60" s="1217">
        <v>13</v>
      </c>
      <c r="B60" s="1218" t="s">
        <v>727</v>
      </c>
      <c r="C60" s="1212"/>
      <c r="D60" s="1214"/>
      <c r="E60" s="1214"/>
      <c r="F60" s="1214"/>
      <c r="G60" s="825"/>
      <c r="H60" s="825"/>
      <c r="I60" s="825"/>
      <c r="J60" s="825"/>
      <c r="K60" s="825"/>
    </row>
    <row r="61" spans="1:11" ht="9.9499999999999993" hidden="1" customHeight="1" x14ac:dyDescent="0.25">
      <c r="A61" s="1217"/>
      <c r="B61" s="1218"/>
      <c r="C61" s="1212"/>
      <c r="D61" s="1214"/>
      <c r="E61" s="1214"/>
      <c r="F61" s="1214"/>
      <c r="G61" s="825"/>
      <c r="H61" s="825"/>
      <c r="I61" s="825"/>
      <c r="J61" s="825"/>
      <c r="K61" s="825"/>
    </row>
    <row r="62" spans="1:11" ht="15" customHeight="1" x14ac:dyDescent="0.25">
      <c r="A62" s="1217">
        <v>14</v>
      </c>
      <c r="B62" s="1218" t="s">
        <v>728</v>
      </c>
      <c r="C62" s="1212"/>
      <c r="D62" s="1214"/>
      <c r="E62" s="1214"/>
      <c r="F62" s="1214"/>
      <c r="G62" s="825"/>
      <c r="H62" s="825"/>
      <c r="I62" s="825"/>
      <c r="J62" s="825"/>
      <c r="K62" s="825"/>
    </row>
    <row r="63" spans="1:11" ht="9.9499999999999993" hidden="1" customHeight="1" x14ac:dyDescent="0.25">
      <c r="A63" s="1217"/>
      <c r="B63" s="1218"/>
      <c r="C63" s="1212"/>
      <c r="D63" s="1214"/>
      <c r="E63" s="1214"/>
      <c r="F63" s="1214"/>
      <c r="G63" s="825"/>
      <c r="H63" s="825"/>
      <c r="I63" s="825"/>
      <c r="J63" s="825"/>
      <c r="K63" s="825"/>
    </row>
    <row r="64" spans="1:11" ht="15" customHeight="1" x14ac:dyDescent="0.25">
      <c r="A64" s="1217">
        <v>15</v>
      </c>
      <c r="B64" s="1218" t="s">
        <v>729</v>
      </c>
      <c r="C64" s="1212"/>
      <c r="D64" s="1214"/>
      <c r="E64" s="1214"/>
      <c r="F64" s="1214"/>
      <c r="G64" s="825"/>
      <c r="H64" s="825"/>
      <c r="I64" s="825"/>
      <c r="J64" s="825"/>
      <c r="K64" s="825"/>
    </row>
    <row r="65" spans="1:11" ht="9.9499999999999993" hidden="1" customHeight="1" x14ac:dyDescent="0.25">
      <c r="A65" s="1206"/>
      <c r="B65" s="1218"/>
      <c r="C65" s="1212"/>
      <c r="D65" s="1214"/>
      <c r="E65" s="1214"/>
      <c r="F65" s="1214"/>
      <c r="G65" s="825"/>
      <c r="H65" s="825"/>
      <c r="I65" s="825"/>
      <c r="J65" s="825"/>
      <c r="K65" s="825"/>
    </row>
    <row r="66" spans="1:11" ht="15" customHeight="1" x14ac:dyDescent="0.25">
      <c r="A66" s="1217">
        <v>16</v>
      </c>
      <c r="B66" s="1218" t="s">
        <v>1226</v>
      </c>
      <c r="C66" s="1212"/>
      <c r="D66" s="1214"/>
      <c r="E66" s="1214"/>
      <c r="F66" s="1214"/>
      <c r="G66" s="825"/>
      <c r="H66" s="825"/>
      <c r="I66" s="825"/>
      <c r="J66" s="825"/>
      <c r="K66" s="825"/>
    </row>
    <row r="67" spans="1:11" ht="6" hidden="1" customHeight="1" x14ac:dyDescent="0.25">
      <c r="A67" s="1217"/>
      <c r="B67" s="1218"/>
      <c r="C67" s="1212"/>
      <c r="D67" s="1214"/>
      <c r="E67" s="1214"/>
      <c r="F67" s="1214"/>
      <c r="G67" s="825"/>
      <c r="H67" s="825"/>
      <c r="I67" s="825"/>
      <c r="J67" s="825"/>
      <c r="K67" s="825"/>
    </row>
    <row r="68" spans="1:11" ht="15" customHeight="1" x14ac:dyDescent="0.25">
      <c r="A68" s="1217">
        <v>17</v>
      </c>
      <c r="B68" s="1218" t="s">
        <v>254</v>
      </c>
      <c r="C68" s="1212"/>
      <c r="D68" s="1214"/>
      <c r="E68" s="1214"/>
      <c r="F68" s="1214"/>
      <c r="G68" s="825"/>
      <c r="H68" s="825"/>
      <c r="I68" s="825"/>
      <c r="J68" s="825"/>
      <c r="K68" s="825"/>
    </row>
    <row r="69" spans="1:11" ht="9.9499999999999993" hidden="1" customHeight="1" thickBot="1" x14ac:dyDescent="0.3">
      <c r="A69" s="1217"/>
      <c r="B69" s="1218"/>
      <c r="C69" s="1212"/>
      <c r="D69" s="1214"/>
      <c r="E69" s="1214"/>
      <c r="F69" s="1214"/>
      <c r="G69" s="825"/>
      <c r="H69" s="825"/>
      <c r="I69" s="825"/>
      <c r="J69" s="825"/>
      <c r="K69" s="825"/>
    </row>
    <row r="70" spans="1:11" s="1226" customFormat="1" ht="15" customHeight="1" x14ac:dyDescent="0.25">
      <c r="A70" s="1217">
        <v>18</v>
      </c>
      <c r="B70" s="1218" t="s">
        <v>457</v>
      </c>
      <c r="C70" s="1212"/>
      <c r="D70" s="1214"/>
      <c r="E70" s="1214"/>
      <c r="F70" s="1214"/>
      <c r="G70" s="1219"/>
      <c r="H70" s="1219"/>
      <c r="I70" s="1219"/>
      <c r="J70" s="1219"/>
      <c r="K70" s="1219"/>
    </row>
    <row r="71" spans="1:11" s="1226" customFormat="1" ht="9.9499999999999993" hidden="1" customHeight="1" x14ac:dyDescent="0.25">
      <c r="A71" s="1217"/>
      <c r="B71" s="1218"/>
      <c r="C71" s="1212"/>
      <c r="D71" s="1214"/>
      <c r="E71" s="1214"/>
      <c r="F71" s="1214"/>
      <c r="G71" s="1219"/>
      <c r="H71" s="1219"/>
      <c r="I71" s="1219"/>
      <c r="J71" s="1219"/>
      <c r="K71" s="1219"/>
    </row>
    <row r="72" spans="1:11" s="1226" customFormat="1" ht="15" customHeight="1" x14ac:dyDescent="0.25">
      <c r="A72" s="1217">
        <v>19</v>
      </c>
      <c r="B72" s="1218" t="s">
        <v>458</v>
      </c>
      <c r="C72" s="1212"/>
      <c r="D72" s="1214"/>
      <c r="E72" s="1214"/>
      <c r="F72" s="1214"/>
      <c r="G72" s="1219"/>
      <c r="H72" s="1219"/>
      <c r="I72" s="1219"/>
      <c r="J72" s="1219"/>
      <c r="K72" s="1219"/>
    </row>
    <row r="73" spans="1:11" s="1226" customFormat="1" ht="5.0999999999999996" customHeight="1" x14ac:dyDescent="0.25">
      <c r="A73" s="1217"/>
      <c r="B73" s="1218"/>
      <c r="C73" s="1212"/>
      <c r="D73" s="1214"/>
      <c r="E73" s="1214"/>
      <c r="F73" s="1214"/>
      <c r="G73" s="1219"/>
      <c r="H73" s="1219"/>
      <c r="I73" s="1219"/>
      <c r="J73" s="1219"/>
      <c r="K73" s="1219"/>
    </row>
    <row r="74" spans="1:11" s="1226" customFormat="1" ht="15" customHeight="1" x14ac:dyDescent="0.25">
      <c r="A74" s="1206" t="s">
        <v>132</v>
      </c>
      <c r="B74" s="1220" t="s">
        <v>1231</v>
      </c>
      <c r="C74" s="1799">
        <v>500</v>
      </c>
      <c r="D74" s="1800">
        <v>0</v>
      </c>
      <c r="E74" s="1800">
        <v>0</v>
      </c>
      <c r="F74" s="388">
        <v>0</v>
      </c>
      <c r="G74" s="1219"/>
      <c r="H74" s="1219"/>
      <c r="I74" s="1219"/>
      <c r="J74" s="1219"/>
      <c r="K74" s="1219"/>
    </row>
    <row r="75" spans="1:11" s="1226" customFormat="1" ht="15" customHeight="1" x14ac:dyDescent="0.25">
      <c r="A75" s="1206" t="s">
        <v>368</v>
      </c>
      <c r="B75" s="1220" t="s">
        <v>1228</v>
      </c>
      <c r="C75" s="1799">
        <v>3300</v>
      </c>
      <c r="D75" s="1800">
        <v>3300</v>
      </c>
      <c r="E75" s="1800">
        <v>0</v>
      </c>
      <c r="F75" s="388">
        <f t="shared" ref="F75:F77" si="0">E75/D75*100</f>
        <v>0</v>
      </c>
      <c r="G75" s="1219"/>
      <c r="H75" s="1219"/>
      <c r="I75" s="1219"/>
      <c r="J75" s="1219"/>
      <c r="K75" s="1219"/>
    </row>
    <row r="76" spans="1:11" s="1226" customFormat="1" ht="15" customHeight="1" x14ac:dyDescent="0.25">
      <c r="A76" s="1206" t="s">
        <v>750</v>
      </c>
      <c r="B76" s="1220" t="s">
        <v>1229</v>
      </c>
      <c r="C76" s="1799">
        <v>10000</v>
      </c>
      <c r="D76" s="1800">
        <v>12800</v>
      </c>
      <c r="E76" s="1800">
        <v>12696.974</v>
      </c>
      <c r="F76" s="388">
        <f t="shared" si="0"/>
        <v>99.195109375000001</v>
      </c>
      <c r="G76" s="1219"/>
      <c r="H76" s="1219"/>
      <c r="I76" s="1219"/>
      <c r="J76" s="1219"/>
      <c r="K76" s="1219"/>
    </row>
    <row r="77" spans="1:11" s="1226" customFormat="1" ht="15" customHeight="1" x14ac:dyDescent="0.25">
      <c r="A77" s="1206" t="s">
        <v>737</v>
      </c>
      <c r="B77" s="1220" t="s">
        <v>1230</v>
      </c>
      <c r="C77" s="1799">
        <v>0</v>
      </c>
      <c r="D77" s="1800">
        <v>6214</v>
      </c>
      <c r="E77" s="1800">
        <v>6212.9749999999995</v>
      </c>
      <c r="F77" s="388">
        <f t="shared" si="0"/>
        <v>99.983504988735106</v>
      </c>
      <c r="G77" s="1219"/>
      <c r="H77" s="1219"/>
      <c r="I77" s="1219"/>
      <c r="J77" s="1219"/>
      <c r="K77" s="1219"/>
    </row>
    <row r="78" spans="1:11" s="1226" customFormat="1" ht="5.0999999999999996" customHeight="1" x14ac:dyDescent="0.25">
      <c r="A78" s="1217"/>
      <c r="B78" s="1218"/>
      <c r="C78" s="1212"/>
      <c r="D78" s="1214"/>
      <c r="E78" s="1214"/>
      <c r="F78" s="1214"/>
      <c r="G78" s="1219"/>
      <c r="H78" s="1219"/>
      <c r="I78" s="1219"/>
      <c r="J78" s="1219"/>
      <c r="K78" s="1219"/>
    </row>
    <row r="79" spans="1:11" s="1226" customFormat="1" ht="15" customHeight="1" x14ac:dyDescent="0.25">
      <c r="A79" s="1217"/>
      <c r="B79" s="1218" t="s">
        <v>493</v>
      </c>
      <c r="C79" s="1225">
        <f>SUM(C74:C78)</f>
        <v>13800</v>
      </c>
      <c r="D79" s="1225">
        <f>SUM(D74:D78)</f>
        <v>22314</v>
      </c>
      <c r="E79" s="1225">
        <f>SUM(E74:E78)</f>
        <v>18909.949000000001</v>
      </c>
      <c r="F79" s="1239">
        <f>E79/D79*100</f>
        <v>84.744774580980547</v>
      </c>
      <c r="G79" s="1219"/>
      <c r="H79" s="1219"/>
      <c r="I79" s="1219"/>
      <c r="J79" s="1219"/>
      <c r="K79" s="1219"/>
    </row>
    <row r="80" spans="1:11" s="1226" customFormat="1" ht="6" customHeight="1" x14ac:dyDescent="0.25">
      <c r="A80" s="1217"/>
      <c r="B80" s="1218"/>
      <c r="C80" s="1212"/>
      <c r="D80" s="1214"/>
      <c r="E80" s="1214"/>
      <c r="F80" s="1214"/>
      <c r="G80" s="1219"/>
      <c r="H80" s="1219"/>
      <c r="I80" s="1219"/>
      <c r="J80" s="1219"/>
      <c r="K80" s="1219"/>
    </row>
    <row r="81" spans="1:11" s="1226" customFormat="1" ht="8.1" customHeight="1" x14ac:dyDescent="0.25">
      <c r="A81" s="1217"/>
      <c r="B81" s="1218"/>
      <c r="C81" s="1212"/>
      <c r="D81" s="1214"/>
      <c r="E81" s="1214"/>
      <c r="F81" s="1214"/>
      <c r="G81" s="1219"/>
      <c r="H81" s="1219"/>
      <c r="I81" s="1219"/>
      <c r="J81" s="1219"/>
      <c r="K81" s="1219"/>
    </row>
    <row r="82" spans="1:11" s="1226" customFormat="1" ht="20.100000000000001" customHeight="1" x14ac:dyDescent="0.25">
      <c r="A82" s="1206"/>
      <c r="B82" s="2072" t="s">
        <v>459</v>
      </c>
      <c r="C82" s="1227">
        <f>C25+C37+C56+C79</f>
        <v>20460</v>
      </c>
      <c r="D82" s="1227">
        <f>D25+D37+D56+D79</f>
        <v>42119</v>
      </c>
      <c r="E82" s="1227">
        <f>E25+E37+E56+E79</f>
        <v>35926.233</v>
      </c>
      <c r="F82" s="1241">
        <f>E82/D82*100</f>
        <v>85.296975236828985</v>
      </c>
      <c r="G82" s="1231">
        <f>'4.tábla'!BH33-C82</f>
        <v>0</v>
      </c>
      <c r="H82" s="1231">
        <f>'4.tábla'!BI33-D82</f>
        <v>0</v>
      </c>
      <c r="I82" s="1231">
        <f>'4.tábla'!BJ33-E82</f>
        <v>0</v>
      </c>
      <c r="J82" s="1219"/>
      <c r="K82" s="1219"/>
    </row>
    <row r="83" spans="1:11" s="1226" customFormat="1" ht="6" customHeight="1" x14ac:dyDescent="0.25">
      <c r="A83" s="1217"/>
      <c r="B83" s="1218"/>
      <c r="C83" s="1212"/>
      <c r="D83" s="1214"/>
      <c r="E83" s="1214"/>
      <c r="F83" s="1214"/>
      <c r="G83" s="1219"/>
      <c r="H83" s="1219"/>
      <c r="I83" s="1219"/>
      <c r="J83" s="1219"/>
      <c r="K83" s="1219"/>
    </row>
    <row r="84" spans="1:11" s="1226" customFormat="1" ht="15" customHeight="1" x14ac:dyDescent="0.25">
      <c r="A84" s="1215" t="s">
        <v>693</v>
      </c>
      <c r="B84" s="1216" t="s">
        <v>460</v>
      </c>
      <c r="C84" s="1212"/>
      <c r="D84" s="1214"/>
      <c r="E84" s="1214"/>
      <c r="F84" s="1214"/>
      <c r="G84" s="1219"/>
      <c r="H84" s="1219"/>
      <c r="I84" s="1219"/>
      <c r="J84" s="1219"/>
      <c r="K84" s="1219"/>
    </row>
    <row r="85" spans="1:11" s="1226" customFormat="1" ht="6" customHeight="1" x14ac:dyDescent="0.25">
      <c r="A85" s="1217"/>
      <c r="B85" s="1218"/>
      <c r="C85" s="1212"/>
      <c r="D85" s="1214"/>
      <c r="E85" s="1214"/>
      <c r="F85" s="1214"/>
      <c r="G85" s="1219"/>
      <c r="H85" s="1219"/>
      <c r="I85" s="1219"/>
      <c r="J85" s="1219"/>
      <c r="K85" s="1219"/>
    </row>
    <row r="86" spans="1:11" s="1226" customFormat="1" ht="15" customHeight="1" x14ac:dyDescent="0.25">
      <c r="A86" s="1217">
        <v>1</v>
      </c>
      <c r="B86" s="1218" t="s">
        <v>461</v>
      </c>
      <c r="C86" s="1212"/>
      <c r="D86" s="1214"/>
      <c r="E86" s="1214"/>
      <c r="F86" s="1214"/>
      <c r="G86" s="1219"/>
      <c r="H86" s="1219"/>
      <c r="I86" s="1219"/>
      <c r="J86" s="1219"/>
      <c r="K86" s="1219"/>
    </row>
    <row r="87" spans="1:11" s="1226" customFormat="1" ht="15" customHeight="1" x14ac:dyDescent="0.25">
      <c r="A87" s="1217">
        <v>2</v>
      </c>
      <c r="B87" s="1218" t="s">
        <v>462</v>
      </c>
      <c r="C87" s="1212"/>
      <c r="D87" s="1214"/>
      <c r="E87" s="1214"/>
      <c r="F87" s="1214"/>
      <c r="G87" s="1219"/>
      <c r="H87" s="1219"/>
      <c r="I87" s="1219"/>
      <c r="J87" s="1219"/>
      <c r="K87" s="1219"/>
    </row>
    <row r="88" spans="1:11" s="1226" customFormat="1" ht="15" customHeight="1" x14ac:dyDescent="0.25">
      <c r="A88" s="1217">
        <v>3</v>
      </c>
      <c r="B88" s="1218" t="s">
        <v>463</v>
      </c>
      <c r="C88" s="1212"/>
      <c r="D88" s="1214"/>
      <c r="E88" s="1214"/>
      <c r="F88" s="1214"/>
      <c r="G88" s="1219"/>
      <c r="H88" s="1219"/>
      <c r="I88" s="1219"/>
      <c r="J88" s="1219"/>
      <c r="K88" s="1219"/>
    </row>
    <row r="89" spans="1:11" s="1226" customFormat="1" ht="15" customHeight="1" x14ac:dyDescent="0.25">
      <c r="A89" s="1217">
        <v>4</v>
      </c>
      <c r="B89" s="1218" t="s">
        <v>529</v>
      </c>
      <c r="C89" s="1212"/>
      <c r="D89" s="1214"/>
      <c r="E89" s="1214"/>
      <c r="F89" s="1214"/>
      <c r="G89" s="1219"/>
      <c r="H89" s="1219"/>
      <c r="I89" s="1219"/>
      <c r="J89" s="1219"/>
      <c r="K89" s="1219"/>
    </row>
    <row r="90" spans="1:11" s="1226" customFormat="1" ht="15" customHeight="1" x14ac:dyDescent="0.25">
      <c r="A90" s="1217">
        <v>5</v>
      </c>
      <c r="B90" s="1218" t="s">
        <v>90</v>
      </c>
      <c r="C90" s="1212"/>
      <c r="D90" s="1214"/>
      <c r="E90" s="1214"/>
      <c r="F90" s="1214"/>
      <c r="G90" s="1219"/>
      <c r="H90" s="1219"/>
      <c r="I90" s="1219"/>
      <c r="J90" s="1219"/>
      <c r="K90" s="1219"/>
    </row>
    <row r="91" spans="1:11" s="1226" customFormat="1" ht="15" customHeight="1" x14ac:dyDescent="0.25">
      <c r="A91" s="1217">
        <v>6</v>
      </c>
      <c r="B91" s="1218" t="s">
        <v>464</v>
      </c>
      <c r="C91" s="1212"/>
      <c r="D91" s="1214"/>
      <c r="E91" s="1214"/>
      <c r="F91" s="1214"/>
      <c r="G91" s="1219"/>
      <c r="H91" s="1219"/>
      <c r="I91" s="1219"/>
      <c r="J91" s="1219"/>
      <c r="K91" s="1219"/>
    </row>
    <row r="92" spans="1:11" s="1226" customFormat="1" ht="15" customHeight="1" x14ac:dyDescent="0.25">
      <c r="A92" s="1217">
        <v>7</v>
      </c>
      <c r="B92" s="1218" t="s">
        <v>465</v>
      </c>
      <c r="C92" s="1212"/>
      <c r="D92" s="1214"/>
      <c r="E92" s="1214"/>
      <c r="F92" s="1214"/>
      <c r="G92" s="1219"/>
      <c r="H92" s="1219"/>
      <c r="I92" s="1219"/>
      <c r="J92" s="1219"/>
      <c r="K92" s="1219"/>
    </row>
    <row r="93" spans="1:11" s="1226" customFormat="1" ht="15" customHeight="1" x14ac:dyDescent="0.25">
      <c r="A93" s="1217">
        <v>8</v>
      </c>
      <c r="B93" s="1218" t="s">
        <v>466</v>
      </c>
      <c r="C93" s="1212"/>
      <c r="D93" s="1214"/>
      <c r="E93" s="1214"/>
      <c r="F93" s="1214"/>
      <c r="G93" s="1219"/>
      <c r="H93" s="1219"/>
      <c r="I93" s="1219"/>
      <c r="J93" s="1219"/>
      <c r="K93" s="1219"/>
    </row>
    <row r="94" spans="1:11" s="1226" customFormat="1" ht="15" customHeight="1" x14ac:dyDescent="0.25">
      <c r="A94" s="1217">
        <v>9</v>
      </c>
      <c r="B94" s="1218" t="s">
        <v>533</v>
      </c>
      <c r="C94" s="1212"/>
      <c r="D94" s="1214"/>
      <c r="E94" s="1214"/>
      <c r="F94" s="1214"/>
      <c r="G94" s="1219"/>
      <c r="H94" s="1219"/>
      <c r="I94" s="1219"/>
      <c r="J94" s="1219"/>
      <c r="K94" s="1219"/>
    </row>
    <row r="95" spans="1:11" s="1226" customFormat="1" ht="15" customHeight="1" thickBot="1" x14ac:dyDescent="0.3">
      <c r="A95" s="1863"/>
      <c r="B95" s="1275"/>
      <c r="C95" s="2238"/>
      <c r="D95" s="2239"/>
      <c r="E95" s="2239"/>
      <c r="F95" s="2239"/>
      <c r="G95" s="1219"/>
      <c r="H95" s="1219"/>
      <c r="I95" s="1219"/>
      <c r="J95" s="1219"/>
      <c r="K95" s="1219"/>
    </row>
    <row r="96" spans="1:11" s="1226" customFormat="1" ht="15" customHeight="1" x14ac:dyDescent="0.25">
      <c r="A96" s="1217"/>
      <c r="B96" s="1218"/>
      <c r="C96" s="1212"/>
      <c r="D96" s="1214"/>
      <c r="E96" s="1214"/>
      <c r="F96" s="1214"/>
      <c r="G96" s="1219"/>
      <c r="H96" s="1219"/>
      <c r="I96" s="1219"/>
      <c r="J96" s="1219"/>
      <c r="K96" s="1219"/>
    </row>
    <row r="97" spans="1:11" s="1226" customFormat="1" ht="15" customHeight="1" x14ac:dyDescent="0.25">
      <c r="A97" s="1217">
        <v>10</v>
      </c>
      <c r="B97" s="1218" t="s">
        <v>1163</v>
      </c>
      <c r="C97" s="1212"/>
      <c r="D97" s="1214"/>
      <c r="E97" s="1214"/>
      <c r="F97" s="1214"/>
      <c r="G97" s="1219"/>
      <c r="H97" s="1219"/>
      <c r="I97" s="1219"/>
      <c r="J97" s="1219"/>
      <c r="K97" s="1219"/>
    </row>
    <row r="98" spans="1:11" s="1226" customFormat="1" ht="15" customHeight="1" x14ac:dyDescent="0.25">
      <c r="A98" s="1217">
        <v>11</v>
      </c>
      <c r="B98" s="1218" t="s">
        <v>1232</v>
      </c>
      <c r="C98" s="1212"/>
      <c r="D98" s="1214"/>
      <c r="E98" s="1214"/>
      <c r="F98" s="1214"/>
      <c r="G98" s="1219"/>
      <c r="H98" s="1219"/>
      <c r="I98" s="1219"/>
      <c r="J98" s="1219"/>
      <c r="K98" s="1219"/>
    </row>
    <row r="99" spans="1:11" s="1226" customFormat="1" ht="5.0999999999999996" customHeight="1" x14ac:dyDescent="0.25">
      <c r="A99" s="1217"/>
      <c r="B99" s="1218"/>
      <c r="C99" s="1212"/>
      <c r="D99" s="1214"/>
      <c r="E99" s="1214"/>
      <c r="F99" s="1214"/>
      <c r="G99" s="1219"/>
      <c r="H99" s="1219"/>
      <c r="I99" s="1219"/>
      <c r="J99" s="1219"/>
      <c r="K99" s="1219"/>
    </row>
    <row r="100" spans="1:11" s="1226" customFormat="1" ht="15" customHeight="1" x14ac:dyDescent="0.25">
      <c r="A100" s="1206" t="s">
        <v>132</v>
      </c>
      <c r="B100" s="1220" t="s">
        <v>1233</v>
      </c>
      <c r="C100" s="1799">
        <v>1460</v>
      </c>
      <c r="D100" s="1800">
        <v>1460</v>
      </c>
      <c r="E100" s="1800">
        <v>1459.3130000000001</v>
      </c>
      <c r="F100" s="388">
        <f t="shared" ref="F100" si="1">E100/D100*100</f>
        <v>99.952945205479466</v>
      </c>
      <c r="G100" s="1219"/>
      <c r="H100" s="1219"/>
      <c r="I100" s="1219"/>
      <c r="J100" s="1219"/>
      <c r="K100" s="1219"/>
    </row>
    <row r="101" spans="1:11" s="1226" customFormat="1" ht="15" customHeight="1" x14ac:dyDescent="0.25">
      <c r="A101" s="1206" t="s">
        <v>368</v>
      </c>
      <c r="B101" s="1220" t="s">
        <v>1234</v>
      </c>
      <c r="C101" s="1799">
        <v>3500</v>
      </c>
      <c r="D101" s="1800">
        <v>0</v>
      </c>
      <c r="E101" s="1800">
        <v>0</v>
      </c>
      <c r="F101" s="388">
        <v>0</v>
      </c>
      <c r="G101" s="1219"/>
      <c r="H101" s="1219"/>
      <c r="I101" s="1219"/>
      <c r="J101" s="1219"/>
      <c r="K101" s="1219"/>
    </row>
    <row r="102" spans="1:11" s="1226" customFormat="1" ht="5.0999999999999996" customHeight="1" x14ac:dyDescent="0.25">
      <c r="A102" s="1217"/>
      <c r="B102" s="1218"/>
      <c r="C102" s="1212"/>
      <c r="D102" s="1214"/>
      <c r="E102" s="1214"/>
      <c r="F102" s="1214"/>
      <c r="G102" s="1219"/>
      <c r="H102" s="1219"/>
      <c r="I102" s="1219"/>
      <c r="J102" s="1219"/>
      <c r="K102" s="1219"/>
    </row>
    <row r="103" spans="1:11" s="1226" customFormat="1" ht="15" customHeight="1" x14ac:dyDescent="0.25">
      <c r="A103" s="1217"/>
      <c r="B103" s="1218" t="s">
        <v>1235</v>
      </c>
      <c r="C103" s="1225">
        <f>SUM(C100:C102)</f>
        <v>4960</v>
      </c>
      <c r="D103" s="1225">
        <v>1460</v>
      </c>
      <c r="E103" s="1225">
        <f>SUM(E100:E102)</f>
        <v>1459.3130000000001</v>
      </c>
      <c r="F103" s="1239">
        <f>E103/D103*100</f>
        <v>99.952945205479466</v>
      </c>
      <c r="G103" s="1219"/>
      <c r="H103" s="1219"/>
      <c r="I103" s="1219"/>
      <c r="J103" s="1219"/>
      <c r="K103" s="1219"/>
    </row>
    <row r="104" spans="1:11" s="1226" customFormat="1" ht="9.9499999999999993" customHeight="1" x14ac:dyDescent="0.25">
      <c r="A104" s="1217"/>
      <c r="B104" s="1218"/>
      <c r="C104" s="1212"/>
      <c r="D104" s="1214"/>
      <c r="E104" s="1214"/>
      <c r="F104" s="1214"/>
      <c r="G104" s="1219"/>
      <c r="H104" s="1219"/>
      <c r="I104" s="1219"/>
      <c r="J104" s="1219"/>
      <c r="K104" s="1219"/>
    </row>
    <row r="105" spans="1:11" s="1226" customFormat="1" ht="20.100000000000001" customHeight="1" x14ac:dyDescent="0.25">
      <c r="A105" s="1206"/>
      <c r="B105" s="2072" t="s">
        <v>467</v>
      </c>
      <c r="C105" s="1227">
        <f>C103</f>
        <v>4960</v>
      </c>
      <c r="D105" s="1227">
        <f t="shared" ref="D105:E105" si="2">D103</f>
        <v>1460</v>
      </c>
      <c r="E105" s="1227">
        <f t="shared" si="2"/>
        <v>1459.3130000000001</v>
      </c>
      <c r="F105" s="1241">
        <f>E105/D105*100</f>
        <v>99.952945205479466</v>
      </c>
      <c r="G105" s="1231">
        <f>'4.tábla'!CU33-C105</f>
        <v>0</v>
      </c>
      <c r="H105" s="1231">
        <f>'4.tábla'!CV33-D105</f>
        <v>0</v>
      </c>
      <c r="I105" s="1231">
        <f>'4.tábla'!CW33-E105</f>
        <v>0</v>
      </c>
      <c r="J105" s="1219"/>
      <c r="K105" s="1219"/>
    </row>
    <row r="106" spans="1:11" s="1226" customFormat="1" ht="9.9499999999999993" customHeight="1" thickBot="1" x14ac:dyDescent="0.3">
      <c r="A106" s="1206"/>
      <c r="B106" s="1207"/>
      <c r="C106" s="1212"/>
      <c r="D106" s="1214"/>
      <c r="E106" s="1214"/>
      <c r="F106" s="1214"/>
      <c r="G106" s="1219"/>
      <c r="H106" s="1219"/>
      <c r="I106" s="1219"/>
      <c r="J106" s="1219"/>
      <c r="K106" s="1219"/>
    </row>
    <row r="107" spans="1:11" s="1226" customFormat="1" ht="24.95" customHeight="1" thickBot="1" x14ac:dyDescent="0.3">
      <c r="A107" s="1228" t="s">
        <v>134</v>
      </c>
      <c r="B107" s="1229" t="s">
        <v>468</v>
      </c>
      <c r="C107" s="1230">
        <f>C82+C105</f>
        <v>25420</v>
      </c>
      <c r="D107" s="1230">
        <f>D82+D105</f>
        <v>43579</v>
      </c>
      <c r="E107" s="1230">
        <f>E82+E105</f>
        <v>37385.546000000002</v>
      </c>
      <c r="F107" s="1240">
        <f>E107/D107*100</f>
        <v>85.787985038665411</v>
      </c>
      <c r="G107" s="1231">
        <f>'4.tábla'!CX33-C107</f>
        <v>0</v>
      </c>
      <c r="H107" s="1231">
        <f>'4.tábla'!CY33-D107</f>
        <v>0</v>
      </c>
      <c r="I107" s="1231">
        <f>'4.tábla'!CZ33-E107</f>
        <v>0</v>
      </c>
      <c r="J107" s="1219"/>
      <c r="K107" s="1219"/>
    </row>
    <row r="108" spans="1:11" s="1226" customFormat="1" ht="15" customHeight="1" x14ac:dyDescent="0.25">
      <c r="A108" s="1206"/>
      <c r="B108" s="1207"/>
      <c r="C108" s="1212"/>
      <c r="D108" s="1214"/>
      <c r="E108" s="1214"/>
      <c r="F108" s="1214"/>
      <c r="G108" s="1219"/>
      <c r="H108" s="1219"/>
      <c r="I108" s="1219"/>
      <c r="J108" s="1219"/>
      <c r="K108" s="1219"/>
    </row>
    <row r="109" spans="1:11" s="1226" customFormat="1" ht="15" customHeight="1" x14ac:dyDescent="0.25">
      <c r="A109" s="1210" t="s">
        <v>306</v>
      </c>
      <c r="B109" s="1207" t="s">
        <v>469</v>
      </c>
      <c r="C109" s="1212"/>
      <c r="D109" s="1232"/>
      <c r="E109" s="1232"/>
      <c r="F109" s="1232"/>
      <c r="G109" s="1219"/>
      <c r="H109" s="1219"/>
      <c r="I109" s="1219"/>
      <c r="J109" s="1219"/>
      <c r="K109" s="1219"/>
    </row>
    <row r="110" spans="1:11" s="1226" customFormat="1" ht="15" customHeight="1" x14ac:dyDescent="0.25">
      <c r="A110" s="1210"/>
      <c r="B110" s="1207"/>
      <c r="C110" s="1212"/>
      <c r="D110" s="1232"/>
      <c r="E110" s="1232"/>
      <c r="F110" s="1232"/>
      <c r="G110" s="1219"/>
      <c r="H110" s="1219"/>
      <c r="I110" s="1219"/>
      <c r="J110" s="1219"/>
      <c r="K110" s="1219"/>
    </row>
    <row r="111" spans="1:11" s="1226" customFormat="1" ht="15" customHeight="1" x14ac:dyDescent="0.25">
      <c r="A111" s="1206">
        <v>1</v>
      </c>
      <c r="B111" s="1220" t="s">
        <v>1236</v>
      </c>
      <c r="C111" s="1222">
        <v>7400</v>
      </c>
      <c r="D111" s="1222">
        <v>7400</v>
      </c>
      <c r="E111" s="1222">
        <v>0</v>
      </c>
      <c r="F111" s="388">
        <f>E111/D111*100</f>
        <v>0</v>
      </c>
      <c r="G111" s="1219"/>
      <c r="H111" s="1219"/>
      <c r="I111" s="1219"/>
      <c r="J111" s="1219"/>
      <c r="K111" s="1219"/>
    </row>
    <row r="112" spans="1:11" s="1226" customFormat="1" ht="15" customHeight="1" x14ac:dyDescent="0.25">
      <c r="A112" s="1206">
        <v>2</v>
      </c>
      <c r="B112" s="1220" t="s">
        <v>1237</v>
      </c>
      <c r="C112" s="1222">
        <v>0</v>
      </c>
      <c r="D112" s="1222">
        <v>1481</v>
      </c>
      <c r="E112" s="1222">
        <v>0</v>
      </c>
      <c r="F112" s="388">
        <f t="shared" ref="F112:F113" si="3">E112/D112*100</f>
        <v>0</v>
      </c>
      <c r="G112" s="1219"/>
      <c r="H112" s="1219"/>
      <c r="I112" s="1219"/>
      <c r="J112" s="1219"/>
      <c r="K112" s="1219"/>
    </row>
    <row r="113" spans="1:45" s="1226" customFormat="1" ht="15" customHeight="1" x14ac:dyDescent="0.25">
      <c r="A113" s="1206">
        <v>3</v>
      </c>
      <c r="B113" s="1220" t="s">
        <v>1238</v>
      </c>
      <c r="C113" s="1222">
        <v>0</v>
      </c>
      <c r="D113" s="1222">
        <v>734</v>
      </c>
      <c r="E113" s="1222">
        <v>734.06</v>
      </c>
      <c r="F113" s="388">
        <f t="shared" si="3"/>
        <v>100.00817438692098</v>
      </c>
      <c r="G113" s="1219"/>
      <c r="H113" s="1219"/>
      <c r="I113" s="1219"/>
      <c r="J113" s="1219"/>
      <c r="K113" s="1219"/>
    </row>
    <row r="114" spans="1:45" s="1226" customFormat="1" ht="15" customHeight="1" x14ac:dyDescent="0.25">
      <c r="A114" s="953"/>
      <c r="B114" s="1235"/>
      <c r="C114" s="1233"/>
      <c r="D114" s="1232"/>
      <c r="E114" s="1232"/>
      <c r="F114" s="1232"/>
      <c r="G114" s="1219"/>
      <c r="H114" s="1219"/>
      <c r="I114" s="1219"/>
      <c r="J114" s="1219"/>
      <c r="K114" s="1219"/>
    </row>
    <row r="115" spans="1:45" s="1236" customFormat="1" ht="8.1" customHeight="1" thickBot="1" x14ac:dyDescent="0.3">
      <c r="A115" s="1206"/>
      <c r="B115" s="1234"/>
      <c r="C115" s="1212"/>
      <c r="D115" s="1232"/>
      <c r="E115" s="1232"/>
      <c r="F115" s="1232"/>
      <c r="G115" s="825"/>
      <c r="H115" s="825"/>
      <c r="I115" s="825"/>
      <c r="J115" s="825"/>
      <c r="K115" s="825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76"/>
      <c r="X115" s="376"/>
      <c r="Y115" s="376"/>
      <c r="Z115" s="376"/>
      <c r="AA115" s="376"/>
      <c r="AB115" s="376"/>
      <c r="AC115" s="376"/>
      <c r="AD115" s="376"/>
      <c r="AE115" s="376"/>
      <c r="AF115" s="376"/>
      <c r="AG115" s="376"/>
      <c r="AH115" s="376"/>
      <c r="AI115" s="376"/>
      <c r="AJ115" s="376"/>
      <c r="AK115" s="376"/>
      <c r="AL115" s="376"/>
      <c r="AM115" s="376"/>
      <c r="AN115" s="376"/>
      <c r="AO115" s="376"/>
      <c r="AP115" s="376"/>
      <c r="AQ115" s="376"/>
      <c r="AR115" s="376"/>
      <c r="AS115" s="376"/>
    </row>
    <row r="116" spans="1:45" ht="24.95" customHeight="1" thickBot="1" x14ac:dyDescent="0.3">
      <c r="A116" s="1228" t="s">
        <v>306</v>
      </c>
      <c r="B116" s="1229" t="s">
        <v>687</v>
      </c>
      <c r="C116" s="1230">
        <f>SUM(C109:C115)</f>
        <v>7400</v>
      </c>
      <c r="D116" s="1230">
        <f>SUM(D109:D115)</f>
        <v>9615</v>
      </c>
      <c r="E116" s="1230">
        <f>SUM(E109:E115)</f>
        <v>734.06</v>
      </c>
      <c r="F116" s="1240">
        <f>E116/D116*100</f>
        <v>7.6345293811752466</v>
      </c>
      <c r="G116" s="1237">
        <f>'4.tábla'!DJ33-C116</f>
        <v>0</v>
      </c>
      <c r="H116" s="1237">
        <f>'4.tábla'!DK33-D116</f>
        <v>0</v>
      </c>
      <c r="I116" s="1237">
        <f>'4.tábla'!DL33-E116</f>
        <v>0</v>
      </c>
      <c r="J116" s="825"/>
      <c r="K116" s="825"/>
    </row>
    <row r="117" spans="1:45" ht="15.75" hidden="1" x14ac:dyDescent="0.25">
      <c r="B117" s="821" t="s">
        <v>470</v>
      </c>
      <c r="C117" s="1238">
        <v>20995</v>
      </c>
      <c r="D117" s="821">
        <v>27940</v>
      </c>
      <c r="E117" s="825"/>
      <c r="F117" s="825"/>
      <c r="G117" s="825"/>
      <c r="H117" s="825"/>
      <c r="I117" s="825"/>
      <c r="J117" s="825"/>
      <c r="K117" s="825"/>
    </row>
    <row r="118" spans="1:45" ht="15.75" x14ac:dyDescent="0.25">
      <c r="B118" s="821"/>
      <c r="C118" s="1238"/>
      <c r="D118" s="821"/>
      <c r="E118" s="825"/>
      <c r="F118" s="825"/>
      <c r="G118" s="825"/>
      <c r="H118" s="825"/>
      <c r="I118" s="825"/>
      <c r="J118" s="825"/>
      <c r="K118" s="825"/>
    </row>
    <row r="119" spans="1:45" ht="15.75" x14ac:dyDescent="0.25">
      <c r="B119" s="821"/>
      <c r="C119" s="1238"/>
      <c r="D119" s="821"/>
      <c r="E119" s="825"/>
      <c r="F119" s="825"/>
      <c r="G119" s="825"/>
      <c r="H119" s="825"/>
      <c r="I119" s="825"/>
      <c r="J119" s="825"/>
      <c r="K119" s="825"/>
    </row>
    <row r="120" spans="1:45" ht="15.75" x14ac:dyDescent="0.25">
      <c r="B120" s="821"/>
      <c r="C120" s="1238"/>
      <c r="D120" s="821"/>
      <c r="E120" s="825"/>
      <c r="F120" s="825"/>
      <c r="G120" s="825"/>
      <c r="H120" s="825"/>
      <c r="I120" s="825"/>
      <c r="J120" s="825"/>
      <c r="K120" s="825"/>
    </row>
    <row r="121" spans="1:45" ht="15.75" x14ac:dyDescent="0.25">
      <c r="B121" s="821"/>
      <c r="C121" s="1238"/>
      <c r="D121" s="821"/>
      <c r="E121" s="825"/>
      <c r="F121" s="825"/>
      <c r="G121" s="825"/>
      <c r="H121" s="825"/>
      <c r="I121" s="825"/>
      <c r="J121" s="825"/>
      <c r="K121" s="825"/>
    </row>
    <row r="122" spans="1:45" ht="15.75" x14ac:dyDescent="0.25">
      <c r="B122" s="821"/>
      <c r="C122" s="1238"/>
      <c r="D122" s="821"/>
      <c r="E122" s="825"/>
      <c r="F122" s="825"/>
      <c r="G122" s="825"/>
      <c r="H122" s="825"/>
      <c r="I122" s="825"/>
      <c r="J122" s="825"/>
      <c r="K122" s="825"/>
    </row>
    <row r="123" spans="1:45" ht="15.75" x14ac:dyDescent="0.25">
      <c r="B123" s="821"/>
      <c r="C123" s="1238"/>
      <c r="D123" s="821"/>
      <c r="E123" s="825"/>
      <c r="F123" s="825"/>
      <c r="G123" s="825"/>
      <c r="H123" s="825"/>
      <c r="I123" s="825"/>
      <c r="J123" s="825"/>
      <c r="K123" s="825"/>
    </row>
    <row r="124" spans="1:45" ht="15.75" x14ac:dyDescent="0.25">
      <c r="B124" s="821"/>
      <c r="C124" s="1238"/>
      <c r="D124" s="821"/>
      <c r="E124" s="825"/>
      <c r="F124" s="825"/>
      <c r="G124" s="825"/>
      <c r="H124" s="825"/>
      <c r="I124" s="825"/>
      <c r="J124" s="825"/>
      <c r="K124" s="825"/>
    </row>
    <row r="125" spans="1:45" ht="15.75" x14ac:dyDescent="0.25">
      <c r="B125" s="821"/>
      <c r="C125" s="1238"/>
      <c r="D125" s="821"/>
      <c r="E125" s="825"/>
      <c r="F125" s="825"/>
      <c r="G125" s="825"/>
      <c r="H125" s="825"/>
      <c r="I125" s="825"/>
      <c r="J125" s="825"/>
      <c r="K125" s="825"/>
    </row>
    <row r="126" spans="1:45" ht="15.75" x14ac:dyDescent="0.25">
      <c r="B126" s="821"/>
      <c r="C126" s="1238"/>
      <c r="D126" s="821"/>
      <c r="E126" s="825"/>
      <c r="F126" s="825"/>
      <c r="G126" s="825"/>
      <c r="H126" s="825"/>
      <c r="I126" s="825"/>
      <c r="J126" s="825"/>
      <c r="K126" s="825"/>
    </row>
    <row r="127" spans="1:45" ht="15.75" x14ac:dyDescent="0.25">
      <c r="B127" s="821"/>
      <c r="C127" s="1238"/>
      <c r="D127" s="821"/>
      <c r="E127" s="825"/>
      <c r="F127" s="825"/>
      <c r="G127" s="825"/>
      <c r="H127" s="825"/>
      <c r="I127" s="825"/>
      <c r="J127" s="825"/>
      <c r="K127" s="825"/>
    </row>
    <row r="128" spans="1:45" ht="15.75" x14ac:dyDescent="0.25">
      <c r="B128" s="821"/>
      <c r="C128" s="1238"/>
      <c r="D128" s="821"/>
      <c r="E128" s="825"/>
      <c r="F128" s="825"/>
      <c r="G128" s="825"/>
      <c r="H128" s="825"/>
      <c r="I128" s="825"/>
      <c r="J128" s="825"/>
      <c r="K128" s="825"/>
    </row>
    <row r="129" spans="2:11" ht="15.75" x14ac:dyDescent="0.25">
      <c r="B129" s="821"/>
      <c r="C129" s="1238"/>
      <c r="D129" s="821"/>
      <c r="E129" s="825"/>
      <c r="F129" s="825"/>
      <c r="G129" s="825"/>
      <c r="H129" s="825"/>
      <c r="I129" s="825"/>
      <c r="J129" s="825"/>
      <c r="K129" s="825"/>
    </row>
    <row r="130" spans="2:11" ht="15.75" x14ac:dyDescent="0.25">
      <c r="B130" s="821"/>
      <c r="C130" s="1238"/>
      <c r="D130" s="821"/>
      <c r="E130" s="825"/>
      <c r="F130" s="825"/>
      <c r="G130" s="825"/>
      <c r="H130" s="825"/>
      <c r="I130" s="825"/>
      <c r="J130" s="825"/>
      <c r="K130" s="825"/>
    </row>
    <row r="131" spans="2:11" ht="15.75" x14ac:dyDescent="0.25">
      <c r="B131" s="821"/>
      <c r="C131" s="1238"/>
      <c r="D131" s="821"/>
      <c r="E131" s="825"/>
      <c r="F131" s="825"/>
      <c r="G131" s="825"/>
      <c r="H131" s="825"/>
      <c r="I131" s="825"/>
      <c r="J131" s="825"/>
      <c r="K131" s="825"/>
    </row>
    <row r="132" spans="2:11" ht="15.75" x14ac:dyDescent="0.25">
      <c r="B132" s="821"/>
      <c r="C132" s="1238"/>
      <c r="D132" s="821"/>
      <c r="E132" s="825"/>
      <c r="F132" s="825"/>
      <c r="G132" s="825"/>
      <c r="H132" s="825"/>
      <c r="I132" s="825"/>
      <c r="J132" s="825"/>
      <c r="K132" s="825"/>
    </row>
    <row r="133" spans="2:11" ht="15.75" x14ac:dyDescent="0.25">
      <c r="B133" s="821"/>
      <c r="C133" s="1238"/>
      <c r="D133" s="821"/>
      <c r="E133" s="825"/>
      <c r="F133" s="825"/>
      <c r="G133" s="825"/>
      <c r="H133" s="825"/>
      <c r="I133" s="825"/>
      <c r="J133" s="825"/>
      <c r="K133" s="825"/>
    </row>
    <row r="134" spans="2:11" ht="15.75" x14ac:dyDescent="0.25">
      <c r="B134" s="821"/>
      <c r="C134" s="1238"/>
      <c r="D134" s="821"/>
      <c r="E134" s="825"/>
      <c r="F134" s="825"/>
      <c r="G134" s="825"/>
      <c r="H134" s="825"/>
      <c r="I134" s="825"/>
      <c r="J134" s="825"/>
      <c r="K134" s="825"/>
    </row>
    <row r="135" spans="2:11" ht="15.75" x14ac:dyDescent="0.25">
      <c r="B135" s="821"/>
      <c r="C135" s="1238"/>
      <c r="D135" s="821"/>
      <c r="E135" s="825"/>
      <c r="F135" s="825"/>
      <c r="G135" s="825"/>
      <c r="H135" s="825"/>
      <c r="I135" s="825"/>
      <c r="J135" s="825"/>
      <c r="K135" s="825"/>
    </row>
    <row r="136" spans="2:11" ht="15.75" x14ac:dyDescent="0.25">
      <c r="B136" s="821"/>
      <c r="C136" s="1238"/>
      <c r="D136" s="821"/>
      <c r="E136" s="825"/>
      <c r="F136" s="825"/>
      <c r="G136" s="825"/>
      <c r="H136" s="825"/>
      <c r="I136" s="825"/>
      <c r="J136" s="825"/>
      <c r="K136" s="825"/>
    </row>
    <row r="137" spans="2:11" ht="15.75" x14ac:dyDescent="0.25">
      <c r="B137" s="821"/>
      <c r="C137" s="1238"/>
      <c r="D137" s="821"/>
      <c r="E137" s="825"/>
      <c r="F137" s="825"/>
      <c r="G137" s="825"/>
      <c r="H137" s="825"/>
      <c r="I137" s="825"/>
      <c r="J137" s="825"/>
      <c r="K137" s="825"/>
    </row>
    <row r="138" spans="2:11" ht="15.75" x14ac:dyDescent="0.25">
      <c r="B138" s="821"/>
      <c r="C138" s="1238"/>
      <c r="D138" s="821"/>
      <c r="E138" s="825"/>
      <c r="F138" s="825"/>
      <c r="G138" s="825"/>
      <c r="H138" s="825"/>
      <c r="I138" s="825"/>
      <c r="J138" s="825"/>
      <c r="K138" s="825"/>
    </row>
    <row r="139" spans="2:11" ht="15.75" x14ac:dyDescent="0.25">
      <c r="B139" s="821"/>
      <c r="C139" s="1238"/>
      <c r="D139" s="821"/>
      <c r="E139" s="825"/>
      <c r="F139" s="825"/>
      <c r="G139" s="825"/>
      <c r="H139" s="825"/>
      <c r="I139" s="825"/>
      <c r="J139" s="825"/>
      <c r="K139" s="825"/>
    </row>
    <row r="140" spans="2:11" ht="15.75" x14ac:dyDescent="0.25">
      <c r="B140" s="821"/>
      <c r="C140" s="1238"/>
      <c r="D140" s="821"/>
      <c r="E140" s="825"/>
      <c r="F140" s="825"/>
      <c r="G140" s="825"/>
      <c r="H140" s="825"/>
      <c r="I140" s="825"/>
      <c r="J140" s="825"/>
      <c r="K140" s="825"/>
    </row>
    <row r="141" spans="2:11" ht="15.75" x14ac:dyDescent="0.25">
      <c r="B141" s="821"/>
      <c r="C141" s="1238"/>
      <c r="D141" s="821"/>
      <c r="E141" s="825"/>
      <c r="F141" s="825"/>
      <c r="G141" s="825"/>
      <c r="H141" s="825"/>
      <c r="I141" s="825"/>
      <c r="J141" s="825"/>
      <c r="K141" s="825"/>
    </row>
    <row r="142" spans="2:11" ht="15.75" x14ac:dyDescent="0.25">
      <c r="B142" s="821"/>
      <c r="C142" s="1238"/>
      <c r="D142" s="821"/>
      <c r="E142" s="825"/>
      <c r="F142" s="825"/>
      <c r="G142" s="825"/>
      <c r="H142" s="825"/>
      <c r="I142" s="825"/>
      <c r="J142" s="825"/>
      <c r="K142" s="825"/>
    </row>
    <row r="143" spans="2:11" ht="15.75" x14ac:dyDescent="0.25">
      <c r="B143" s="821"/>
      <c r="C143" s="1238"/>
      <c r="D143" s="821"/>
      <c r="E143" s="825"/>
      <c r="F143" s="825"/>
      <c r="G143" s="825"/>
      <c r="H143" s="825"/>
      <c r="I143" s="825"/>
      <c r="J143" s="825"/>
      <c r="K143" s="825"/>
    </row>
    <row r="144" spans="2:11" ht="15.75" x14ac:dyDescent="0.25">
      <c r="B144" s="821"/>
      <c r="C144" s="1238"/>
      <c r="D144" s="821"/>
      <c r="E144" s="825"/>
      <c r="F144" s="825"/>
      <c r="G144" s="825"/>
      <c r="H144" s="825"/>
      <c r="I144" s="825"/>
      <c r="J144" s="825"/>
      <c r="K144" s="825"/>
    </row>
    <row r="145" spans="2:11" ht="15.75" x14ac:dyDescent="0.25">
      <c r="B145" s="821"/>
      <c r="C145" s="1238"/>
      <c r="D145" s="821"/>
      <c r="E145" s="825"/>
      <c r="F145" s="825"/>
      <c r="G145" s="825"/>
      <c r="H145" s="825"/>
      <c r="I145" s="825"/>
      <c r="J145" s="825"/>
      <c r="K145" s="825"/>
    </row>
    <row r="146" spans="2:11" ht="15.75" x14ac:dyDescent="0.25">
      <c r="B146" s="821"/>
      <c r="C146" s="1238"/>
      <c r="D146" s="821"/>
      <c r="E146" s="825"/>
      <c r="F146" s="825"/>
      <c r="G146" s="825"/>
      <c r="H146" s="825"/>
      <c r="I146" s="825"/>
      <c r="J146" s="825"/>
      <c r="K146" s="825"/>
    </row>
    <row r="147" spans="2:11" ht="15.75" x14ac:dyDescent="0.25">
      <c r="B147" s="821"/>
      <c r="C147" s="1238"/>
      <c r="D147" s="821"/>
      <c r="E147" s="825"/>
      <c r="F147" s="825"/>
      <c r="G147" s="825"/>
      <c r="H147" s="825"/>
      <c r="I147" s="825"/>
      <c r="J147" s="825"/>
      <c r="K147" s="825"/>
    </row>
    <row r="148" spans="2:11" ht="15.75" x14ac:dyDescent="0.25">
      <c r="B148" s="821"/>
      <c r="C148" s="1238"/>
      <c r="D148" s="821"/>
      <c r="E148" s="825"/>
      <c r="F148" s="825"/>
      <c r="G148" s="825"/>
      <c r="H148" s="825"/>
      <c r="I148" s="825"/>
      <c r="J148" s="825"/>
      <c r="K148" s="825"/>
    </row>
    <row r="149" spans="2:11" ht="15.75" x14ac:dyDescent="0.25">
      <c r="B149" s="821"/>
      <c r="C149" s="1238"/>
      <c r="D149" s="821"/>
      <c r="E149" s="825"/>
      <c r="F149" s="825"/>
      <c r="G149" s="825"/>
      <c r="H149" s="825"/>
      <c r="I149" s="825"/>
      <c r="J149" s="825"/>
      <c r="K149" s="825"/>
    </row>
    <row r="150" spans="2:11" ht="15.75" x14ac:dyDescent="0.25">
      <c r="B150" s="821"/>
      <c r="C150" s="1238"/>
      <c r="D150" s="821"/>
      <c r="E150" s="825"/>
      <c r="F150" s="825"/>
      <c r="G150" s="825"/>
      <c r="H150" s="825"/>
      <c r="I150" s="825"/>
      <c r="J150" s="825"/>
      <c r="K150" s="825"/>
    </row>
    <row r="151" spans="2:11" ht="15.75" x14ac:dyDescent="0.25">
      <c r="B151" s="821"/>
      <c r="C151" s="1238"/>
      <c r="D151" s="821"/>
      <c r="E151" s="825"/>
      <c r="F151" s="825"/>
      <c r="G151" s="825"/>
      <c r="H151" s="825"/>
      <c r="I151" s="825"/>
      <c r="J151" s="825"/>
      <c r="K151" s="825"/>
    </row>
    <row r="152" spans="2:11" ht="15.75" x14ac:dyDescent="0.25">
      <c r="B152" s="821"/>
      <c r="C152" s="1238"/>
      <c r="D152" s="821"/>
      <c r="E152" s="825"/>
      <c r="F152" s="825"/>
      <c r="G152" s="825"/>
      <c r="H152" s="825"/>
      <c r="I152" s="825"/>
      <c r="J152" s="825"/>
      <c r="K152" s="825"/>
    </row>
    <row r="153" spans="2:11" ht="15.75" x14ac:dyDescent="0.25">
      <c r="B153" s="821"/>
      <c r="C153" s="1238"/>
      <c r="D153" s="821"/>
      <c r="E153" s="825"/>
      <c r="F153" s="825"/>
      <c r="G153" s="825"/>
      <c r="H153" s="825"/>
      <c r="I153" s="825"/>
      <c r="J153" s="825"/>
      <c r="K153" s="825"/>
    </row>
    <row r="154" spans="2:11" ht="15.75" x14ac:dyDescent="0.25">
      <c r="B154" s="821"/>
      <c r="C154" s="1238"/>
      <c r="D154" s="821"/>
      <c r="E154" s="825"/>
      <c r="F154" s="825"/>
      <c r="G154" s="825"/>
      <c r="H154" s="825"/>
      <c r="I154" s="825"/>
      <c r="J154" s="825"/>
      <c r="K154" s="825"/>
    </row>
    <row r="155" spans="2:11" ht="15.75" x14ac:dyDescent="0.25">
      <c r="B155" s="821"/>
      <c r="C155" s="1238"/>
      <c r="D155" s="821"/>
      <c r="E155" s="825"/>
      <c r="F155" s="825"/>
      <c r="G155" s="825"/>
      <c r="H155" s="825"/>
      <c r="I155" s="825"/>
      <c r="J155" s="825"/>
      <c r="K155" s="825"/>
    </row>
    <row r="156" spans="2:11" ht="15.75" x14ac:dyDescent="0.25">
      <c r="B156" s="821"/>
      <c r="C156" s="1238"/>
      <c r="D156" s="821"/>
      <c r="E156" s="825"/>
      <c r="F156" s="825"/>
      <c r="G156" s="825"/>
      <c r="H156" s="825"/>
      <c r="I156" s="825"/>
      <c r="J156" s="825"/>
      <c r="K156" s="825"/>
    </row>
    <row r="157" spans="2:11" ht="15.75" x14ac:dyDescent="0.25">
      <c r="B157" s="821"/>
      <c r="C157" s="1238"/>
      <c r="D157" s="821"/>
      <c r="E157" s="825"/>
      <c r="F157" s="825"/>
      <c r="G157" s="825"/>
      <c r="H157" s="825"/>
      <c r="I157" s="825"/>
      <c r="J157" s="825"/>
      <c r="K157" s="825"/>
    </row>
    <row r="158" spans="2:11" ht="15.75" x14ac:dyDescent="0.25">
      <c r="B158" s="821"/>
      <c r="C158" s="1238"/>
      <c r="D158" s="821"/>
      <c r="E158" s="825"/>
      <c r="F158" s="825"/>
      <c r="G158" s="825"/>
      <c r="H158" s="825"/>
      <c r="I158" s="825"/>
      <c r="J158" s="825"/>
      <c r="K158" s="825"/>
    </row>
    <row r="159" spans="2:11" ht="15.75" x14ac:dyDescent="0.25">
      <c r="B159" s="821"/>
      <c r="C159" s="1238"/>
      <c r="D159" s="821"/>
      <c r="E159" s="825"/>
      <c r="F159" s="825"/>
      <c r="G159" s="825"/>
      <c r="H159" s="825"/>
      <c r="I159" s="825"/>
      <c r="J159" s="825"/>
      <c r="K159" s="825"/>
    </row>
    <row r="160" spans="2:11" ht="15.75" x14ac:dyDescent="0.25">
      <c r="B160" s="821"/>
      <c r="C160" s="1238"/>
      <c r="D160" s="821"/>
      <c r="E160" s="825"/>
      <c r="F160" s="825"/>
      <c r="G160" s="825"/>
      <c r="H160" s="825"/>
      <c r="I160" s="825"/>
      <c r="J160" s="825"/>
      <c r="K160" s="825"/>
    </row>
    <row r="161" spans="2:11" ht="15.75" x14ac:dyDescent="0.25">
      <c r="B161" s="821"/>
      <c r="C161" s="1238"/>
      <c r="D161" s="821"/>
      <c r="E161" s="825"/>
      <c r="F161" s="825"/>
      <c r="G161" s="825"/>
      <c r="H161" s="825"/>
      <c r="I161" s="825"/>
      <c r="J161" s="825"/>
      <c r="K161" s="825"/>
    </row>
    <row r="162" spans="2:11" ht="15.75" x14ac:dyDescent="0.25">
      <c r="B162" s="821"/>
      <c r="C162" s="1238"/>
      <c r="D162" s="821"/>
      <c r="E162" s="825"/>
      <c r="F162" s="825"/>
      <c r="G162" s="825"/>
      <c r="H162" s="825"/>
      <c r="I162" s="825"/>
      <c r="J162" s="825"/>
      <c r="K162" s="825"/>
    </row>
    <row r="163" spans="2:11" ht="15.75" x14ac:dyDescent="0.25">
      <c r="B163" s="821"/>
      <c r="C163" s="1238"/>
      <c r="D163" s="821"/>
      <c r="E163" s="825"/>
      <c r="F163" s="825"/>
      <c r="G163" s="825"/>
      <c r="H163" s="825"/>
      <c r="I163" s="825"/>
      <c r="J163" s="825"/>
      <c r="K163" s="825"/>
    </row>
    <row r="164" spans="2:11" ht="15.75" x14ac:dyDescent="0.25">
      <c r="B164" s="821"/>
      <c r="C164" s="1238"/>
      <c r="D164" s="821"/>
      <c r="E164" s="825"/>
      <c r="F164" s="825"/>
      <c r="G164" s="825"/>
      <c r="H164" s="825"/>
      <c r="I164" s="825"/>
      <c r="J164" s="825"/>
      <c r="K164" s="825"/>
    </row>
    <row r="165" spans="2:11" ht="15.75" x14ac:dyDescent="0.25">
      <c r="B165" s="821"/>
      <c r="C165" s="1238"/>
      <c r="D165" s="821"/>
      <c r="E165" s="825"/>
      <c r="F165" s="825"/>
      <c r="G165" s="825"/>
      <c r="H165" s="825"/>
      <c r="I165" s="825"/>
      <c r="J165" s="825"/>
      <c r="K165" s="825"/>
    </row>
    <row r="166" spans="2:11" ht="15.75" x14ac:dyDescent="0.25">
      <c r="B166" s="821"/>
      <c r="C166" s="1238"/>
      <c r="D166" s="821"/>
      <c r="E166" s="825"/>
      <c r="F166" s="825"/>
      <c r="G166" s="825"/>
      <c r="H166" s="825"/>
      <c r="I166" s="825"/>
      <c r="J166" s="825"/>
      <c r="K166" s="825"/>
    </row>
    <row r="167" spans="2:11" ht="15.75" x14ac:dyDescent="0.25">
      <c r="B167" s="821"/>
      <c r="C167" s="1238"/>
      <c r="D167" s="821"/>
      <c r="E167" s="825"/>
      <c r="F167" s="825"/>
      <c r="G167" s="825"/>
      <c r="H167" s="825"/>
      <c r="I167" s="825"/>
      <c r="J167" s="825"/>
      <c r="K167" s="825"/>
    </row>
    <row r="168" spans="2:11" ht="15.75" x14ac:dyDescent="0.25">
      <c r="B168" s="821"/>
      <c r="C168" s="1238"/>
      <c r="D168" s="821"/>
      <c r="E168" s="825"/>
      <c r="F168" s="825"/>
      <c r="G168" s="825"/>
      <c r="H168" s="825"/>
      <c r="I168" s="825"/>
      <c r="J168" s="825"/>
      <c r="K168" s="825"/>
    </row>
    <row r="169" spans="2:11" ht="15.75" x14ac:dyDescent="0.25">
      <c r="B169" s="821"/>
      <c r="C169" s="1238"/>
      <c r="D169" s="821"/>
      <c r="E169" s="825"/>
      <c r="F169" s="825"/>
      <c r="G169" s="825"/>
      <c r="H169" s="825"/>
      <c r="I169" s="825"/>
      <c r="J169" s="825"/>
      <c r="K169" s="825"/>
    </row>
    <row r="170" spans="2:11" ht="15.75" x14ac:dyDescent="0.25">
      <c r="B170" s="821"/>
      <c r="C170" s="1238"/>
      <c r="D170" s="821"/>
      <c r="E170" s="825"/>
      <c r="F170" s="825"/>
      <c r="G170" s="825"/>
      <c r="H170" s="825"/>
      <c r="I170" s="825"/>
      <c r="J170" s="825"/>
      <c r="K170" s="825"/>
    </row>
    <row r="171" spans="2:11" ht="15.75" x14ac:dyDescent="0.25">
      <c r="B171" s="821"/>
      <c r="C171" s="1238"/>
      <c r="D171" s="821"/>
      <c r="E171" s="825"/>
      <c r="F171" s="825"/>
      <c r="G171" s="825"/>
      <c r="H171" s="825"/>
      <c r="I171" s="825"/>
      <c r="J171" s="825"/>
      <c r="K171" s="825"/>
    </row>
    <row r="172" spans="2:11" ht="15.75" x14ac:dyDescent="0.25">
      <c r="B172" s="821"/>
      <c r="C172" s="1238"/>
      <c r="D172" s="821"/>
      <c r="E172" s="825"/>
      <c r="F172" s="825"/>
      <c r="G172" s="825"/>
      <c r="H172" s="825"/>
      <c r="I172" s="825"/>
      <c r="J172" s="825"/>
      <c r="K172" s="825"/>
    </row>
    <row r="173" spans="2:11" ht="15.75" x14ac:dyDescent="0.25">
      <c r="B173" s="821"/>
      <c r="C173" s="1238"/>
      <c r="D173" s="821"/>
      <c r="E173" s="825"/>
      <c r="F173" s="825"/>
      <c r="G173" s="825"/>
      <c r="H173" s="825"/>
      <c r="I173" s="825"/>
      <c r="J173" s="825"/>
      <c r="K173" s="825"/>
    </row>
    <row r="174" spans="2:11" ht="15.75" x14ac:dyDescent="0.25">
      <c r="B174" s="821"/>
      <c r="C174" s="1238"/>
      <c r="D174" s="821"/>
      <c r="E174" s="825"/>
      <c r="F174" s="825"/>
      <c r="G174" s="825"/>
      <c r="H174" s="825"/>
      <c r="I174" s="825"/>
      <c r="J174" s="825"/>
      <c r="K174" s="825"/>
    </row>
    <row r="175" spans="2:11" ht="15.75" x14ac:dyDescent="0.25">
      <c r="B175" s="821"/>
      <c r="C175" s="1238"/>
      <c r="D175" s="821"/>
      <c r="E175" s="825"/>
      <c r="F175" s="825"/>
      <c r="G175" s="825"/>
      <c r="H175" s="825"/>
      <c r="I175" s="825"/>
      <c r="J175" s="825"/>
      <c r="K175" s="825"/>
    </row>
    <row r="176" spans="2:11" ht="15.75" x14ac:dyDescent="0.25">
      <c r="B176" s="821"/>
      <c r="C176" s="1238"/>
      <c r="D176" s="821"/>
      <c r="E176" s="825"/>
      <c r="F176" s="825"/>
      <c r="G176" s="825"/>
      <c r="H176" s="825"/>
      <c r="I176" s="825"/>
      <c r="J176" s="825"/>
      <c r="K176" s="825"/>
    </row>
    <row r="177" spans="2:11" ht="15.75" x14ac:dyDescent="0.25">
      <c r="B177" s="821"/>
      <c r="C177" s="1238"/>
      <c r="D177" s="821"/>
      <c r="E177" s="825"/>
      <c r="F177" s="825"/>
      <c r="G177" s="825"/>
      <c r="H177" s="825"/>
      <c r="I177" s="825"/>
      <c r="J177" s="825"/>
      <c r="K177" s="825"/>
    </row>
    <row r="178" spans="2:11" ht="15.75" x14ac:dyDescent="0.25">
      <c r="B178" s="821"/>
      <c r="C178" s="1238"/>
      <c r="D178" s="821"/>
      <c r="E178" s="825"/>
      <c r="F178" s="825"/>
      <c r="G178" s="825"/>
      <c r="H178" s="825"/>
      <c r="I178" s="825"/>
      <c r="J178" s="825"/>
      <c r="K178" s="825"/>
    </row>
    <row r="179" spans="2:11" ht="15.75" x14ac:dyDescent="0.25">
      <c r="B179" s="821"/>
      <c r="C179" s="1238"/>
      <c r="D179" s="821"/>
      <c r="E179" s="825"/>
      <c r="F179" s="825"/>
      <c r="G179" s="825"/>
      <c r="H179" s="825"/>
      <c r="I179" s="825"/>
      <c r="J179" s="825"/>
      <c r="K179" s="825"/>
    </row>
    <row r="180" spans="2:11" ht="15.75" x14ac:dyDescent="0.25">
      <c r="B180" s="821"/>
      <c r="C180" s="1238"/>
      <c r="D180" s="821"/>
      <c r="E180" s="825"/>
      <c r="F180" s="825"/>
      <c r="G180" s="825"/>
      <c r="H180" s="825"/>
      <c r="I180" s="825"/>
      <c r="J180" s="825"/>
      <c r="K180" s="825"/>
    </row>
    <row r="181" spans="2:11" ht="15.75" x14ac:dyDescent="0.25">
      <c r="B181" s="821"/>
      <c r="C181" s="1238"/>
      <c r="D181" s="821"/>
      <c r="E181" s="825"/>
      <c r="F181" s="825"/>
      <c r="G181" s="825"/>
      <c r="H181" s="825"/>
      <c r="I181" s="825"/>
      <c r="J181" s="825"/>
      <c r="K181" s="825"/>
    </row>
    <row r="182" spans="2:11" ht="15.75" x14ac:dyDescent="0.25">
      <c r="B182" s="821"/>
      <c r="C182" s="1238"/>
      <c r="D182" s="821"/>
      <c r="E182" s="825"/>
      <c r="F182" s="825"/>
      <c r="G182" s="825"/>
      <c r="H182" s="825"/>
      <c r="I182" s="825"/>
      <c r="J182" s="825"/>
      <c r="K182" s="825"/>
    </row>
    <row r="183" spans="2:11" ht="15.75" x14ac:dyDescent="0.25">
      <c r="B183" s="821"/>
      <c r="C183" s="1238"/>
      <c r="D183" s="821"/>
      <c r="E183" s="825"/>
      <c r="F183" s="825"/>
      <c r="G183" s="825"/>
      <c r="H183" s="825"/>
      <c r="I183" s="825"/>
      <c r="J183" s="825"/>
      <c r="K183" s="825"/>
    </row>
    <row r="184" spans="2:11" ht="15.75" x14ac:dyDescent="0.25">
      <c r="B184" s="821"/>
      <c r="C184" s="1238"/>
      <c r="D184" s="821"/>
      <c r="E184" s="825"/>
      <c r="F184" s="825"/>
      <c r="G184" s="825"/>
      <c r="H184" s="825"/>
      <c r="I184" s="825"/>
      <c r="J184" s="825"/>
      <c r="K184" s="825"/>
    </row>
    <row r="185" spans="2:11" ht="15.75" x14ac:dyDescent="0.25">
      <c r="B185" s="821"/>
      <c r="C185" s="1238"/>
      <c r="D185" s="821"/>
      <c r="E185" s="825"/>
      <c r="F185" s="825"/>
      <c r="G185" s="825"/>
      <c r="H185" s="825"/>
      <c r="I185" s="825"/>
      <c r="J185" s="825"/>
      <c r="K185" s="825"/>
    </row>
    <row r="186" spans="2:11" ht="15.75" x14ac:dyDescent="0.25">
      <c r="B186" s="821"/>
      <c r="C186" s="1238"/>
      <c r="D186" s="821"/>
      <c r="E186" s="825"/>
      <c r="F186" s="825"/>
      <c r="G186" s="825"/>
      <c r="H186" s="825"/>
      <c r="I186" s="825"/>
      <c r="J186" s="825"/>
      <c r="K186" s="825"/>
    </row>
    <row r="187" spans="2:11" ht="15.75" x14ac:dyDescent="0.25">
      <c r="B187" s="821"/>
      <c r="C187" s="1238"/>
      <c r="D187" s="821"/>
      <c r="E187" s="825"/>
      <c r="F187" s="825"/>
      <c r="G187" s="825"/>
      <c r="H187" s="825"/>
      <c r="I187" s="825"/>
      <c r="J187" s="825"/>
      <c r="K187" s="825"/>
    </row>
    <row r="188" spans="2:11" ht="15.75" x14ac:dyDescent="0.25">
      <c r="B188" s="821"/>
      <c r="C188" s="1238"/>
      <c r="D188" s="821"/>
      <c r="E188" s="825"/>
      <c r="F188" s="825"/>
      <c r="G188" s="825"/>
      <c r="H188" s="825"/>
      <c r="I188" s="825"/>
      <c r="J188" s="825"/>
      <c r="K188" s="825"/>
    </row>
    <row r="189" spans="2:11" ht="15.75" x14ac:dyDescent="0.25">
      <c r="B189" s="821"/>
      <c r="C189" s="1238"/>
      <c r="D189" s="821"/>
      <c r="E189" s="825"/>
      <c r="F189" s="825"/>
      <c r="G189" s="825"/>
      <c r="H189" s="825"/>
      <c r="I189" s="825"/>
      <c r="J189" s="825"/>
      <c r="K189" s="825"/>
    </row>
    <row r="190" spans="2:11" ht="15.75" x14ac:dyDescent="0.25">
      <c r="B190" s="821"/>
      <c r="C190" s="1238"/>
      <c r="D190" s="821"/>
      <c r="E190" s="825"/>
      <c r="F190" s="825"/>
      <c r="G190" s="825"/>
      <c r="H190" s="825"/>
      <c r="I190" s="825"/>
      <c r="J190" s="825"/>
      <c r="K190" s="825"/>
    </row>
    <row r="191" spans="2:11" ht="15.75" x14ac:dyDescent="0.25">
      <c r="B191" s="821"/>
      <c r="C191" s="1238"/>
      <c r="D191" s="821"/>
      <c r="E191" s="825"/>
      <c r="F191" s="825"/>
      <c r="G191" s="825"/>
      <c r="H191" s="825"/>
      <c r="I191" s="825"/>
      <c r="J191" s="825"/>
      <c r="K191" s="825"/>
    </row>
    <row r="192" spans="2:11" ht="15.75" x14ac:dyDescent="0.25">
      <c r="B192" s="821"/>
      <c r="C192" s="1238"/>
      <c r="D192" s="821"/>
      <c r="E192" s="825"/>
      <c r="F192" s="825"/>
      <c r="G192" s="825"/>
      <c r="H192" s="825"/>
      <c r="I192" s="825"/>
      <c r="J192" s="825"/>
      <c r="K192" s="825"/>
    </row>
    <row r="193" spans="2:11" ht="15.75" x14ac:dyDescent="0.25">
      <c r="B193" s="821"/>
      <c r="C193" s="1238"/>
      <c r="D193" s="821"/>
      <c r="E193" s="825"/>
      <c r="F193" s="825"/>
      <c r="G193" s="825"/>
      <c r="H193" s="825"/>
      <c r="I193" s="825"/>
      <c r="J193" s="825"/>
      <c r="K193" s="825"/>
    </row>
    <row r="194" spans="2:11" ht="15.75" x14ac:dyDescent="0.25">
      <c r="B194" s="821"/>
      <c r="C194" s="1238"/>
      <c r="D194" s="821"/>
      <c r="E194" s="825"/>
      <c r="F194" s="825"/>
      <c r="G194" s="825"/>
      <c r="H194" s="825"/>
      <c r="I194" s="825"/>
      <c r="J194" s="825"/>
      <c r="K194" s="825"/>
    </row>
    <row r="195" spans="2:11" ht="15.75" x14ac:dyDescent="0.25">
      <c r="B195" s="821"/>
      <c r="C195" s="1238"/>
      <c r="D195" s="821"/>
      <c r="E195" s="825"/>
      <c r="F195" s="825"/>
      <c r="G195" s="825"/>
      <c r="H195" s="825"/>
      <c r="I195" s="825"/>
      <c r="J195" s="825"/>
      <c r="K195" s="825"/>
    </row>
    <row r="196" spans="2:11" ht="15.75" x14ac:dyDescent="0.25">
      <c r="B196" s="821"/>
      <c r="C196" s="1238"/>
      <c r="D196" s="821"/>
      <c r="E196" s="825"/>
      <c r="F196" s="825"/>
      <c r="G196" s="825"/>
      <c r="H196" s="825"/>
      <c r="I196" s="825"/>
      <c r="J196" s="825"/>
      <c r="K196" s="825"/>
    </row>
    <row r="197" spans="2:11" ht="15.75" x14ac:dyDescent="0.25">
      <c r="B197" s="821"/>
      <c r="C197" s="1238"/>
      <c r="D197" s="821"/>
      <c r="E197" s="825"/>
      <c r="F197" s="825"/>
      <c r="G197" s="825"/>
      <c r="H197" s="825"/>
      <c r="I197" s="825"/>
      <c r="J197" s="825"/>
      <c r="K197" s="825"/>
    </row>
    <row r="198" spans="2:11" ht="15.75" x14ac:dyDescent="0.25">
      <c r="B198" s="821"/>
      <c r="C198" s="1238"/>
      <c r="D198" s="821"/>
      <c r="E198" s="825"/>
      <c r="F198" s="825"/>
      <c r="G198" s="825"/>
      <c r="H198" s="825"/>
      <c r="I198" s="825"/>
      <c r="J198" s="825"/>
      <c r="K198" s="825"/>
    </row>
    <row r="199" spans="2:11" ht="15.75" x14ac:dyDescent="0.25">
      <c r="B199" s="821"/>
      <c r="C199" s="1238"/>
      <c r="D199" s="821"/>
      <c r="E199" s="825"/>
      <c r="F199" s="825"/>
      <c r="G199" s="825"/>
      <c r="H199" s="825"/>
      <c r="I199" s="825"/>
      <c r="J199" s="825"/>
      <c r="K199" s="825"/>
    </row>
    <row r="200" spans="2:11" ht="15.75" x14ac:dyDescent="0.25">
      <c r="B200" s="821"/>
      <c r="C200" s="1238"/>
      <c r="D200" s="821"/>
      <c r="E200" s="825"/>
      <c r="F200" s="825"/>
      <c r="G200" s="825"/>
      <c r="H200" s="825"/>
      <c r="I200" s="825"/>
      <c r="J200" s="825"/>
      <c r="K200" s="825"/>
    </row>
    <row r="201" spans="2:11" ht="15.75" x14ac:dyDescent="0.25">
      <c r="B201" s="821"/>
      <c r="C201" s="1238"/>
      <c r="D201" s="821"/>
      <c r="E201" s="825"/>
      <c r="F201" s="825"/>
      <c r="G201" s="825"/>
      <c r="H201" s="825"/>
      <c r="I201" s="825"/>
      <c r="J201" s="825"/>
      <c r="K201" s="825"/>
    </row>
    <row r="202" spans="2:11" ht="15.75" x14ac:dyDescent="0.25">
      <c r="B202" s="821"/>
      <c r="C202" s="1238"/>
      <c r="D202" s="821"/>
      <c r="E202" s="825"/>
      <c r="F202" s="825"/>
      <c r="G202" s="825"/>
      <c r="H202" s="825"/>
      <c r="I202" s="825"/>
      <c r="J202" s="825"/>
      <c r="K202" s="825"/>
    </row>
    <row r="203" spans="2:11" ht="15.75" x14ac:dyDescent="0.25">
      <c r="B203" s="821"/>
      <c r="C203" s="1238"/>
      <c r="D203" s="821"/>
      <c r="E203" s="825"/>
      <c r="F203" s="825"/>
      <c r="G203" s="825"/>
      <c r="H203" s="825"/>
      <c r="I203" s="825"/>
      <c r="J203" s="825"/>
      <c r="K203" s="825"/>
    </row>
    <row r="204" spans="2:11" ht="15.75" x14ac:dyDescent="0.25">
      <c r="B204" s="821"/>
      <c r="C204" s="1238"/>
      <c r="D204" s="821"/>
      <c r="E204" s="825"/>
      <c r="F204" s="825"/>
      <c r="G204" s="825"/>
      <c r="H204" s="825"/>
      <c r="I204" s="825"/>
      <c r="J204" s="825"/>
      <c r="K204" s="825"/>
    </row>
    <row r="205" spans="2:11" ht="15.75" x14ac:dyDescent="0.25">
      <c r="B205" s="821"/>
      <c r="C205" s="1238"/>
      <c r="D205" s="821"/>
      <c r="E205" s="825"/>
      <c r="F205" s="825"/>
      <c r="G205" s="825"/>
      <c r="H205" s="825"/>
      <c r="I205" s="825"/>
      <c r="J205" s="825"/>
      <c r="K205" s="825"/>
    </row>
    <row r="206" spans="2:11" ht="15.75" x14ac:dyDescent="0.25">
      <c r="B206" s="821"/>
      <c r="C206" s="1238"/>
      <c r="D206" s="821"/>
      <c r="E206" s="825"/>
      <c r="F206" s="825"/>
      <c r="G206" s="825"/>
      <c r="H206" s="825"/>
      <c r="I206" s="825"/>
      <c r="J206" s="825"/>
      <c r="K206" s="825"/>
    </row>
    <row r="207" spans="2:11" ht="15.75" x14ac:dyDescent="0.25">
      <c r="B207" s="821"/>
      <c r="C207" s="1238"/>
      <c r="D207" s="821"/>
      <c r="E207" s="825"/>
      <c r="F207" s="825"/>
      <c r="G207" s="825"/>
      <c r="H207" s="825"/>
      <c r="I207" s="825"/>
      <c r="J207" s="825"/>
      <c r="K207" s="825"/>
    </row>
    <row r="208" spans="2:11" ht="15.75" x14ac:dyDescent="0.25">
      <c r="B208" s="821"/>
      <c r="C208" s="1238"/>
      <c r="D208" s="821"/>
      <c r="E208" s="825"/>
      <c r="F208" s="825"/>
      <c r="G208" s="825"/>
      <c r="H208" s="825"/>
      <c r="I208" s="825"/>
      <c r="J208" s="825"/>
      <c r="K208" s="825"/>
    </row>
    <row r="209" spans="2:11" ht="15.75" x14ac:dyDescent="0.25">
      <c r="B209" s="821"/>
      <c r="C209" s="1238"/>
      <c r="D209" s="821"/>
      <c r="E209" s="825"/>
      <c r="F209" s="825"/>
      <c r="G209" s="825"/>
      <c r="H209" s="825"/>
      <c r="I209" s="825"/>
      <c r="J209" s="825"/>
      <c r="K209" s="825"/>
    </row>
    <row r="210" spans="2:11" ht="15.75" x14ac:dyDescent="0.25">
      <c r="B210" s="821"/>
      <c r="C210" s="1238"/>
      <c r="D210" s="821"/>
      <c r="E210" s="825"/>
      <c r="F210" s="825"/>
      <c r="G210" s="825"/>
      <c r="H210" s="825"/>
      <c r="I210" s="825"/>
      <c r="J210" s="825"/>
      <c r="K210" s="825"/>
    </row>
    <row r="211" spans="2:11" ht="15.75" x14ac:dyDescent="0.25">
      <c r="B211" s="821"/>
      <c r="C211" s="1238"/>
      <c r="D211" s="821"/>
      <c r="E211" s="825"/>
      <c r="F211" s="825"/>
      <c r="G211" s="825"/>
      <c r="H211" s="825"/>
      <c r="I211" s="825"/>
      <c r="J211" s="825"/>
      <c r="K211" s="825"/>
    </row>
    <row r="212" spans="2:11" ht="15.75" x14ac:dyDescent="0.25">
      <c r="B212" s="821"/>
      <c r="C212" s="1238"/>
      <c r="D212" s="821"/>
      <c r="E212" s="825"/>
      <c r="F212" s="825"/>
      <c r="G212" s="825"/>
      <c r="H212" s="825"/>
      <c r="I212" s="825"/>
      <c r="J212" s="825"/>
      <c r="K212" s="825"/>
    </row>
    <row r="213" spans="2:11" ht="15.75" x14ac:dyDescent="0.25">
      <c r="B213" s="821"/>
      <c r="C213" s="1238"/>
      <c r="D213" s="821"/>
      <c r="E213" s="825"/>
      <c r="F213" s="825"/>
      <c r="G213" s="825"/>
      <c r="H213" s="825"/>
      <c r="I213" s="825"/>
      <c r="J213" s="825"/>
      <c r="K213" s="825"/>
    </row>
    <row r="214" spans="2:11" ht="15.75" x14ac:dyDescent="0.25">
      <c r="B214" s="821"/>
      <c r="C214" s="1238"/>
      <c r="D214" s="821"/>
      <c r="E214" s="825"/>
      <c r="F214" s="825"/>
      <c r="G214" s="825"/>
      <c r="H214" s="825"/>
      <c r="I214" s="825"/>
      <c r="J214" s="825"/>
      <c r="K214" s="825"/>
    </row>
    <row r="215" spans="2:11" ht="15.75" x14ac:dyDescent="0.25">
      <c r="B215" s="821"/>
      <c r="C215" s="1238"/>
      <c r="D215" s="821"/>
      <c r="E215" s="825"/>
      <c r="F215" s="825"/>
      <c r="G215" s="825"/>
      <c r="H215" s="825"/>
      <c r="I215" s="825"/>
      <c r="J215" s="825"/>
      <c r="K215" s="825"/>
    </row>
    <row r="216" spans="2:11" ht="15.75" x14ac:dyDescent="0.25">
      <c r="B216" s="821"/>
      <c r="C216" s="1238"/>
      <c r="D216" s="821"/>
      <c r="E216" s="825"/>
      <c r="F216" s="825"/>
      <c r="G216" s="825"/>
      <c r="H216" s="825"/>
      <c r="I216" s="825"/>
      <c r="J216" s="825"/>
      <c r="K216" s="825"/>
    </row>
    <row r="217" spans="2:11" ht="15.75" x14ac:dyDescent="0.25">
      <c r="B217" s="821"/>
      <c r="C217" s="1238"/>
      <c r="D217" s="821"/>
      <c r="E217" s="825"/>
      <c r="F217" s="825"/>
      <c r="G217" s="825"/>
      <c r="H217" s="825"/>
      <c r="I217" s="825"/>
      <c r="J217" s="825"/>
      <c r="K217" s="825"/>
    </row>
    <row r="218" spans="2:11" ht="15.75" x14ac:dyDescent="0.25">
      <c r="B218" s="821"/>
      <c r="C218" s="1238"/>
      <c r="D218" s="821"/>
      <c r="E218" s="825"/>
      <c r="F218" s="825"/>
      <c r="G218" s="825"/>
      <c r="H218" s="825"/>
      <c r="I218" s="825"/>
      <c r="J218" s="825"/>
      <c r="K218" s="825"/>
    </row>
    <row r="219" spans="2:11" ht="15.75" x14ac:dyDescent="0.25">
      <c r="B219" s="821"/>
      <c r="C219" s="1238"/>
      <c r="D219" s="821"/>
      <c r="E219" s="825"/>
      <c r="F219" s="825"/>
      <c r="G219" s="825"/>
      <c r="H219" s="825"/>
      <c r="I219" s="825"/>
      <c r="J219" s="825"/>
      <c r="K219" s="825"/>
    </row>
    <row r="220" spans="2:11" ht="15.75" x14ac:dyDescent="0.25">
      <c r="B220" s="821"/>
      <c r="C220" s="1238"/>
      <c r="D220" s="821"/>
      <c r="E220" s="825"/>
      <c r="F220" s="825"/>
      <c r="G220" s="825"/>
      <c r="H220" s="825"/>
      <c r="I220" s="825"/>
      <c r="J220" s="825"/>
      <c r="K220" s="825"/>
    </row>
    <row r="221" spans="2:11" ht="15.75" x14ac:dyDescent="0.25">
      <c r="B221" s="821"/>
      <c r="C221" s="1238"/>
      <c r="D221" s="821"/>
      <c r="E221" s="825"/>
      <c r="F221" s="825"/>
      <c r="G221" s="825"/>
      <c r="H221" s="825"/>
      <c r="I221" s="825"/>
      <c r="J221" s="825"/>
      <c r="K221" s="825"/>
    </row>
    <row r="222" spans="2:11" ht="15.75" x14ac:dyDescent="0.25">
      <c r="B222" s="821"/>
      <c r="C222" s="1238"/>
      <c r="D222" s="821"/>
      <c r="E222" s="825"/>
      <c r="F222" s="825"/>
      <c r="G222" s="825"/>
      <c r="H222" s="825"/>
      <c r="I222" s="825"/>
      <c r="J222" s="825"/>
      <c r="K222" s="825"/>
    </row>
    <row r="223" spans="2:11" ht="15.75" x14ac:dyDescent="0.25">
      <c r="B223" s="821"/>
      <c r="C223" s="1238"/>
      <c r="D223" s="821"/>
      <c r="E223" s="825"/>
      <c r="F223" s="825"/>
      <c r="G223" s="825"/>
      <c r="H223" s="825"/>
      <c r="I223" s="825"/>
      <c r="J223" s="825"/>
      <c r="K223" s="825"/>
    </row>
    <row r="224" spans="2:11" ht="15.75" x14ac:dyDescent="0.25">
      <c r="B224" s="821"/>
      <c r="C224" s="1238"/>
      <c r="D224" s="821"/>
      <c r="E224" s="825"/>
      <c r="F224" s="825"/>
      <c r="G224" s="825"/>
      <c r="H224" s="825"/>
      <c r="I224" s="825"/>
      <c r="J224" s="825"/>
      <c r="K224" s="825"/>
    </row>
    <row r="225" spans="2:11" ht="15.75" x14ac:dyDescent="0.25">
      <c r="B225" s="821"/>
      <c r="C225" s="1238"/>
      <c r="D225" s="821"/>
      <c r="E225" s="825"/>
      <c r="F225" s="825"/>
      <c r="G225" s="825"/>
      <c r="H225" s="825"/>
      <c r="I225" s="825"/>
      <c r="J225" s="825"/>
      <c r="K225" s="825"/>
    </row>
    <row r="226" spans="2:11" ht="15.75" x14ac:dyDescent="0.25">
      <c r="B226" s="821"/>
      <c r="C226" s="1238"/>
      <c r="D226" s="821"/>
      <c r="E226" s="825"/>
      <c r="F226" s="825"/>
      <c r="G226" s="825"/>
      <c r="H226" s="825"/>
      <c r="I226" s="825"/>
      <c r="J226" s="825"/>
      <c r="K226" s="825"/>
    </row>
    <row r="227" spans="2:11" ht="15.75" x14ac:dyDescent="0.25">
      <c r="B227" s="821"/>
      <c r="C227" s="1238"/>
      <c r="D227" s="821"/>
      <c r="E227" s="825"/>
      <c r="F227" s="825"/>
      <c r="G227" s="825"/>
      <c r="H227" s="825"/>
      <c r="I227" s="825"/>
      <c r="J227" s="825"/>
      <c r="K227" s="825"/>
    </row>
    <row r="228" spans="2:11" ht="15.75" x14ac:dyDescent="0.25">
      <c r="B228" s="821"/>
      <c r="C228" s="1238"/>
      <c r="D228" s="821"/>
      <c r="E228" s="825"/>
      <c r="F228" s="825"/>
      <c r="G228" s="825"/>
      <c r="H228" s="825"/>
      <c r="I228" s="825"/>
      <c r="J228" s="825"/>
      <c r="K228" s="825"/>
    </row>
    <row r="229" spans="2:11" ht="15.75" x14ac:dyDescent="0.25">
      <c r="B229" s="821"/>
      <c r="C229" s="1238"/>
      <c r="D229" s="821"/>
      <c r="E229" s="825"/>
      <c r="F229" s="825"/>
      <c r="G229" s="825"/>
      <c r="H229" s="825"/>
      <c r="I229" s="825"/>
      <c r="J229" s="825"/>
      <c r="K229" s="825"/>
    </row>
    <row r="230" spans="2:11" ht="15.75" x14ac:dyDescent="0.25">
      <c r="B230" s="821"/>
      <c r="C230" s="1238"/>
      <c r="D230" s="821"/>
      <c r="E230" s="825"/>
      <c r="F230" s="825"/>
      <c r="G230" s="825"/>
      <c r="H230" s="825"/>
      <c r="I230" s="825"/>
      <c r="J230" s="825"/>
      <c r="K230" s="825"/>
    </row>
    <row r="231" spans="2:11" ht="15.75" x14ac:dyDescent="0.25">
      <c r="B231" s="821"/>
      <c r="C231" s="1238"/>
      <c r="D231" s="821"/>
      <c r="E231" s="825"/>
      <c r="F231" s="825"/>
      <c r="G231" s="825"/>
      <c r="H231" s="825"/>
      <c r="I231" s="825"/>
      <c r="J231" s="825"/>
      <c r="K231" s="825"/>
    </row>
    <row r="232" spans="2:11" ht="15.75" x14ac:dyDescent="0.25">
      <c r="B232" s="821"/>
      <c r="C232" s="1238"/>
      <c r="D232" s="821"/>
      <c r="E232" s="825"/>
      <c r="F232" s="825"/>
      <c r="G232" s="825"/>
      <c r="H232" s="825"/>
      <c r="I232" s="825"/>
      <c r="J232" s="825"/>
      <c r="K232" s="825"/>
    </row>
    <row r="233" spans="2:11" ht="15.75" x14ac:dyDescent="0.25">
      <c r="B233" s="821"/>
      <c r="C233" s="1238"/>
      <c r="D233" s="821"/>
      <c r="E233" s="825"/>
      <c r="F233" s="825"/>
      <c r="G233" s="825"/>
      <c r="H233" s="825"/>
      <c r="I233" s="825"/>
      <c r="J233" s="825"/>
      <c r="K233" s="825"/>
    </row>
    <row r="234" spans="2:11" ht="15.75" x14ac:dyDescent="0.25">
      <c r="B234" s="821"/>
      <c r="C234" s="1238"/>
      <c r="D234" s="821"/>
      <c r="E234" s="825"/>
      <c r="F234" s="825"/>
      <c r="G234" s="825"/>
      <c r="H234" s="825"/>
      <c r="I234" s="825"/>
      <c r="J234" s="825"/>
      <c r="K234" s="825"/>
    </row>
    <row r="235" spans="2:11" ht="15.75" x14ac:dyDescent="0.25">
      <c r="B235" s="821"/>
      <c r="C235" s="1238"/>
      <c r="D235" s="821"/>
      <c r="E235" s="825"/>
      <c r="F235" s="825"/>
      <c r="G235" s="825"/>
      <c r="H235" s="825"/>
      <c r="I235" s="825"/>
      <c r="J235" s="825"/>
      <c r="K235" s="825"/>
    </row>
    <row r="236" spans="2:11" ht="15.75" x14ac:dyDescent="0.25">
      <c r="B236" s="821"/>
      <c r="C236" s="1238"/>
      <c r="D236" s="821"/>
      <c r="E236" s="825"/>
      <c r="F236" s="825"/>
      <c r="G236" s="825"/>
      <c r="H236" s="825"/>
      <c r="I236" s="825"/>
      <c r="J236" s="825"/>
      <c r="K236" s="825"/>
    </row>
    <row r="237" spans="2:11" ht="15.75" x14ac:dyDescent="0.25">
      <c r="B237" s="821"/>
      <c r="C237" s="1238"/>
      <c r="D237" s="821"/>
      <c r="E237" s="825"/>
      <c r="F237" s="825"/>
      <c r="G237" s="825"/>
      <c r="H237" s="825"/>
      <c r="I237" s="825"/>
      <c r="J237" s="825"/>
      <c r="K237" s="825"/>
    </row>
    <row r="238" spans="2:11" ht="15.75" x14ac:dyDescent="0.25">
      <c r="B238" s="821"/>
      <c r="C238" s="1238"/>
      <c r="D238" s="821"/>
      <c r="E238" s="825"/>
      <c r="F238" s="825"/>
      <c r="G238" s="825"/>
      <c r="H238" s="825"/>
      <c r="I238" s="825"/>
      <c r="J238" s="825"/>
      <c r="K238" s="825"/>
    </row>
    <row r="239" spans="2:11" ht="15.75" x14ac:dyDescent="0.25">
      <c r="B239" s="821"/>
      <c r="C239" s="1238"/>
      <c r="D239" s="821"/>
      <c r="E239" s="825"/>
      <c r="F239" s="825"/>
      <c r="G239" s="825"/>
      <c r="H239" s="825"/>
      <c r="I239" s="825"/>
      <c r="J239" s="825"/>
      <c r="K239" s="825"/>
    </row>
    <row r="240" spans="2:11" ht="15.75" x14ac:dyDescent="0.25">
      <c r="B240" s="821"/>
      <c r="C240" s="1238"/>
      <c r="D240" s="821"/>
      <c r="E240" s="825"/>
      <c r="F240" s="825"/>
      <c r="G240" s="825"/>
      <c r="H240" s="825"/>
      <c r="I240" s="825"/>
      <c r="J240" s="825"/>
      <c r="K240" s="825"/>
    </row>
    <row r="241" spans="2:11" ht="15.75" x14ac:dyDescent="0.25">
      <c r="B241" s="821"/>
      <c r="C241" s="1238"/>
      <c r="D241" s="821"/>
      <c r="E241" s="825"/>
      <c r="F241" s="825"/>
      <c r="G241" s="825"/>
      <c r="H241" s="825"/>
      <c r="I241" s="825"/>
      <c r="J241" s="825"/>
      <c r="K241" s="825"/>
    </row>
    <row r="242" spans="2:11" ht="15.75" x14ac:dyDescent="0.25">
      <c r="B242" s="821"/>
      <c r="C242" s="1238"/>
      <c r="D242" s="821"/>
      <c r="E242" s="825"/>
      <c r="F242" s="825"/>
      <c r="G242" s="825"/>
      <c r="H242" s="825"/>
      <c r="I242" s="825"/>
      <c r="J242" s="825"/>
      <c r="K242" s="825"/>
    </row>
    <row r="243" spans="2:11" ht="15.75" x14ac:dyDescent="0.25">
      <c r="B243" s="821"/>
      <c r="C243" s="1238"/>
      <c r="D243" s="821"/>
      <c r="E243" s="825"/>
      <c r="F243" s="825"/>
      <c r="G243" s="825"/>
      <c r="H243" s="825"/>
      <c r="I243" s="825"/>
      <c r="J243" s="825"/>
      <c r="K243" s="825"/>
    </row>
    <row r="244" spans="2:11" ht="15.75" x14ac:dyDescent="0.25">
      <c r="B244" s="821"/>
      <c r="C244" s="1238"/>
      <c r="D244" s="821"/>
      <c r="E244" s="825"/>
      <c r="F244" s="825"/>
      <c r="G244" s="825"/>
      <c r="H244" s="825"/>
      <c r="I244" s="825"/>
      <c r="J244" s="825"/>
      <c r="K244" s="825"/>
    </row>
  </sheetData>
  <mergeCells count="2">
    <mergeCell ref="A6:F6"/>
    <mergeCell ref="A7:F7"/>
  </mergeCells>
  <phoneticPr fontId="0" type="noConversion"/>
  <printOptions horizontalCentered="1"/>
  <pageMargins left="0.15748031496062992" right="0.23622047244094491" top="0.59055118110236227" bottom="0.6692913385826772" header="0.23622047244094491" footer="0.23622047244094491"/>
  <pageSetup paperSize="9" scale="85" firstPageNumber="0" orientation="portrait" horizontalDpi="300" verticalDpi="300" r:id="rId1"/>
  <headerFooter alignWithMargins="0">
    <oddFooter>&amp;C14. tábla &amp;P. oldal</oddFooter>
  </headerFooter>
  <rowBreaks count="1" manualBreakCount="1">
    <brk id="95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74"/>
  <sheetViews>
    <sheetView zoomScale="80" zoomScaleNormal="80" workbookViewId="0">
      <pane xSplit="2" ySplit="9" topLeftCell="C49" activePane="bottomRight" state="frozen"/>
      <selection activeCell="V58" sqref="V58"/>
      <selection pane="topRight" activeCell="V58" sqref="V58"/>
      <selection pane="bottomLeft" activeCell="V58" sqref="V58"/>
      <selection pane="bottomRight" activeCell="F1" sqref="F1"/>
    </sheetView>
  </sheetViews>
  <sheetFormatPr defaultRowHeight="12.75" x14ac:dyDescent="0.2"/>
  <cols>
    <col min="1" max="1" width="6.28515625" customWidth="1"/>
    <col min="2" max="2" width="81.42578125" customWidth="1"/>
    <col min="3" max="6" width="12.7109375" customWidth="1"/>
    <col min="7" max="9" width="0" hidden="1" customWidth="1"/>
  </cols>
  <sheetData>
    <row r="1" spans="1:7" ht="12.75" customHeight="1" x14ac:dyDescent="0.2">
      <c r="A1" s="542"/>
      <c r="B1" s="542"/>
      <c r="C1" s="343"/>
      <c r="D1" s="343"/>
      <c r="E1" s="343"/>
      <c r="F1" s="545" t="s">
        <v>1295</v>
      </c>
      <c r="G1" s="545"/>
    </row>
    <row r="2" spans="1:7" ht="11.25" customHeight="1" x14ac:dyDescent="0.2">
      <c r="A2" s="542"/>
      <c r="B2" s="542"/>
      <c r="C2" s="343"/>
      <c r="D2" s="343"/>
      <c r="E2" s="343"/>
      <c r="F2" s="545" t="s">
        <v>57</v>
      </c>
      <c r="G2" s="545"/>
    </row>
    <row r="3" spans="1:7" ht="8.25" customHeight="1" x14ac:dyDescent="0.25">
      <c r="A3" s="2356"/>
      <c r="B3" s="2356"/>
      <c r="C3" s="2356"/>
      <c r="D3" s="2356"/>
      <c r="E3" s="2356"/>
      <c r="F3" s="2356"/>
    </row>
    <row r="4" spans="1:7" x14ac:dyDescent="0.2">
      <c r="A4" s="2357"/>
      <c r="B4" s="2357"/>
      <c r="C4" s="2357"/>
      <c r="D4" s="2357"/>
      <c r="E4" s="2357"/>
      <c r="F4" s="2357"/>
    </row>
    <row r="5" spans="1:7" ht="13.5" thickBot="1" x14ac:dyDescent="0.25">
      <c r="A5" s="1946"/>
      <c r="B5" s="1946"/>
      <c r="C5" s="1946"/>
      <c r="D5" s="1946"/>
      <c r="E5" s="1946"/>
      <c r="F5" s="1946"/>
    </row>
    <row r="6" spans="1:7" ht="15" customHeight="1" x14ac:dyDescent="0.2">
      <c r="A6" s="2012"/>
      <c r="B6" s="2012"/>
      <c r="C6" s="2012" t="s">
        <v>1296</v>
      </c>
      <c r="D6" s="2012" t="s">
        <v>1181</v>
      </c>
      <c r="E6" s="2012"/>
      <c r="F6" s="106" t="s">
        <v>196</v>
      </c>
    </row>
    <row r="7" spans="1:7" ht="15" customHeight="1" x14ac:dyDescent="0.25">
      <c r="A7" s="2013" t="s">
        <v>207</v>
      </c>
      <c r="B7" s="1352" t="s">
        <v>335</v>
      </c>
      <c r="C7" s="1366" t="s">
        <v>38</v>
      </c>
      <c r="D7" s="1366" t="s">
        <v>333</v>
      </c>
      <c r="E7" s="1366" t="s">
        <v>196</v>
      </c>
      <c r="F7" s="2180" t="s">
        <v>198</v>
      </c>
    </row>
    <row r="8" spans="1:7" ht="15" customHeight="1" thickBot="1" x14ac:dyDescent="0.3">
      <c r="A8" s="2014" t="s">
        <v>208</v>
      </c>
      <c r="B8" s="2015"/>
      <c r="C8" s="2016" t="s">
        <v>8</v>
      </c>
      <c r="D8" s="2016" t="s">
        <v>8</v>
      </c>
      <c r="E8" s="2016"/>
      <c r="F8" s="2017"/>
    </row>
    <row r="9" spans="1:7" s="148" customFormat="1" ht="16.5" customHeight="1" thickBot="1" x14ac:dyDescent="0.25">
      <c r="A9" s="2018">
        <v>1</v>
      </c>
      <c r="B9" s="2019">
        <v>2</v>
      </c>
      <c r="C9" s="2181">
        <v>3</v>
      </c>
      <c r="D9" s="2020">
        <v>4</v>
      </c>
      <c r="E9" s="2020">
        <v>5</v>
      </c>
      <c r="F9" s="2182">
        <v>6</v>
      </c>
    </row>
    <row r="10" spans="1:7" s="148" customFormat="1" ht="9" customHeight="1" x14ac:dyDescent="0.2">
      <c r="A10" s="1947"/>
      <c r="B10" s="1353"/>
      <c r="C10" s="1353"/>
      <c r="D10" s="1957"/>
      <c r="E10" s="1957"/>
      <c r="F10" s="2183"/>
    </row>
    <row r="11" spans="1:7" s="148" customFormat="1" ht="20.25" customHeight="1" x14ac:dyDescent="0.25">
      <c r="A11" s="1352" t="s">
        <v>9</v>
      </c>
      <c r="B11" s="1380" t="s">
        <v>1047</v>
      </c>
      <c r="C11" s="1353"/>
      <c r="D11" s="1957"/>
      <c r="E11" s="1957"/>
      <c r="F11" s="2183"/>
    </row>
    <row r="12" spans="1:7" ht="15" x14ac:dyDescent="0.25">
      <c r="A12" s="1354"/>
      <c r="B12" s="1861"/>
      <c r="C12" s="1354"/>
      <c r="D12" s="1958"/>
      <c r="E12" s="1958"/>
      <c r="F12" s="2184"/>
    </row>
    <row r="13" spans="1:7" ht="15" customHeight="1" x14ac:dyDescent="0.2">
      <c r="A13" s="1355" t="s">
        <v>132</v>
      </c>
      <c r="B13" s="1383" t="s">
        <v>418</v>
      </c>
      <c r="C13" s="1356">
        <v>0</v>
      </c>
      <c r="D13" s="1959">
        <v>0</v>
      </c>
      <c r="E13" s="1959">
        <v>0</v>
      </c>
      <c r="F13" s="2185">
        <v>0</v>
      </c>
    </row>
    <row r="14" spans="1:7" ht="15" customHeight="1" x14ac:dyDescent="0.25">
      <c r="A14" s="1354"/>
      <c r="B14" s="1861" t="s">
        <v>1297</v>
      </c>
      <c r="C14" s="1354"/>
      <c r="D14" s="1958">
        <v>4495</v>
      </c>
      <c r="E14" s="2186">
        <v>4318</v>
      </c>
      <c r="F14" s="2187">
        <f>E14/D14*100</f>
        <v>96.062291434927687</v>
      </c>
    </row>
    <row r="15" spans="1:7" ht="15" customHeight="1" x14ac:dyDescent="0.25">
      <c r="A15" s="1354"/>
      <c r="B15" s="1861" t="s">
        <v>1298</v>
      </c>
      <c r="C15" s="1354"/>
      <c r="D15" s="1958">
        <v>848</v>
      </c>
      <c r="E15" s="1958">
        <v>814</v>
      </c>
      <c r="F15" s="2187">
        <f>E15/D15*100</f>
        <v>95.990566037735846</v>
      </c>
    </row>
    <row r="16" spans="1:7" ht="15" customHeight="1" x14ac:dyDescent="0.2">
      <c r="A16" s="1355" t="s">
        <v>368</v>
      </c>
      <c r="B16" s="1383" t="s">
        <v>419</v>
      </c>
      <c r="C16" s="1358">
        <v>0</v>
      </c>
      <c r="D16" s="1359">
        <f>SUM(D14:D15)</f>
        <v>5343</v>
      </c>
      <c r="E16" s="2188">
        <f>SUM(E14:E15)</f>
        <v>5132</v>
      </c>
      <c r="F16" s="2189">
        <f>E16/D16*100</f>
        <v>96.050907729739848</v>
      </c>
    </row>
    <row r="17" spans="1:8" ht="15" customHeight="1" x14ac:dyDescent="0.25">
      <c r="A17" s="1355"/>
      <c r="B17" s="1861"/>
      <c r="C17" s="1354"/>
      <c r="D17" s="1958"/>
      <c r="E17" s="1958"/>
      <c r="F17" s="2184"/>
    </row>
    <row r="18" spans="1:8" ht="15" customHeight="1" x14ac:dyDescent="0.2">
      <c r="A18" s="1355" t="s">
        <v>750</v>
      </c>
      <c r="B18" s="1383" t="s">
        <v>420</v>
      </c>
      <c r="C18" s="1358">
        <v>0</v>
      </c>
      <c r="D18" s="1359">
        <v>0</v>
      </c>
      <c r="E18" s="1359">
        <v>0</v>
      </c>
      <c r="F18" s="2190">
        <v>0</v>
      </c>
    </row>
    <row r="19" spans="1:8" ht="15" customHeight="1" x14ac:dyDescent="0.25">
      <c r="A19" s="1355"/>
      <c r="B19" s="1861"/>
      <c r="C19" s="1354"/>
      <c r="D19" s="1958"/>
      <c r="E19" s="1958"/>
      <c r="F19" s="2184"/>
    </row>
    <row r="20" spans="1:8" ht="15" customHeight="1" x14ac:dyDescent="0.2">
      <c r="A20" s="1355" t="s">
        <v>737</v>
      </c>
      <c r="B20" s="1383" t="s">
        <v>1044</v>
      </c>
      <c r="C20" s="1358">
        <v>0</v>
      </c>
      <c r="D20" s="1359">
        <v>0</v>
      </c>
      <c r="E20" s="1359">
        <v>0</v>
      </c>
      <c r="F20" s="2190">
        <v>0</v>
      </c>
    </row>
    <row r="21" spans="1:8" ht="15" customHeight="1" x14ac:dyDescent="0.25">
      <c r="A21" s="1355"/>
      <c r="B21" s="1861"/>
      <c r="C21" s="1358"/>
      <c r="D21" s="1359"/>
      <c r="E21" s="1359"/>
      <c r="F21" s="2191"/>
    </row>
    <row r="22" spans="1:8" ht="15" customHeight="1" x14ac:dyDescent="0.2">
      <c r="A22" s="1355" t="s">
        <v>201</v>
      </c>
      <c r="B22" s="1383" t="s">
        <v>421</v>
      </c>
      <c r="C22" s="1358">
        <v>0</v>
      </c>
      <c r="D22" s="1359">
        <v>0</v>
      </c>
      <c r="E22" s="1359">
        <v>0</v>
      </c>
      <c r="F22" s="2190">
        <v>0</v>
      </c>
    </row>
    <row r="23" spans="1:8" ht="15" customHeight="1" x14ac:dyDescent="0.2">
      <c r="A23" s="1355"/>
      <c r="B23" s="1383"/>
      <c r="C23" s="1358"/>
      <c r="D23" s="1359"/>
      <c r="E23" s="1359"/>
      <c r="F23" s="2190"/>
    </row>
    <row r="24" spans="1:8" ht="15" customHeight="1" x14ac:dyDescent="0.2">
      <c r="A24" s="1355" t="s">
        <v>209</v>
      </c>
      <c r="B24" s="1383" t="s">
        <v>422</v>
      </c>
      <c r="C24" s="1358">
        <v>0</v>
      </c>
      <c r="D24" s="1359">
        <v>0</v>
      </c>
      <c r="E24" s="1359">
        <v>0</v>
      </c>
      <c r="F24" s="2190">
        <v>0</v>
      </c>
    </row>
    <row r="25" spans="1:8" ht="15" customHeight="1" thickBot="1" x14ac:dyDescent="0.25">
      <c r="A25" s="1361"/>
      <c r="B25" s="1387"/>
      <c r="C25" s="1358"/>
      <c r="D25" s="1359"/>
      <c r="E25" s="1359"/>
      <c r="F25" s="2190"/>
    </row>
    <row r="26" spans="1:8" ht="20.25" customHeight="1" thickBot="1" x14ac:dyDescent="0.25">
      <c r="A26" s="1949" t="s">
        <v>327</v>
      </c>
      <c r="B26" s="1373" t="s">
        <v>423</v>
      </c>
      <c r="C26" s="1362">
        <v>0</v>
      </c>
      <c r="D26" s="1962">
        <f>D13+D16+D18+D20+D22+D24</f>
        <v>5343</v>
      </c>
      <c r="E26" s="1962">
        <f>E16+E18+E20+E22+E24</f>
        <v>5132</v>
      </c>
      <c r="F26" s="2192">
        <f>E26/D26*100</f>
        <v>96.050907729739848</v>
      </c>
      <c r="H26" s="1007"/>
    </row>
    <row r="27" spans="1:8" ht="15" customHeight="1" x14ac:dyDescent="0.25">
      <c r="A27" s="1354"/>
      <c r="B27" s="1381"/>
      <c r="C27" s="1356"/>
      <c r="D27" s="1959"/>
      <c r="E27" s="1959"/>
      <c r="F27" s="2185"/>
    </row>
    <row r="28" spans="1:8" s="149" customFormat="1" ht="15" customHeight="1" x14ac:dyDescent="0.2">
      <c r="A28" s="1355" t="s">
        <v>132</v>
      </c>
      <c r="B28" s="1391" t="s">
        <v>424</v>
      </c>
      <c r="C28" s="1358">
        <v>0</v>
      </c>
      <c r="D28" s="1359">
        <v>0</v>
      </c>
      <c r="E28" s="1359">
        <v>0</v>
      </c>
      <c r="F28" s="2190">
        <v>0</v>
      </c>
    </row>
    <row r="29" spans="1:8" s="149" customFormat="1" ht="15" customHeight="1" x14ac:dyDescent="0.25">
      <c r="A29" s="1355"/>
      <c r="B29" s="1381"/>
      <c r="C29" s="1358"/>
      <c r="D29" s="1359"/>
      <c r="E29" s="1359"/>
      <c r="F29" s="2191"/>
    </row>
    <row r="30" spans="1:8" s="149" customFormat="1" ht="15" customHeight="1" x14ac:dyDescent="0.2">
      <c r="A30" s="1355" t="s">
        <v>368</v>
      </c>
      <c r="B30" s="1391" t="s">
        <v>425</v>
      </c>
      <c r="C30" s="1358">
        <v>0</v>
      </c>
      <c r="D30" s="1359">
        <v>0</v>
      </c>
      <c r="E30" s="1359">
        <v>0</v>
      </c>
      <c r="F30" s="2190">
        <v>0</v>
      </c>
    </row>
    <row r="31" spans="1:8" s="149" customFormat="1" ht="15" customHeight="1" x14ac:dyDescent="0.2">
      <c r="A31" s="1355"/>
      <c r="B31" s="1397"/>
      <c r="C31" s="1356"/>
      <c r="D31" s="1959"/>
      <c r="E31" s="1959"/>
      <c r="F31" s="2193"/>
    </row>
    <row r="32" spans="1:8" s="149" customFormat="1" ht="15" customHeight="1" x14ac:dyDescent="0.2">
      <c r="A32" s="1355" t="s">
        <v>750</v>
      </c>
      <c r="B32" s="1391" t="s">
        <v>426</v>
      </c>
      <c r="C32" s="1358">
        <v>0</v>
      </c>
      <c r="D32" s="1359">
        <v>0</v>
      </c>
      <c r="E32" s="1359">
        <v>0</v>
      </c>
      <c r="F32" s="2190">
        <v>0</v>
      </c>
    </row>
    <row r="33" spans="1:11" ht="15" customHeight="1" x14ac:dyDescent="0.2">
      <c r="A33" s="1355"/>
      <c r="B33" s="1388"/>
      <c r="C33" s="1354"/>
      <c r="D33" s="1958"/>
      <c r="E33" s="1958"/>
      <c r="F33" s="2184"/>
    </row>
    <row r="34" spans="1:11" s="149" customFormat="1" ht="15" customHeight="1" x14ac:dyDescent="0.2">
      <c r="A34" s="1355" t="s">
        <v>737</v>
      </c>
      <c r="B34" s="1388" t="s">
        <v>1131</v>
      </c>
      <c r="C34" s="1358">
        <v>0</v>
      </c>
      <c r="D34" s="1359">
        <v>0</v>
      </c>
      <c r="E34" s="1359">
        <v>0</v>
      </c>
      <c r="F34" s="2190">
        <v>0</v>
      </c>
    </row>
    <row r="35" spans="1:11" s="149" customFormat="1" ht="15" customHeight="1" x14ac:dyDescent="0.2">
      <c r="A35" s="1355"/>
      <c r="B35" s="1952" t="s">
        <v>1299</v>
      </c>
      <c r="C35" s="1363"/>
      <c r="D35" s="1961">
        <v>205.03</v>
      </c>
      <c r="E35" s="1961">
        <v>205.03800000000001</v>
      </c>
      <c r="F35" s="2187">
        <f>E35/D35*100</f>
        <v>100.00390186801933</v>
      </c>
    </row>
    <row r="36" spans="1:11" s="149" customFormat="1" ht="15" customHeight="1" x14ac:dyDescent="0.2">
      <c r="A36" s="1355" t="s">
        <v>201</v>
      </c>
      <c r="B36" s="1383" t="s">
        <v>427</v>
      </c>
      <c r="C36" s="1358">
        <v>0</v>
      </c>
      <c r="D36" s="1359">
        <f>SUM(D35)</f>
        <v>205.03</v>
      </c>
      <c r="E36" s="1359">
        <f>SUM(E35)</f>
        <v>205.03800000000001</v>
      </c>
      <c r="F36" s="2189">
        <f>E36/D36*100</f>
        <v>100.00390186801933</v>
      </c>
    </row>
    <row r="37" spans="1:11" s="149" customFormat="1" ht="15" customHeight="1" x14ac:dyDescent="0.2">
      <c r="A37" s="1355"/>
      <c r="B37" s="1397"/>
      <c r="C37" s="1356"/>
      <c r="D37" s="1959"/>
      <c r="E37" s="1959"/>
      <c r="F37" s="2185"/>
    </row>
    <row r="38" spans="1:11" ht="15" customHeight="1" x14ac:dyDescent="0.2">
      <c r="A38" s="1355" t="s">
        <v>209</v>
      </c>
      <c r="B38" s="1383" t="s">
        <v>428</v>
      </c>
      <c r="C38" s="1358">
        <v>0</v>
      </c>
      <c r="D38" s="1359">
        <v>0</v>
      </c>
      <c r="E38" s="1359">
        <v>0</v>
      </c>
      <c r="F38" s="2190">
        <v>0</v>
      </c>
    </row>
    <row r="39" spans="1:11" ht="15" customHeight="1" x14ac:dyDescent="0.2">
      <c r="A39" s="1355"/>
      <c r="B39" s="1397"/>
      <c r="C39" s="1363"/>
      <c r="D39" s="1961"/>
      <c r="E39" s="1961"/>
      <c r="F39" s="2194"/>
    </row>
    <row r="40" spans="1:11" ht="15" customHeight="1" x14ac:dyDescent="0.2">
      <c r="A40" s="1355" t="s">
        <v>210</v>
      </c>
      <c r="B40" s="1383" t="s">
        <v>429</v>
      </c>
      <c r="C40" s="1358">
        <v>0</v>
      </c>
      <c r="D40" s="1359">
        <v>0</v>
      </c>
      <c r="E40" s="1359">
        <v>0</v>
      </c>
      <c r="F40" s="2190">
        <v>0</v>
      </c>
    </row>
    <row r="41" spans="1:11" ht="15" customHeight="1" x14ac:dyDescent="0.2">
      <c r="A41" s="1355"/>
      <c r="B41" s="1397" t="s">
        <v>1300</v>
      </c>
      <c r="C41" s="1358"/>
      <c r="D41" s="1360">
        <v>1150</v>
      </c>
      <c r="E41" s="1360">
        <v>1103.9169999999999</v>
      </c>
      <c r="F41" s="2187">
        <f>E41/D41*100</f>
        <v>95.992782608695649</v>
      </c>
    </row>
    <row r="42" spans="1:11" s="149" customFormat="1" ht="15" customHeight="1" x14ac:dyDescent="0.2">
      <c r="A42" s="1355" t="s">
        <v>202</v>
      </c>
      <c r="B42" s="1383" t="s">
        <v>430</v>
      </c>
      <c r="C42" s="1358">
        <v>0</v>
      </c>
      <c r="D42" s="1359">
        <f>SUM(D41)</f>
        <v>1150</v>
      </c>
      <c r="E42" s="1359">
        <f>SUM(E41)</f>
        <v>1103.9169999999999</v>
      </c>
      <c r="F42" s="2189">
        <f>E42/D42*100</f>
        <v>95.992782608695649</v>
      </c>
    </row>
    <row r="43" spans="1:11" s="149" customFormat="1" ht="15" customHeight="1" x14ac:dyDescent="0.2">
      <c r="A43" s="1355"/>
      <c r="B43" s="1383"/>
      <c r="C43" s="1363"/>
      <c r="D43" s="1961"/>
      <c r="E43" s="1961"/>
      <c r="F43" s="2194"/>
      <c r="G43" s="371"/>
      <c r="H43" s="371"/>
      <c r="I43" s="371"/>
      <c r="J43" s="371"/>
      <c r="K43" s="371"/>
    </row>
    <row r="44" spans="1:11" s="149" customFormat="1" ht="15" customHeight="1" x14ac:dyDescent="0.2">
      <c r="A44" s="1355" t="s">
        <v>203</v>
      </c>
      <c r="B44" s="1383" t="s">
        <v>431</v>
      </c>
      <c r="C44" s="1358">
        <v>0</v>
      </c>
      <c r="D44" s="1359">
        <v>0</v>
      </c>
      <c r="E44" s="1359">
        <v>0</v>
      </c>
      <c r="F44" s="2190">
        <v>0</v>
      </c>
    </row>
    <row r="45" spans="1:11" ht="15" customHeight="1" x14ac:dyDescent="0.25">
      <c r="A45" s="1355"/>
      <c r="B45" s="1861" t="s">
        <v>1301</v>
      </c>
      <c r="C45" s="1354"/>
      <c r="D45" s="1958">
        <v>100</v>
      </c>
      <c r="E45" s="1958"/>
      <c r="F45" s="2184"/>
    </row>
    <row r="46" spans="1:11" ht="15" customHeight="1" x14ac:dyDescent="0.2">
      <c r="A46" s="1355" t="s">
        <v>204</v>
      </c>
      <c r="B46" s="1383" t="s">
        <v>432</v>
      </c>
      <c r="C46" s="2195">
        <v>0</v>
      </c>
      <c r="D46" s="1357">
        <f>SUM(D45)</f>
        <v>100</v>
      </c>
      <c r="E46" s="1357">
        <v>0</v>
      </c>
      <c r="F46" s="2196">
        <v>0</v>
      </c>
    </row>
    <row r="47" spans="1:11" ht="15" customHeight="1" x14ac:dyDescent="0.25">
      <c r="A47" s="1355"/>
      <c r="B47" s="1861"/>
      <c r="C47" s="2195"/>
      <c r="D47" s="1357"/>
      <c r="E47" s="1357"/>
      <c r="F47" s="2193"/>
    </row>
    <row r="48" spans="1:11" s="149" customFormat="1" ht="15" customHeight="1" x14ac:dyDescent="0.2">
      <c r="A48" s="1355" t="s">
        <v>205</v>
      </c>
      <c r="B48" s="1383" t="s">
        <v>167</v>
      </c>
      <c r="C48" s="1358">
        <v>0</v>
      </c>
      <c r="D48" s="1359">
        <v>0</v>
      </c>
      <c r="E48" s="1359">
        <v>0</v>
      </c>
      <c r="F48" s="2190">
        <v>0</v>
      </c>
    </row>
    <row r="49" spans="1:250" s="149" customFormat="1" ht="15" customHeight="1" x14ac:dyDescent="0.2">
      <c r="A49" s="1355"/>
      <c r="B49" s="1383"/>
      <c r="C49" s="1358"/>
      <c r="D49" s="1359"/>
      <c r="E49" s="1359"/>
      <c r="F49" s="2190"/>
    </row>
    <row r="50" spans="1:250" s="149" customFormat="1" ht="15" customHeight="1" x14ac:dyDescent="0.2">
      <c r="A50" s="1355" t="s">
        <v>684</v>
      </c>
      <c r="B50" s="1383" t="s">
        <v>1058</v>
      </c>
      <c r="C50" s="1358">
        <v>0</v>
      </c>
      <c r="D50" s="1359">
        <v>0</v>
      </c>
      <c r="E50" s="1359">
        <v>0</v>
      </c>
      <c r="F50" s="2190">
        <v>0</v>
      </c>
    </row>
    <row r="51" spans="1:250" s="149" customFormat="1" ht="15" customHeight="1" thickBot="1" x14ac:dyDescent="0.25">
      <c r="A51" s="1364"/>
      <c r="B51" s="1358"/>
      <c r="C51" s="1358"/>
      <c r="D51" s="1359"/>
      <c r="E51" s="1359"/>
      <c r="F51" s="2190"/>
    </row>
    <row r="52" spans="1:250" ht="21" customHeight="1" thickBot="1" x14ac:dyDescent="0.25">
      <c r="A52" s="1365" t="s">
        <v>116</v>
      </c>
      <c r="B52" s="2021" t="s">
        <v>1170</v>
      </c>
      <c r="C52" s="1367">
        <f>C28+C30+C32+C34+C36+C38+C40+C42+C44+C46+C48+C51</f>
        <v>0</v>
      </c>
      <c r="D52" s="1368">
        <f>D28+D30+D32+D34+D36+D38+D40+D42+D44+D46+D48+D50</f>
        <v>1455.03</v>
      </c>
      <c r="E52" s="1368">
        <f>E28+E30+E32+E34+E36+E38+E40+E42+E44+E46+E48+E50</f>
        <v>1308.9549999999999</v>
      </c>
      <c r="F52" s="2192">
        <f>E52/D52*100</f>
        <v>89.960688095778082</v>
      </c>
      <c r="H52" s="7"/>
      <c r="I52" s="7"/>
      <c r="J52" s="7"/>
      <c r="K52" s="7"/>
      <c r="L52" s="7"/>
      <c r="M52" s="7"/>
    </row>
    <row r="53" spans="1:250" s="368" customFormat="1" ht="15" customHeight="1" x14ac:dyDescent="0.2">
      <c r="A53" s="1364"/>
      <c r="B53" s="1859"/>
      <c r="C53" s="2197"/>
      <c r="D53" s="2022"/>
      <c r="E53" s="2022"/>
      <c r="F53" s="2198"/>
      <c r="G53"/>
      <c r="H53" s="85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G53" s="687"/>
      <c r="BI53" s="369"/>
      <c r="BP53" s="687"/>
      <c r="BR53" s="369"/>
      <c r="BY53" s="687"/>
      <c r="CA53" s="369"/>
      <c r="CH53" s="687"/>
      <c r="CJ53" s="369"/>
      <c r="CQ53" s="687"/>
      <c r="CS53" s="369"/>
      <c r="CZ53" s="687"/>
      <c r="DB53" s="369"/>
      <c r="DI53" s="687"/>
      <c r="DK53" s="369"/>
      <c r="DR53" s="687"/>
      <c r="DT53" s="369"/>
      <c r="EA53" s="687"/>
      <c r="EC53" s="369"/>
      <c r="EJ53" s="687"/>
      <c r="EL53" s="369"/>
      <c r="ES53" s="687"/>
      <c r="EU53" s="369"/>
      <c r="FB53" s="687"/>
      <c r="FD53" s="369"/>
      <c r="FK53" s="687"/>
      <c r="FM53" s="369"/>
      <c r="FT53" s="687"/>
      <c r="FV53" s="369"/>
      <c r="GC53" s="687"/>
      <c r="GE53" s="369"/>
      <c r="GL53" s="687"/>
      <c r="GN53" s="369"/>
      <c r="GU53" s="687"/>
      <c r="GW53" s="369"/>
      <c r="HD53" s="687"/>
      <c r="HF53" s="369"/>
      <c r="HM53" s="687"/>
      <c r="HO53" s="369"/>
      <c r="HV53" s="687"/>
      <c r="HX53" s="369"/>
      <c r="IE53" s="687"/>
      <c r="IG53" s="369"/>
      <c r="IN53" s="687"/>
      <c r="IP53" s="369"/>
    </row>
    <row r="54" spans="1:250" ht="15" customHeight="1" x14ac:dyDescent="0.2">
      <c r="A54" s="1355" t="s">
        <v>132</v>
      </c>
      <c r="B54" s="1391" t="s">
        <v>1171</v>
      </c>
      <c r="C54" s="1358">
        <v>0</v>
      </c>
      <c r="D54" s="1359">
        <v>0</v>
      </c>
      <c r="E54" s="1359">
        <v>0</v>
      </c>
      <c r="F54" s="2190">
        <v>0</v>
      </c>
    </row>
    <row r="55" spans="1:250" ht="15" customHeight="1" x14ac:dyDescent="0.2">
      <c r="A55" s="1355"/>
      <c r="B55" s="1860"/>
      <c r="C55" s="1358"/>
      <c r="D55" s="1359"/>
      <c r="E55" s="1359"/>
      <c r="F55" s="2191"/>
    </row>
    <row r="56" spans="1:250" ht="15" customHeight="1" x14ac:dyDescent="0.2">
      <c r="A56" s="1355" t="s">
        <v>368</v>
      </c>
      <c r="B56" s="1391" t="s">
        <v>656</v>
      </c>
      <c r="C56" s="2195">
        <v>0</v>
      </c>
      <c r="D56" s="1357">
        <v>0</v>
      </c>
      <c r="E56" s="1357">
        <v>0</v>
      </c>
      <c r="F56" s="2196">
        <v>0</v>
      </c>
    </row>
    <row r="57" spans="1:250" ht="15" customHeight="1" x14ac:dyDescent="0.2">
      <c r="A57" s="1355"/>
      <c r="B57" s="1860"/>
      <c r="C57" s="2195"/>
      <c r="D57" s="1357"/>
      <c r="E57" s="1357"/>
      <c r="F57" s="2193"/>
    </row>
    <row r="58" spans="1:250" ht="15" customHeight="1" x14ac:dyDescent="0.2">
      <c r="A58" s="1355" t="s">
        <v>750</v>
      </c>
      <c r="B58" s="1391" t="s">
        <v>672</v>
      </c>
      <c r="C58" s="2195">
        <v>0</v>
      </c>
      <c r="D58" s="1357">
        <v>0</v>
      </c>
      <c r="E58" s="1357">
        <v>0</v>
      </c>
      <c r="F58" s="2196">
        <v>0</v>
      </c>
    </row>
    <row r="59" spans="1:250" ht="15" customHeight="1" x14ac:dyDescent="0.2">
      <c r="A59" s="1355"/>
      <c r="B59" s="1391"/>
      <c r="C59" s="2195"/>
      <c r="D59" s="1357"/>
      <c r="E59" s="1357"/>
      <c r="F59" s="2196"/>
    </row>
    <row r="60" spans="1:250" ht="15" customHeight="1" x14ac:dyDescent="0.2">
      <c r="A60" s="1355" t="s">
        <v>737</v>
      </c>
      <c r="B60" s="1391" t="s">
        <v>433</v>
      </c>
      <c r="C60" s="2195">
        <v>0</v>
      </c>
      <c r="D60" s="1357">
        <v>0</v>
      </c>
      <c r="E60" s="1357">
        <v>0</v>
      </c>
      <c r="F60" s="2196">
        <v>0</v>
      </c>
      <c r="I60" s="149"/>
    </row>
    <row r="61" spans="1:250" ht="15" customHeight="1" x14ac:dyDescent="0.2">
      <c r="A61" s="1355"/>
      <c r="B61" s="1397" t="s">
        <v>1302</v>
      </c>
      <c r="C61" s="1363"/>
      <c r="D61" s="1961">
        <v>256</v>
      </c>
      <c r="E61" s="1961">
        <v>255.21799999999999</v>
      </c>
      <c r="F61" s="2187">
        <f>E61/D61*100</f>
        <v>99.694531249999997</v>
      </c>
    </row>
    <row r="62" spans="1:250" ht="15" customHeight="1" x14ac:dyDescent="0.2">
      <c r="A62" s="1355" t="s">
        <v>201</v>
      </c>
      <c r="B62" s="1391" t="s">
        <v>1172</v>
      </c>
      <c r="C62" s="1358">
        <v>0</v>
      </c>
      <c r="D62" s="1359">
        <f>SUM(D61)</f>
        <v>256</v>
      </c>
      <c r="E62" s="1359">
        <f>SUM(E61)</f>
        <v>255.21799999999999</v>
      </c>
      <c r="F62" s="2189">
        <f>E62/D62*100</f>
        <v>99.694531249999997</v>
      </c>
    </row>
    <row r="63" spans="1:250" ht="15" customHeight="1" thickBot="1" x14ac:dyDescent="0.25">
      <c r="A63" s="1366"/>
      <c r="B63" s="1356"/>
      <c r="C63" s="2195"/>
      <c r="D63" s="1357"/>
      <c r="E63" s="1357"/>
      <c r="F63" s="2196"/>
    </row>
    <row r="64" spans="1:250" ht="21.75" customHeight="1" thickBot="1" x14ac:dyDescent="0.25">
      <c r="A64" s="1375" t="s">
        <v>117</v>
      </c>
      <c r="B64" s="1373" t="s">
        <v>1303</v>
      </c>
      <c r="C64" s="1367">
        <f>C54+C56+C58+C60+C62</f>
        <v>0</v>
      </c>
      <c r="D64" s="1368">
        <f>D54+D56+D58+D60+D62</f>
        <v>256</v>
      </c>
      <c r="E64" s="1368">
        <f>E54+E56+E58+E60+E62</f>
        <v>255.21799999999999</v>
      </c>
      <c r="F64" s="2192">
        <f>E64/D64*100</f>
        <v>99.694531249999997</v>
      </c>
    </row>
    <row r="65" spans="1:10" ht="21" customHeight="1" x14ac:dyDescent="0.2">
      <c r="A65" s="1364"/>
      <c r="B65" s="1397" t="s">
        <v>1304</v>
      </c>
      <c r="C65" s="1369"/>
      <c r="D65" s="1360">
        <v>5661.6019999999999</v>
      </c>
      <c r="E65" s="1360">
        <v>5661.6019999999999</v>
      </c>
      <c r="F65" s="1954">
        <f>E65/D65*100</f>
        <v>100</v>
      </c>
    </row>
    <row r="66" spans="1:10" ht="21" customHeight="1" thickBot="1" x14ac:dyDescent="0.25">
      <c r="A66" s="1364"/>
      <c r="B66" s="1397" t="s">
        <v>1305</v>
      </c>
      <c r="C66" s="1369"/>
      <c r="D66" s="1370"/>
      <c r="E66" s="1370"/>
      <c r="F66" s="2191"/>
    </row>
    <row r="67" spans="1:10" ht="22.5" customHeight="1" thickBot="1" x14ac:dyDescent="0.25">
      <c r="A67" s="1371" t="s">
        <v>118</v>
      </c>
      <c r="B67" s="1376" t="s">
        <v>1045</v>
      </c>
      <c r="C67" s="1367">
        <v>0</v>
      </c>
      <c r="D67" s="1368">
        <f>SUM(D65:D66)</f>
        <v>5661.6019999999999</v>
      </c>
      <c r="E67" s="1368">
        <f>SUM(E65:E66)</f>
        <v>5661.6019999999999</v>
      </c>
      <c r="F67" s="2192">
        <f>E67/D67*100</f>
        <v>100</v>
      </c>
    </row>
    <row r="68" spans="1:10" ht="15" customHeight="1" thickBot="1" x14ac:dyDescent="0.25">
      <c r="A68" s="1355"/>
      <c r="B68" s="1391"/>
      <c r="C68" s="1369"/>
      <c r="D68" s="1370"/>
      <c r="E68" s="1370"/>
      <c r="F68" s="2199"/>
    </row>
    <row r="69" spans="1:10" ht="23.25" customHeight="1" thickBot="1" x14ac:dyDescent="0.25">
      <c r="A69" s="1372" t="s">
        <v>9</v>
      </c>
      <c r="B69" s="1373" t="s">
        <v>1132</v>
      </c>
      <c r="C69" s="1362">
        <f>C26+C52+C64+C67</f>
        <v>0</v>
      </c>
      <c r="D69" s="2222">
        <f>D26+D52+D64+D67</f>
        <v>12715.632</v>
      </c>
      <c r="E69" s="2222">
        <f>E26+E52+E64+E67</f>
        <v>12357.775</v>
      </c>
      <c r="F69" s="2192">
        <f>E69/D69*100</f>
        <v>97.185692382415596</v>
      </c>
      <c r="J69" s="7"/>
    </row>
    <row r="70" spans="1:10" ht="18.75" customHeight="1" thickBot="1" x14ac:dyDescent="0.25">
      <c r="A70" s="1355"/>
      <c r="B70" s="1397"/>
      <c r="C70" s="1369"/>
      <c r="D70" s="1370"/>
      <c r="E70" s="1370"/>
      <c r="F70" s="2191"/>
    </row>
    <row r="71" spans="1:10" ht="28.5" customHeight="1" thickBot="1" x14ac:dyDescent="0.25">
      <c r="A71" s="1371" t="s">
        <v>380</v>
      </c>
      <c r="B71" s="1376" t="s">
        <v>218</v>
      </c>
      <c r="C71" s="1367">
        <v>0</v>
      </c>
      <c r="D71" s="1368">
        <v>0</v>
      </c>
      <c r="E71" s="1368">
        <v>0</v>
      </c>
      <c r="F71" s="2200">
        <v>0</v>
      </c>
      <c r="J71" s="7"/>
    </row>
    <row r="72" spans="1:10" ht="15" customHeight="1" thickBot="1" x14ac:dyDescent="0.25">
      <c r="A72" s="1355"/>
      <c r="B72" s="1391"/>
      <c r="C72" s="1369"/>
      <c r="D72" s="1370"/>
      <c r="E72" s="1370"/>
      <c r="F72" s="2199"/>
    </row>
    <row r="73" spans="1:10" ht="37.5" customHeight="1" thickBot="1" x14ac:dyDescent="0.25">
      <c r="A73" s="1375"/>
      <c r="B73" s="1376" t="s">
        <v>434</v>
      </c>
      <c r="C73" s="2218">
        <f>'T_14_Önk+PH_felúj_'!C107+'T_14_Önk+PH_felúj_'!C116+C26+C52+C64+C67+C71</f>
        <v>32820</v>
      </c>
      <c r="D73" s="1377">
        <f>'T_14_Önk+PH_felúj_'!D107+'T_14_Önk+PH_felúj_'!D116+D26+D52+D64+D67+D71</f>
        <v>65909.631999999998</v>
      </c>
      <c r="E73" s="1377">
        <f>'T_14_Önk+PH_felúj_'!E107+'T_14_Önk+PH_felúj_'!E116+E26+E52+E64+E67+E71</f>
        <v>50477.381000000001</v>
      </c>
      <c r="F73" s="1868">
        <f>E73/D73*100</f>
        <v>76.585742429877328</v>
      </c>
      <c r="G73" s="2219">
        <f>'4.tábla'!DS33-C73</f>
        <v>0</v>
      </c>
      <c r="H73" s="2219">
        <f>'4.tábla'!DT33-D73</f>
        <v>0</v>
      </c>
      <c r="I73" s="2219">
        <f>'4.tábla'!DU33-E73</f>
        <v>0</v>
      </c>
    </row>
    <row r="74" spans="1:10" hidden="1" x14ac:dyDescent="0.2">
      <c r="C74">
        <v>32820</v>
      </c>
    </row>
  </sheetData>
  <mergeCells count="2">
    <mergeCell ref="A3:F3"/>
    <mergeCell ref="A4:F4"/>
  </mergeCells>
  <printOptions horizontalCentered="1" verticalCentered="1"/>
  <pageMargins left="0.19685039370078741" right="0" top="0.27559055118110237" bottom="0.31496062992125984" header="0.19685039370078741" footer="0.15748031496062992"/>
  <pageSetup paperSize="9" scale="73" firstPageNumber="0" orientation="portrait" horizontalDpi="300" verticalDpi="300" r:id="rId1"/>
  <headerFooter alignWithMargins="0">
    <oddFooter>&amp;C14. tábla &amp;P+2.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2"/>
  <dimension ref="A2:L390"/>
  <sheetViews>
    <sheetView zoomScaleNormal="100" workbookViewId="0">
      <selection activeCell="F2" sqref="F2"/>
    </sheetView>
  </sheetViews>
  <sheetFormatPr defaultRowHeight="12.75" x14ac:dyDescent="0.2"/>
  <cols>
    <col min="1" max="1" width="5.7109375" style="377" customWidth="1"/>
    <col min="2" max="2" width="62.85546875" style="378" customWidth="1"/>
    <col min="3" max="3" width="12.7109375" style="374" customWidth="1"/>
    <col min="4" max="4" width="12.7109375" style="343" customWidth="1"/>
    <col min="5" max="6" width="12.7109375" style="370" customWidth="1"/>
    <col min="7" max="7" width="8.140625" style="370" hidden="1" customWidth="1"/>
    <col min="8" max="8" width="7.140625" style="370" hidden="1" customWidth="1"/>
    <col min="9" max="9" width="8" style="370" hidden="1" customWidth="1"/>
    <col min="10" max="12" width="7.7109375" style="677" customWidth="1"/>
    <col min="13" max="13" width="9.140625" style="677" customWidth="1"/>
    <col min="14" max="16384" width="9.140625" style="677"/>
  </cols>
  <sheetData>
    <row r="2" spans="1:9" s="374" customFormat="1" x14ac:dyDescent="0.2">
      <c r="A2" s="372"/>
      <c r="B2" s="373"/>
      <c r="D2" s="545"/>
      <c r="E2" s="343"/>
      <c r="F2" s="545" t="s">
        <v>1278</v>
      </c>
      <c r="G2" s="343"/>
      <c r="H2" s="343"/>
      <c r="I2" s="343"/>
    </row>
    <row r="3" spans="1:9" s="374" customFormat="1" x14ac:dyDescent="0.2">
      <c r="A3" s="372"/>
      <c r="B3" s="373"/>
      <c r="D3" s="545"/>
      <c r="E3" s="343"/>
      <c r="F3" s="545" t="s">
        <v>57</v>
      </c>
      <c r="G3" s="343"/>
      <c r="H3" s="343"/>
      <c r="I3" s="343"/>
    </row>
    <row r="4" spans="1:9" s="374" customFormat="1" hidden="1" x14ac:dyDescent="0.2">
      <c r="A4" s="372"/>
      <c r="B4" s="373"/>
      <c r="D4" s="545"/>
      <c r="E4" s="343"/>
      <c r="F4" s="1006" t="s">
        <v>501</v>
      </c>
      <c r="G4" s="343"/>
      <c r="H4" s="343"/>
      <c r="I4" s="343"/>
    </row>
    <row r="5" spans="1:9" s="374" customFormat="1" x14ac:dyDescent="0.2">
      <c r="A5" s="372"/>
      <c r="B5" s="373"/>
      <c r="D5" s="343"/>
      <c r="E5" s="343"/>
      <c r="F5" s="343"/>
      <c r="G5" s="343"/>
      <c r="H5" s="343"/>
      <c r="I5" s="343"/>
    </row>
    <row r="6" spans="1:9" s="374" customFormat="1" ht="16.5" x14ac:dyDescent="0.25">
      <c r="A6" s="2354" t="s">
        <v>1279</v>
      </c>
      <c r="B6" s="2354"/>
      <c r="C6" s="2354"/>
      <c r="D6" s="2354"/>
      <c r="E6" s="2354"/>
      <c r="F6" s="2354"/>
      <c r="G6" s="343"/>
      <c r="H6" s="343"/>
      <c r="I6" s="343"/>
    </row>
    <row r="7" spans="1:9" s="374" customFormat="1" x14ac:dyDescent="0.2">
      <c r="A7" s="2355" t="s">
        <v>389</v>
      </c>
      <c r="B7" s="2355"/>
      <c r="C7" s="2355"/>
      <c r="D7" s="2355"/>
      <c r="E7" s="2355"/>
      <c r="F7" s="2355"/>
      <c r="G7" s="343"/>
      <c r="H7" s="343"/>
      <c r="I7" s="343"/>
    </row>
    <row r="8" spans="1:9" s="374" customFormat="1" ht="17.25" customHeight="1" thickBot="1" x14ac:dyDescent="0.25">
      <c r="A8" s="372"/>
      <c r="B8" s="373"/>
      <c r="D8" s="343"/>
      <c r="E8" s="343"/>
      <c r="F8" s="343"/>
      <c r="G8" s="343"/>
      <c r="H8" s="343"/>
      <c r="I8" s="343"/>
    </row>
    <row r="9" spans="1:9" s="374" customFormat="1" x14ac:dyDescent="0.2">
      <c r="A9" s="1194" t="s">
        <v>207</v>
      </c>
      <c r="B9" s="1242" t="s">
        <v>335</v>
      </c>
      <c r="C9" s="1196" t="s">
        <v>1181</v>
      </c>
      <c r="D9" s="1197" t="s">
        <v>1181</v>
      </c>
      <c r="E9" s="1197"/>
      <c r="F9" s="1197"/>
      <c r="G9" s="16" t="s">
        <v>500</v>
      </c>
      <c r="H9" s="6"/>
      <c r="I9" s="6"/>
    </row>
    <row r="10" spans="1:9" s="374" customFormat="1" x14ac:dyDescent="0.2">
      <c r="A10" s="1198" t="s">
        <v>208</v>
      </c>
      <c r="B10" s="1243"/>
      <c r="C10" s="1200" t="s">
        <v>38</v>
      </c>
      <c r="D10" s="1200" t="s">
        <v>333</v>
      </c>
      <c r="E10" s="1200" t="s">
        <v>196</v>
      </c>
      <c r="F10" s="1200" t="s">
        <v>196</v>
      </c>
      <c r="G10" s="1292" t="s">
        <v>511</v>
      </c>
      <c r="H10" s="6"/>
      <c r="I10" s="6"/>
    </row>
    <row r="11" spans="1:9" s="374" customFormat="1" ht="13.5" thickBot="1" x14ac:dyDescent="0.25">
      <c r="A11" s="1244"/>
      <c r="B11" s="1245"/>
      <c r="C11" s="1203" t="s">
        <v>8</v>
      </c>
      <c r="D11" s="1204" t="s">
        <v>8</v>
      </c>
      <c r="E11" s="1204"/>
      <c r="F11" s="1204" t="s">
        <v>198</v>
      </c>
      <c r="G11" s="17" t="s">
        <v>38</v>
      </c>
      <c r="H11" s="6" t="s">
        <v>512</v>
      </c>
      <c r="I11" s="6" t="s">
        <v>513</v>
      </c>
    </row>
    <row r="12" spans="1:9" s="374" customFormat="1" ht="13.5" thickBot="1" x14ac:dyDescent="0.25">
      <c r="A12" s="1246">
        <v>1</v>
      </c>
      <c r="B12" s="1247">
        <v>2</v>
      </c>
      <c r="C12" s="1249">
        <v>3</v>
      </c>
      <c r="D12" s="1248">
        <v>4</v>
      </c>
      <c r="E12" s="1248">
        <v>5</v>
      </c>
      <c r="F12" s="1248">
        <v>6</v>
      </c>
    </row>
    <row r="13" spans="1:9" ht="9.9499999999999993" customHeight="1" x14ac:dyDescent="0.25">
      <c r="A13" s="1250"/>
      <c r="B13" s="1211"/>
      <c r="C13" s="1251"/>
      <c r="D13" s="1252"/>
      <c r="E13" s="1252"/>
      <c r="F13" s="1252"/>
      <c r="G13" s="677"/>
      <c r="H13" s="677"/>
      <c r="I13" s="677"/>
    </row>
    <row r="14" spans="1:9" s="1254" customFormat="1" ht="15.75" x14ac:dyDescent="0.25">
      <c r="A14" s="1210" t="s">
        <v>134</v>
      </c>
      <c r="B14" s="1211" t="s">
        <v>551</v>
      </c>
      <c r="C14" s="1251"/>
      <c r="D14" s="1253"/>
      <c r="E14" s="1253"/>
      <c r="F14" s="1253"/>
    </row>
    <row r="15" spans="1:9" s="1254" customFormat="1" ht="9.9499999999999993" customHeight="1" x14ac:dyDescent="0.25">
      <c r="A15" s="1210"/>
      <c r="B15" s="1211"/>
      <c r="C15" s="1251"/>
      <c r="D15" s="1253"/>
      <c r="E15" s="1253"/>
      <c r="F15" s="1253"/>
    </row>
    <row r="16" spans="1:9" s="1254" customFormat="1" ht="13.5" customHeight="1" x14ac:dyDescent="0.25">
      <c r="A16" s="1215" t="s">
        <v>692</v>
      </c>
      <c r="B16" s="1216" t="s">
        <v>448</v>
      </c>
      <c r="C16" s="1251"/>
      <c r="D16" s="1253"/>
      <c r="E16" s="1253"/>
      <c r="F16" s="1253"/>
    </row>
    <row r="17" spans="1:9" s="1254" customFormat="1" ht="9.9499999999999993" customHeight="1" x14ac:dyDescent="0.25">
      <c r="A17" s="1210"/>
      <c r="B17" s="1211"/>
      <c r="C17" s="1251"/>
      <c r="D17" s="1253"/>
      <c r="E17" s="1253"/>
      <c r="F17" s="1253"/>
    </row>
    <row r="18" spans="1:9" ht="13.5" customHeight="1" x14ac:dyDescent="0.25">
      <c r="A18" s="1217">
        <v>1</v>
      </c>
      <c r="B18" s="1218" t="s">
        <v>449</v>
      </c>
      <c r="C18" s="1255"/>
      <c r="D18" s="1256"/>
      <c r="E18" s="1256"/>
      <c r="F18" s="1256"/>
      <c r="G18" s="677"/>
      <c r="H18" s="677"/>
      <c r="I18" s="677"/>
    </row>
    <row r="19" spans="1:9" ht="9.9499999999999993" customHeight="1" x14ac:dyDescent="0.25">
      <c r="A19" s="1217"/>
      <c r="B19" s="1218"/>
      <c r="C19" s="1255"/>
      <c r="D19" s="1256"/>
      <c r="E19" s="1256"/>
      <c r="F19" s="1256"/>
      <c r="G19" s="677"/>
      <c r="H19" s="677"/>
      <c r="I19" s="677"/>
    </row>
    <row r="20" spans="1:9" ht="12.75" customHeight="1" x14ac:dyDescent="0.2">
      <c r="A20" s="1206" t="s">
        <v>132</v>
      </c>
      <c r="B20" s="1220" t="s">
        <v>17</v>
      </c>
      <c r="C20" s="1221">
        <v>190500</v>
      </c>
      <c r="D20" s="1257">
        <v>313923</v>
      </c>
      <c r="E20" s="1257">
        <v>130476.061</v>
      </c>
      <c r="F20" s="388">
        <f>E20/D20*100</f>
        <v>41.563077888526806</v>
      </c>
      <c r="G20" s="677"/>
      <c r="H20" s="677"/>
      <c r="I20" s="677"/>
    </row>
    <row r="21" spans="1:9" x14ac:dyDescent="0.2">
      <c r="A21" s="1206" t="s">
        <v>368</v>
      </c>
      <c r="B21" s="1220" t="s">
        <v>15</v>
      </c>
      <c r="C21" s="1221">
        <v>190500</v>
      </c>
      <c r="D21" s="1257">
        <v>193984</v>
      </c>
      <c r="E21" s="1257">
        <v>129467.306</v>
      </c>
      <c r="F21" s="388">
        <f t="shared" ref="F21:F43" si="0">E21/D21*100</f>
        <v>66.741229173540091</v>
      </c>
      <c r="G21" s="677"/>
      <c r="H21" s="677"/>
      <c r="I21" s="677"/>
    </row>
    <row r="22" spans="1:9" x14ac:dyDescent="0.2">
      <c r="A22" s="1206" t="s">
        <v>750</v>
      </c>
      <c r="B22" s="1220" t="s">
        <v>16</v>
      </c>
      <c r="C22" s="1221">
        <v>25400</v>
      </c>
      <c r="D22" s="1257">
        <v>2501</v>
      </c>
      <c r="E22" s="1257">
        <v>0</v>
      </c>
      <c r="F22" s="388">
        <f t="shared" si="0"/>
        <v>0</v>
      </c>
      <c r="G22" s="677"/>
      <c r="H22" s="677"/>
      <c r="I22" s="677"/>
    </row>
    <row r="23" spans="1:9" x14ac:dyDescent="0.2">
      <c r="A23" s="1206" t="s">
        <v>737</v>
      </c>
      <c r="B23" s="1258" t="s">
        <v>554</v>
      </c>
      <c r="C23" s="1259">
        <v>190500</v>
      </c>
      <c r="D23" s="1257">
        <v>263081</v>
      </c>
      <c r="E23" s="1257">
        <v>171157.86300000001</v>
      </c>
      <c r="F23" s="388">
        <f t="shared" si="0"/>
        <v>65.058998179267988</v>
      </c>
      <c r="G23" s="677"/>
      <c r="H23" s="677"/>
      <c r="I23" s="677"/>
    </row>
    <row r="24" spans="1:9" x14ac:dyDescent="0.2">
      <c r="A24" s="1206" t="s">
        <v>201</v>
      </c>
      <c r="B24" s="1258" t="s">
        <v>1021</v>
      </c>
      <c r="C24" s="1259">
        <v>190500</v>
      </c>
      <c r="D24" s="1257">
        <v>290695</v>
      </c>
      <c r="E24" s="1257">
        <v>100096.936</v>
      </c>
      <c r="F24" s="388">
        <f t="shared" si="0"/>
        <v>34.43366277369752</v>
      </c>
      <c r="G24" s="677"/>
      <c r="H24" s="677"/>
      <c r="I24" s="677"/>
    </row>
    <row r="25" spans="1:9" x14ac:dyDescent="0.2">
      <c r="A25" s="1206" t="s">
        <v>209</v>
      </c>
      <c r="B25" s="1220" t="s">
        <v>1150</v>
      </c>
      <c r="C25" s="1221">
        <v>25400</v>
      </c>
      <c r="D25" s="1257">
        <v>32730</v>
      </c>
      <c r="E25" s="1257">
        <v>8150</v>
      </c>
      <c r="F25" s="388">
        <f t="shared" si="0"/>
        <v>24.900702719217843</v>
      </c>
      <c r="G25" s="677"/>
      <c r="H25" s="677"/>
      <c r="I25" s="677"/>
    </row>
    <row r="26" spans="1:9" x14ac:dyDescent="0.2">
      <c r="A26" s="1206" t="s">
        <v>210</v>
      </c>
      <c r="B26" s="1258" t="s">
        <v>14</v>
      </c>
      <c r="C26" s="1259">
        <v>186535</v>
      </c>
      <c r="D26" s="1257">
        <v>243786</v>
      </c>
      <c r="E26" s="1257">
        <v>244990.641</v>
      </c>
      <c r="F26" s="388">
        <f t="shared" si="0"/>
        <v>100.49413871182102</v>
      </c>
      <c r="G26" s="677"/>
      <c r="H26" s="677"/>
      <c r="I26" s="677"/>
    </row>
    <row r="27" spans="1:9" x14ac:dyDescent="0.2">
      <c r="A27" s="1206" t="s">
        <v>202</v>
      </c>
      <c r="B27" s="1258" t="s">
        <v>553</v>
      </c>
      <c r="C27" s="1259">
        <v>13843</v>
      </c>
      <c r="D27" s="1257">
        <v>30277</v>
      </c>
      <c r="E27" s="1257">
        <v>27685.41</v>
      </c>
      <c r="F27" s="388">
        <f t="shared" si="0"/>
        <v>91.440400303861011</v>
      </c>
      <c r="G27" s="677"/>
      <c r="H27" s="677"/>
      <c r="I27" s="677"/>
    </row>
    <row r="28" spans="1:9" x14ac:dyDescent="0.2">
      <c r="A28" s="1206" t="s">
        <v>203</v>
      </c>
      <c r="B28" s="1258" t="s">
        <v>1019</v>
      </c>
      <c r="C28" s="1259">
        <v>27813</v>
      </c>
      <c r="D28" s="1257">
        <v>40790</v>
      </c>
      <c r="E28" s="1257">
        <v>41836.853999999999</v>
      </c>
      <c r="F28" s="388">
        <f t="shared" si="0"/>
        <v>102.56644765873988</v>
      </c>
      <c r="G28" s="677"/>
      <c r="H28" s="677"/>
      <c r="I28" s="677"/>
    </row>
    <row r="29" spans="1:9" x14ac:dyDescent="0.2">
      <c r="A29" s="1206" t="s">
        <v>204</v>
      </c>
      <c r="B29" s="1260" t="s">
        <v>18</v>
      </c>
      <c r="C29" s="1221">
        <v>33274</v>
      </c>
      <c r="D29" s="1257">
        <v>33274</v>
      </c>
      <c r="E29" s="1257">
        <v>33273.231</v>
      </c>
      <c r="F29" s="388">
        <f t="shared" si="0"/>
        <v>99.99768888621746</v>
      </c>
      <c r="G29" s="677"/>
      <c r="H29" s="677"/>
      <c r="I29" s="677"/>
    </row>
    <row r="30" spans="1:9" x14ac:dyDescent="0.2">
      <c r="A30" s="1206" t="s">
        <v>205</v>
      </c>
      <c r="B30" s="1261" t="s">
        <v>555</v>
      </c>
      <c r="C30" s="1262">
        <v>13970</v>
      </c>
      <c r="D30" s="1263">
        <v>32530</v>
      </c>
      <c r="E30" s="1263">
        <v>32509.039000000001</v>
      </c>
      <c r="F30" s="388">
        <f t="shared" si="0"/>
        <v>99.935564094681837</v>
      </c>
      <c r="G30" s="677"/>
      <c r="H30" s="677"/>
      <c r="I30" s="677"/>
    </row>
    <row r="31" spans="1:9" ht="13.5" customHeight="1" x14ac:dyDescent="0.2">
      <c r="A31" s="1206" t="s">
        <v>684</v>
      </c>
      <c r="B31" s="1261" t="s">
        <v>552</v>
      </c>
      <c r="C31" s="1262">
        <v>7620</v>
      </c>
      <c r="D31" s="1263">
        <v>7620</v>
      </c>
      <c r="E31" s="1263">
        <v>7492.2290000000003</v>
      </c>
      <c r="F31" s="388">
        <f t="shared" si="0"/>
        <v>98.323215223097122</v>
      </c>
      <c r="G31" s="677"/>
      <c r="H31" s="677"/>
      <c r="I31" s="677"/>
    </row>
    <row r="32" spans="1:9" x14ac:dyDescent="0.2">
      <c r="A32" s="1206" t="s">
        <v>685</v>
      </c>
      <c r="B32" s="1261" t="s">
        <v>1241</v>
      </c>
      <c r="C32" s="1262">
        <v>19050</v>
      </c>
      <c r="D32" s="1263">
        <v>19050</v>
      </c>
      <c r="E32" s="1263">
        <v>17349.847000000002</v>
      </c>
      <c r="F32" s="388">
        <f t="shared" si="0"/>
        <v>91.075312335958017</v>
      </c>
      <c r="G32" s="677"/>
      <c r="H32" s="677"/>
      <c r="I32" s="677"/>
    </row>
    <row r="33" spans="1:12" x14ac:dyDescent="0.2">
      <c r="A33" s="1206" t="s">
        <v>472</v>
      </c>
      <c r="B33" s="1261" t="s">
        <v>1242</v>
      </c>
      <c r="C33" s="1262">
        <v>28575</v>
      </c>
      <c r="D33" s="1263">
        <v>33655</v>
      </c>
      <c r="E33" s="1263">
        <v>33575.642</v>
      </c>
      <c r="F33" s="388">
        <f t="shared" si="0"/>
        <v>99.764201455950086</v>
      </c>
      <c r="G33" s="677"/>
      <c r="H33" s="677"/>
      <c r="I33" s="677"/>
    </row>
    <row r="34" spans="1:12" x14ac:dyDescent="0.2">
      <c r="A34" s="904" t="s">
        <v>473</v>
      </c>
      <c r="B34" s="1264" t="s">
        <v>1243</v>
      </c>
      <c r="C34" s="1221">
        <v>19050</v>
      </c>
      <c r="D34" s="1257">
        <v>19050</v>
      </c>
      <c r="E34" s="1257">
        <v>18108.267</v>
      </c>
      <c r="F34" s="388">
        <f t="shared" si="0"/>
        <v>95.056519685039362</v>
      </c>
      <c r="G34" s="677"/>
      <c r="H34" s="677"/>
      <c r="I34" s="677"/>
    </row>
    <row r="35" spans="1:12" x14ac:dyDescent="0.2">
      <c r="A35" s="904" t="s">
        <v>474</v>
      </c>
      <c r="B35" s="1258" t="s">
        <v>1244</v>
      </c>
      <c r="C35" s="1221">
        <v>20320</v>
      </c>
      <c r="D35" s="1257">
        <v>20828</v>
      </c>
      <c r="E35" s="1257">
        <v>20784.781999999999</v>
      </c>
      <c r="F35" s="388">
        <f t="shared" si="0"/>
        <v>99.792500480122897</v>
      </c>
      <c r="G35" s="677"/>
      <c r="H35" s="677"/>
      <c r="I35" s="677"/>
    </row>
    <row r="36" spans="1:12" x14ac:dyDescent="0.2">
      <c r="A36" s="904" t="s">
        <v>475</v>
      </c>
      <c r="B36" s="1258" t="s">
        <v>1245</v>
      </c>
      <c r="C36" s="1221">
        <v>15240</v>
      </c>
      <c r="D36" s="1257">
        <v>15240</v>
      </c>
      <c r="E36" s="1257">
        <v>14995.563</v>
      </c>
      <c r="F36" s="388">
        <f t="shared" si="0"/>
        <v>98.396082677165353</v>
      </c>
      <c r="G36" s="677"/>
      <c r="H36" s="677"/>
      <c r="I36" s="677"/>
    </row>
    <row r="37" spans="1:12" x14ac:dyDescent="0.2">
      <c r="A37" s="1206" t="s">
        <v>476</v>
      </c>
      <c r="B37" s="1258" t="s">
        <v>1246</v>
      </c>
      <c r="C37" s="1259">
        <v>0</v>
      </c>
      <c r="D37" s="1257">
        <v>237819</v>
      </c>
      <c r="E37" s="1257">
        <v>2476.5</v>
      </c>
      <c r="F37" s="388">
        <f t="shared" si="0"/>
        <v>1.0413381605338512</v>
      </c>
      <c r="G37" s="677"/>
      <c r="H37" s="677"/>
      <c r="I37" s="677"/>
    </row>
    <row r="38" spans="1:12" ht="13.5" customHeight="1" x14ac:dyDescent="0.2">
      <c r="A38" s="1206" t="s">
        <v>477</v>
      </c>
      <c r="B38" s="1220" t="s">
        <v>1151</v>
      </c>
      <c r="C38" s="1221">
        <v>0</v>
      </c>
      <c r="D38" s="1257">
        <v>12000</v>
      </c>
      <c r="E38" s="1257">
        <v>0</v>
      </c>
      <c r="F38" s="388">
        <f t="shared" si="0"/>
        <v>0</v>
      </c>
      <c r="G38" s="677"/>
      <c r="H38" s="677"/>
      <c r="I38" s="677"/>
    </row>
    <row r="39" spans="1:12" ht="13.5" customHeight="1" x14ac:dyDescent="0.2">
      <c r="A39" s="1206" t="s">
        <v>478</v>
      </c>
      <c r="B39" s="1220" t="s">
        <v>1247</v>
      </c>
      <c r="C39" s="1221"/>
      <c r="D39" s="1257">
        <v>82550</v>
      </c>
      <c r="E39" s="1257">
        <v>78686.955000000002</v>
      </c>
      <c r="F39" s="388">
        <f t="shared" si="0"/>
        <v>95.320357359176256</v>
      </c>
      <c r="G39" s="677"/>
      <c r="H39" s="677"/>
      <c r="I39" s="677"/>
    </row>
    <row r="40" spans="1:12" ht="13.5" customHeight="1" x14ac:dyDescent="0.2">
      <c r="A40" s="1206" t="s">
        <v>479</v>
      </c>
      <c r="B40" s="1258" t="s">
        <v>1248</v>
      </c>
      <c r="C40" s="1221"/>
      <c r="D40" s="1257">
        <v>3963</v>
      </c>
      <c r="E40" s="1257">
        <v>0</v>
      </c>
      <c r="F40" s="388">
        <f t="shared" si="0"/>
        <v>0</v>
      </c>
      <c r="G40" s="677"/>
      <c r="H40" s="677"/>
      <c r="I40" s="677"/>
    </row>
    <row r="41" spans="1:12" ht="13.5" customHeight="1" x14ac:dyDescent="0.2">
      <c r="A41" s="1206" t="s">
        <v>480</v>
      </c>
      <c r="B41" s="1258" t="s">
        <v>1249</v>
      </c>
      <c r="C41" s="1259"/>
      <c r="D41" s="1257">
        <v>3696</v>
      </c>
      <c r="E41" s="1257">
        <v>0</v>
      </c>
      <c r="F41" s="388">
        <f t="shared" si="0"/>
        <v>0</v>
      </c>
      <c r="G41" s="677"/>
      <c r="H41" s="677"/>
      <c r="I41" s="677"/>
    </row>
    <row r="42" spans="1:12" ht="13.5" customHeight="1" x14ac:dyDescent="0.2">
      <c r="A42" s="1206" t="s">
        <v>1020</v>
      </c>
      <c r="B42" s="1220" t="s">
        <v>1250</v>
      </c>
      <c r="C42" s="1221"/>
      <c r="D42" s="1257">
        <v>18796</v>
      </c>
      <c r="E42" s="1257">
        <v>0</v>
      </c>
      <c r="F42" s="388">
        <f t="shared" si="0"/>
        <v>0</v>
      </c>
      <c r="G42" s="677"/>
      <c r="H42" s="677"/>
      <c r="I42" s="677"/>
    </row>
    <row r="43" spans="1:12" x14ac:dyDescent="0.2">
      <c r="A43" s="1206" t="s">
        <v>1054</v>
      </c>
      <c r="B43" s="1265" t="s">
        <v>1251</v>
      </c>
      <c r="C43" s="1221">
        <v>0</v>
      </c>
      <c r="D43" s="1257">
        <v>4064</v>
      </c>
      <c r="E43" s="1257">
        <v>0</v>
      </c>
      <c r="F43" s="388">
        <f t="shared" si="0"/>
        <v>0</v>
      </c>
      <c r="G43" s="677"/>
      <c r="H43" s="677"/>
      <c r="I43" s="677"/>
    </row>
    <row r="44" spans="1:12" ht="14.25" hidden="1" customHeight="1" x14ac:dyDescent="0.2">
      <c r="A44" s="1206"/>
      <c r="B44" s="1258"/>
      <c r="C44" s="1259"/>
      <c r="D44" s="1257"/>
      <c r="E44" s="1257"/>
      <c r="F44" s="388"/>
      <c r="G44" s="677"/>
      <c r="H44" s="677"/>
      <c r="I44" s="677"/>
    </row>
    <row r="45" spans="1:12" ht="5.0999999999999996" customHeight="1" x14ac:dyDescent="0.2">
      <c r="A45" s="1206"/>
      <c r="B45" s="1258"/>
      <c r="C45" s="1259"/>
      <c r="D45" s="1257"/>
      <c r="E45" s="1257"/>
      <c r="F45" s="388"/>
    </row>
    <row r="46" spans="1:12" ht="13.5" customHeight="1" x14ac:dyDescent="0.25">
      <c r="A46" s="1206"/>
      <c r="B46" s="1218" t="s">
        <v>481</v>
      </c>
      <c r="C46" s="1266">
        <f>SUM(C20:C45)</f>
        <v>1198090</v>
      </c>
      <c r="D46" s="1267">
        <f>SUM(D20:D45)</f>
        <v>1955902</v>
      </c>
      <c r="E46" s="1267">
        <f>SUM(E20:E45)</f>
        <v>1113113.1260000002</v>
      </c>
      <c r="F46" s="1295">
        <f>E46/D46*100</f>
        <v>56.910475371465452</v>
      </c>
      <c r="G46" s="1298">
        <f>'4.tábla'!C32-C46</f>
        <v>0</v>
      </c>
      <c r="H46" s="1298">
        <f>'4.tábla'!D32-D46</f>
        <v>0</v>
      </c>
      <c r="I46" s="1870">
        <f>'4.tábla'!E32-E46</f>
        <v>0</v>
      </c>
      <c r="J46" s="1298"/>
      <c r="K46" s="1298"/>
      <c r="L46" s="1298"/>
    </row>
    <row r="47" spans="1:12" ht="9.9499999999999993" customHeight="1" x14ac:dyDescent="0.25">
      <c r="A47" s="1206"/>
      <c r="B47" s="1218"/>
      <c r="C47" s="1266"/>
      <c r="D47" s="1267"/>
      <c r="E47" s="1267"/>
      <c r="F47" s="1267"/>
      <c r="G47" s="677"/>
      <c r="H47" s="677"/>
      <c r="I47" s="677"/>
    </row>
    <row r="48" spans="1:12" ht="13.5" customHeight="1" x14ac:dyDescent="0.25">
      <c r="A48" s="1217">
        <v>2</v>
      </c>
      <c r="B48" s="1218" t="s">
        <v>253</v>
      </c>
      <c r="C48" s="1268"/>
      <c r="D48" s="1268"/>
      <c r="E48" s="1268"/>
      <c r="F48" s="1268"/>
      <c r="G48" s="677"/>
      <c r="H48" s="677"/>
      <c r="I48" s="677"/>
    </row>
    <row r="49" spans="1:12" ht="5.0999999999999996" customHeight="1" x14ac:dyDescent="0.25">
      <c r="A49" s="1206"/>
      <c r="B49" s="1218"/>
      <c r="C49" s="1268"/>
      <c r="D49" s="1268"/>
      <c r="E49" s="1268"/>
      <c r="F49" s="1268"/>
      <c r="G49" s="677"/>
      <c r="H49" s="677"/>
      <c r="I49" s="677"/>
    </row>
    <row r="50" spans="1:12" ht="12.75" customHeight="1" x14ac:dyDescent="0.2">
      <c r="A50" s="1206" t="s">
        <v>132</v>
      </c>
      <c r="B50" s="1220" t="s">
        <v>1022</v>
      </c>
      <c r="C50" s="1269">
        <v>9824</v>
      </c>
      <c r="D50" s="1257">
        <v>4899</v>
      </c>
      <c r="E50" s="1257">
        <v>642.63599999999997</v>
      </c>
      <c r="F50" s="388">
        <f>E50/D50*100</f>
        <v>13.117697489283527</v>
      </c>
      <c r="G50" s="677"/>
      <c r="H50" s="677"/>
      <c r="I50" s="677"/>
    </row>
    <row r="51" spans="1:12" ht="12.75" customHeight="1" x14ac:dyDescent="0.2">
      <c r="A51" s="1206" t="s">
        <v>368</v>
      </c>
      <c r="B51" s="1220" t="s">
        <v>190</v>
      </c>
      <c r="C51" s="1269">
        <v>26721</v>
      </c>
      <c r="D51" s="1257">
        <v>4587</v>
      </c>
      <c r="E51" s="1257">
        <v>4289.7510000000002</v>
      </c>
      <c r="F51" s="388">
        <f>E51/D51*100</f>
        <v>93.519751471550038</v>
      </c>
      <c r="G51" s="677"/>
      <c r="H51" s="677"/>
      <c r="I51" s="677"/>
    </row>
    <row r="52" spans="1:12" ht="12.75" customHeight="1" x14ac:dyDescent="0.2">
      <c r="A52" s="1206" t="s">
        <v>750</v>
      </c>
      <c r="B52" s="1220" t="s">
        <v>1152</v>
      </c>
      <c r="C52" s="1269">
        <v>15875</v>
      </c>
      <c r="D52" s="1257">
        <v>4118</v>
      </c>
      <c r="E52" s="1257">
        <v>2603.5</v>
      </c>
      <c r="F52" s="388">
        <v>0</v>
      </c>
      <c r="G52" s="677"/>
      <c r="H52" s="677"/>
      <c r="I52" s="677"/>
    </row>
    <row r="53" spans="1:12" ht="12.75" customHeight="1" x14ac:dyDescent="0.2">
      <c r="A53" s="1206" t="s">
        <v>737</v>
      </c>
      <c r="B53" s="1220" t="s">
        <v>1252</v>
      </c>
      <c r="C53" s="1269">
        <v>0</v>
      </c>
      <c r="D53" s="1257">
        <v>573</v>
      </c>
      <c r="E53" s="1257">
        <v>572.64400000000001</v>
      </c>
      <c r="F53" s="388">
        <f>E53/D53*100</f>
        <v>99.937870855148347</v>
      </c>
      <c r="G53" s="677"/>
      <c r="H53" s="677"/>
      <c r="I53" s="677"/>
    </row>
    <row r="54" spans="1:12" ht="12.75" customHeight="1" x14ac:dyDescent="0.2">
      <c r="A54" s="1206" t="s">
        <v>201</v>
      </c>
      <c r="B54" s="1220" t="s">
        <v>1153</v>
      </c>
      <c r="C54" s="1269">
        <v>0</v>
      </c>
      <c r="D54" s="1257">
        <v>6147</v>
      </c>
      <c r="E54" s="1257">
        <v>0</v>
      </c>
      <c r="F54" s="388">
        <v>0</v>
      </c>
      <c r="G54" s="677"/>
      <c r="H54" s="677"/>
      <c r="I54" s="677"/>
    </row>
    <row r="55" spans="1:12" ht="5.0999999999999996" customHeight="1" x14ac:dyDescent="0.25">
      <c r="A55" s="1206"/>
      <c r="B55" s="1218"/>
      <c r="C55" s="1268"/>
      <c r="D55" s="1268"/>
      <c r="E55" s="1268"/>
      <c r="F55" s="1268"/>
      <c r="G55" s="677"/>
      <c r="H55" s="677"/>
      <c r="I55" s="677"/>
    </row>
    <row r="56" spans="1:12" ht="13.5" customHeight="1" x14ac:dyDescent="0.25">
      <c r="A56" s="1206"/>
      <c r="B56" s="1218" t="s">
        <v>482</v>
      </c>
      <c r="C56" s="1268">
        <f>SUM(C50:C55)</f>
        <v>52420</v>
      </c>
      <c r="D56" s="1268">
        <f>SUM(D50:D55)</f>
        <v>20324</v>
      </c>
      <c r="E56" s="1268">
        <f>SUM(E50:E55)</f>
        <v>8108.5310000000009</v>
      </c>
      <c r="F56" s="1297">
        <f>E56/D56*100</f>
        <v>39.896334382995477</v>
      </c>
      <c r="G56" s="1298">
        <f>'4.tábla'!F32-C56</f>
        <v>0</v>
      </c>
      <c r="H56" s="1298">
        <f>'4.tábla'!G32-D56</f>
        <v>0</v>
      </c>
      <c r="I56" s="1870">
        <f>'4.tábla'!H32-E56</f>
        <v>0</v>
      </c>
      <c r="J56" s="1298"/>
      <c r="K56" s="1298"/>
      <c r="L56" s="1298"/>
    </row>
    <row r="57" spans="1:12" ht="6.95" customHeight="1" x14ac:dyDescent="0.25">
      <c r="A57" s="1206"/>
      <c r="B57" s="1218"/>
      <c r="C57" s="1268"/>
      <c r="D57" s="1268"/>
      <c r="E57" s="1268"/>
      <c r="F57" s="1268"/>
      <c r="G57" s="677"/>
      <c r="H57" s="677"/>
      <c r="I57" s="677"/>
    </row>
    <row r="58" spans="1:12" ht="12.75" customHeight="1" x14ac:dyDescent="0.25">
      <c r="A58" s="1217">
        <v>3</v>
      </c>
      <c r="B58" s="1218" t="s">
        <v>718</v>
      </c>
      <c r="C58" s="1268"/>
      <c r="D58" s="1268"/>
      <c r="E58" s="1268"/>
      <c r="F58" s="1268"/>
      <c r="G58" s="677"/>
      <c r="H58" s="677"/>
      <c r="I58" s="677"/>
    </row>
    <row r="59" spans="1:12" ht="6.75" hidden="1" customHeight="1" x14ac:dyDescent="0.25">
      <c r="A59" s="1217"/>
      <c r="B59" s="1218"/>
      <c r="C59" s="1268"/>
      <c r="D59" s="1268"/>
      <c r="E59" s="1268"/>
      <c r="F59" s="1268"/>
      <c r="G59" s="677"/>
      <c r="H59" s="677"/>
      <c r="I59" s="677"/>
    </row>
    <row r="60" spans="1:12" ht="12.75" hidden="1" customHeight="1" x14ac:dyDescent="0.2">
      <c r="A60" s="1206" t="s">
        <v>132</v>
      </c>
      <c r="B60" s="1270" t="s">
        <v>483</v>
      </c>
      <c r="C60" s="1221">
        <v>0</v>
      </c>
      <c r="D60" s="1257">
        <v>0</v>
      </c>
      <c r="E60" s="1257">
        <v>0</v>
      </c>
      <c r="F60" s="388">
        <v>0</v>
      </c>
      <c r="G60" s="677"/>
      <c r="H60" s="677"/>
      <c r="I60" s="677"/>
    </row>
    <row r="61" spans="1:12" ht="6.95" hidden="1" customHeight="1" x14ac:dyDescent="0.25">
      <c r="A61" s="1206"/>
      <c r="B61" s="1218"/>
      <c r="C61" s="1268"/>
      <c r="D61" s="1268"/>
      <c r="E61" s="1268"/>
      <c r="F61" s="1268"/>
      <c r="G61" s="677"/>
      <c r="H61" s="677"/>
      <c r="I61" s="677"/>
    </row>
    <row r="62" spans="1:12" ht="12.75" hidden="1" customHeight="1" x14ac:dyDescent="0.25">
      <c r="A62" s="1206"/>
      <c r="B62" s="1218" t="s">
        <v>484</v>
      </c>
      <c r="C62" s="1268">
        <f>SUM(C60:C61)</f>
        <v>0</v>
      </c>
      <c r="D62" s="1268">
        <f>SUM(D60:D61)</f>
        <v>0</v>
      </c>
      <c r="E62" s="1268">
        <f>SUM(E60:E61)</f>
        <v>0</v>
      </c>
      <c r="F62" s="1297">
        <v>0</v>
      </c>
      <c r="G62" s="1298">
        <f>'4.tábla'!I32-C62</f>
        <v>0</v>
      </c>
      <c r="H62" s="1298">
        <f>'4.tábla'!J32-D62</f>
        <v>0</v>
      </c>
      <c r="I62" s="1870">
        <f>'4.tábla'!K32-E62</f>
        <v>0</v>
      </c>
      <c r="J62" s="1298"/>
      <c r="K62" s="1298"/>
      <c r="L62" s="1298"/>
    </row>
    <row r="63" spans="1:12" ht="6.95" customHeight="1" x14ac:dyDescent="0.25">
      <c r="A63" s="1206"/>
      <c r="B63" s="1218"/>
      <c r="C63" s="1268"/>
      <c r="D63" s="1268"/>
      <c r="E63" s="1268"/>
      <c r="F63" s="1268"/>
      <c r="G63" s="677"/>
      <c r="H63" s="677"/>
      <c r="I63" s="677"/>
    </row>
    <row r="64" spans="1:12" ht="12.75" customHeight="1" x14ac:dyDescent="0.25">
      <c r="A64" s="1217">
        <v>4</v>
      </c>
      <c r="B64" s="1218" t="s">
        <v>450</v>
      </c>
      <c r="C64" s="1268"/>
      <c r="D64" s="1268"/>
      <c r="E64" s="1268"/>
      <c r="F64" s="1268"/>
      <c r="G64" s="677"/>
      <c r="H64" s="677"/>
      <c r="I64" s="677"/>
    </row>
    <row r="65" spans="1:12" ht="6.95" customHeight="1" x14ac:dyDescent="0.25">
      <c r="A65" s="1206"/>
      <c r="B65" s="1218"/>
      <c r="C65" s="1268"/>
      <c r="D65" s="1268"/>
      <c r="E65" s="1268"/>
      <c r="F65" s="1268"/>
      <c r="G65" s="677"/>
      <c r="H65" s="677"/>
      <c r="I65" s="677"/>
    </row>
    <row r="66" spans="1:12" ht="12.75" customHeight="1" x14ac:dyDescent="0.25">
      <c r="A66" s="1217">
        <v>5</v>
      </c>
      <c r="B66" s="1218" t="s">
        <v>451</v>
      </c>
      <c r="C66" s="1268"/>
      <c r="D66" s="1268"/>
      <c r="E66" s="1268"/>
      <c r="F66" s="1268"/>
      <c r="G66" s="677"/>
      <c r="H66" s="677"/>
      <c r="I66" s="677"/>
    </row>
    <row r="67" spans="1:12" ht="6.95" customHeight="1" x14ac:dyDescent="0.25">
      <c r="A67" s="1206"/>
      <c r="B67" s="1218"/>
      <c r="C67" s="1268"/>
      <c r="D67" s="1268"/>
      <c r="E67" s="1268"/>
      <c r="F67" s="1268"/>
      <c r="G67" s="677"/>
      <c r="H67" s="677"/>
      <c r="I67" s="677"/>
    </row>
    <row r="68" spans="1:12" ht="12.75" customHeight="1" x14ac:dyDescent="0.25">
      <c r="A68" s="1217">
        <v>6</v>
      </c>
      <c r="B68" s="1218" t="s">
        <v>722</v>
      </c>
      <c r="C68" s="1268"/>
      <c r="D68" s="1268"/>
      <c r="E68" s="1268"/>
      <c r="F68" s="1268"/>
      <c r="G68" s="677"/>
      <c r="H68" s="677"/>
      <c r="I68" s="677"/>
    </row>
    <row r="69" spans="1:12" ht="5.0999999999999996" customHeight="1" x14ac:dyDescent="0.25">
      <c r="A69" s="1206"/>
      <c r="B69" s="1218"/>
      <c r="C69" s="1268"/>
      <c r="D69" s="1268"/>
      <c r="E69" s="1268"/>
      <c r="F69" s="1268"/>
      <c r="G69" s="677"/>
      <c r="H69" s="677"/>
      <c r="I69" s="677"/>
    </row>
    <row r="70" spans="1:12" ht="12.75" customHeight="1" x14ac:dyDescent="0.2">
      <c r="A70" s="1206" t="s">
        <v>132</v>
      </c>
      <c r="B70" s="1220" t="s">
        <v>1253</v>
      </c>
      <c r="C70" s="1269">
        <v>210</v>
      </c>
      <c r="D70" s="1257">
        <v>217</v>
      </c>
      <c r="E70" s="1257">
        <v>217.7</v>
      </c>
      <c r="F70" s="388">
        <f>E70/D70*100</f>
        <v>100.32258064516128</v>
      </c>
      <c r="G70" s="677"/>
      <c r="H70" s="677"/>
      <c r="I70" s="677"/>
    </row>
    <row r="71" spans="1:12" ht="12.75" customHeight="1" x14ac:dyDescent="0.2">
      <c r="A71" s="1206" t="s">
        <v>368</v>
      </c>
      <c r="B71" s="1220" t="s">
        <v>1254</v>
      </c>
      <c r="C71" s="1269">
        <v>6600</v>
      </c>
      <c r="D71" s="1257">
        <v>7463</v>
      </c>
      <c r="E71" s="1257">
        <v>7288.6320000000005</v>
      </c>
      <c r="F71" s="388">
        <f>E71/D71*100</f>
        <v>97.663566930188935</v>
      </c>
      <c r="G71" s="677"/>
      <c r="H71" s="677"/>
      <c r="I71" s="677"/>
    </row>
    <row r="72" spans="1:12" ht="12.75" customHeight="1" x14ac:dyDescent="0.2">
      <c r="A72" s="1206" t="s">
        <v>750</v>
      </c>
      <c r="B72" s="1271" t="s">
        <v>1255</v>
      </c>
      <c r="C72" s="1221">
        <v>114173</v>
      </c>
      <c r="D72" s="1257">
        <v>114173</v>
      </c>
      <c r="E72" s="1257">
        <v>0</v>
      </c>
      <c r="F72" s="388">
        <f>E72/D72*100</f>
        <v>0</v>
      </c>
      <c r="G72" s="677"/>
      <c r="H72" s="677"/>
      <c r="I72" s="677"/>
    </row>
    <row r="73" spans="1:12" ht="5.0999999999999996" customHeight="1" x14ac:dyDescent="0.2">
      <c r="A73" s="1206"/>
      <c r="B73" s="1220"/>
      <c r="C73" s="1269"/>
      <c r="D73" s="1257"/>
      <c r="E73" s="1257"/>
      <c r="F73" s="1257"/>
      <c r="G73" s="677"/>
      <c r="H73" s="677"/>
      <c r="I73" s="677"/>
    </row>
    <row r="74" spans="1:12" ht="12.75" customHeight="1" x14ac:dyDescent="0.25">
      <c r="A74" s="1206"/>
      <c r="B74" s="1218" t="s">
        <v>485</v>
      </c>
      <c r="C74" s="1268">
        <f>SUM(C70:C73)</f>
        <v>120983</v>
      </c>
      <c r="D74" s="1268">
        <f>SUM(D70:D72)</f>
        <v>121853</v>
      </c>
      <c r="E74" s="1268">
        <f>SUM(E70:E72)</f>
        <v>7506.3320000000003</v>
      </c>
      <c r="F74" s="1297">
        <f>E74/D74*100</f>
        <v>6.1601536277317761</v>
      </c>
      <c r="G74" s="1298">
        <f>'4.tábla'!R32-C74</f>
        <v>0</v>
      </c>
      <c r="H74" s="1298">
        <f>'4.tábla'!S32-D74</f>
        <v>0</v>
      </c>
      <c r="I74" s="1870">
        <f>'4.tábla'!T32-E74</f>
        <v>0</v>
      </c>
      <c r="J74" s="1298"/>
      <c r="K74" s="1298"/>
      <c r="L74" s="1298"/>
    </row>
    <row r="75" spans="1:12" ht="6.95" customHeight="1" x14ac:dyDescent="0.25">
      <c r="A75" s="1206"/>
      <c r="B75" s="1218"/>
      <c r="C75" s="1268"/>
      <c r="D75" s="1268"/>
      <c r="E75" s="1268"/>
      <c r="F75" s="1268"/>
      <c r="G75" s="677"/>
      <c r="H75" s="677"/>
      <c r="I75" s="677"/>
    </row>
    <row r="76" spans="1:12" ht="12.75" customHeight="1" x14ac:dyDescent="0.25">
      <c r="A76" s="1217">
        <v>7</v>
      </c>
      <c r="B76" s="1218" t="s">
        <v>723</v>
      </c>
      <c r="C76" s="1268"/>
      <c r="D76" s="1268"/>
      <c r="E76" s="1268"/>
      <c r="F76" s="1268"/>
      <c r="G76" s="677"/>
      <c r="H76" s="677"/>
      <c r="I76" s="677"/>
    </row>
    <row r="77" spans="1:12" ht="5.0999999999999996" customHeight="1" x14ac:dyDescent="0.25">
      <c r="A77" s="1206"/>
      <c r="B77" s="1218"/>
      <c r="C77" s="1268"/>
      <c r="D77" s="1268"/>
      <c r="E77" s="1268"/>
      <c r="F77" s="1268"/>
      <c r="G77" s="677"/>
      <c r="H77" s="677"/>
      <c r="I77" s="677"/>
    </row>
    <row r="78" spans="1:12" ht="12.75" customHeight="1" x14ac:dyDescent="0.2">
      <c r="A78" s="1206" t="s">
        <v>132</v>
      </c>
      <c r="B78" s="1272" t="s">
        <v>1154</v>
      </c>
      <c r="C78" s="1221">
        <v>101929</v>
      </c>
      <c r="D78" s="1257">
        <v>132995</v>
      </c>
      <c r="E78" s="1257">
        <v>131362.24100000001</v>
      </c>
      <c r="F78" s="388">
        <f t="shared" ref="F78:F82" si="1">E78/D78*100</f>
        <v>98.772315500582735</v>
      </c>
      <c r="G78" s="677"/>
      <c r="H78" s="677"/>
      <c r="I78" s="677"/>
    </row>
    <row r="79" spans="1:12" ht="12.75" customHeight="1" x14ac:dyDescent="0.2">
      <c r="A79" s="1206" t="s">
        <v>368</v>
      </c>
      <c r="B79" s="1272" t="s">
        <v>486</v>
      </c>
      <c r="C79" s="1221">
        <v>0</v>
      </c>
      <c r="D79" s="1257">
        <v>21369</v>
      </c>
      <c r="E79" s="1257">
        <v>3429</v>
      </c>
      <c r="F79" s="388">
        <f t="shared" si="1"/>
        <v>16.046609574617438</v>
      </c>
      <c r="G79" s="677"/>
      <c r="H79" s="677"/>
      <c r="I79" s="677"/>
    </row>
    <row r="80" spans="1:12" ht="12.75" customHeight="1" x14ac:dyDescent="0.2">
      <c r="A80" s="1206" t="s">
        <v>750</v>
      </c>
      <c r="B80" s="1272" t="s">
        <v>1155</v>
      </c>
      <c r="C80" s="1221">
        <v>0</v>
      </c>
      <c r="D80" s="1257">
        <v>10677</v>
      </c>
      <c r="E80" s="1257">
        <v>0</v>
      </c>
      <c r="F80" s="388">
        <f t="shared" si="1"/>
        <v>0</v>
      </c>
      <c r="G80" s="677"/>
      <c r="H80" s="677"/>
      <c r="I80" s="677"/>
    </row>
    <row r="81" spans="1:12" ht="12.75" customHeight="1" x14ac:dyDescent="0.2">
      <c r="A81" s="1206" t="s">
        <v>737</v>
      </c>
      <c r="B81" s="1272" t="s">
        <v>1256</v>
      </c>
      <c r="C81" s="1221">
        <v>0</v>
      </c>
      <c r="D81" s="1257">
        <v>150576.611</v>
      </c>
      <c r="E81" s="1257">
        <v>145309.796</v>
      </c>
      <c r="F81" s="388">
        <f t="shared" si="1"/>
        <v>96.502235662615618</v>
      </c>
      <c r="G81" s="677"/>
      <c r="H81" s="677"/>
      <c r="I81" s="677"/>
    </row>
    <row r="82" spans="1:12" ht="12.75" customHeight="1" x14ac:dyDescent="0.2">
      <c r="A82" s="1206" t="s">
        <v>201</v>
      </c>
      <c r="B82" s="1272" t="s">
        <v>1257</v>
      </c>
      <c r="C82" s="1221">
        <v>0</v>
      </c>
      <c r="D82" s="1257">
        <v>15000</v>
      </c>
      <c r="E82" s="1257">
        <v>0</v>
      </c>
      <c r="F82" s="388">
        <f t="shared" si="1"/>
        <v>0</v>
      </c>
      <c r="G82" s="677"/>
      <c r="H82" s="677"/>
      <c r="I82" s="677"/>
    </row>
    <row r="83" spans="1:12" ht="12.75" customHeight="1" x14ac:dyDescent="0.2">
      <c r="A83" s="1206" t="s">
        <v>209</v>
      </c>
      <c r="B83" s="1272" t="s">
        <v>1258</v>
      </c>
      <c r="C83" s="1221">
        <v>0</v>
      </c>
      <c r="D83" s="1257">
        <v>0</v>
      </c>
      <c r="E83" s="1257">
        <v>0</v>
      </c>
      <c r="F83" s="388">
        <v>0</v>
      </c>
      <c r="G83" s="677"/>
      <c r="H83" s="677"/>
      <c r="I83" s="677"/>
    </row>
    <row r="84" spans="1:12" ht="5.0999999999999996" customHeight="1" x14ac:dyDescent="0.2">
      <c r="A84" s="1206"/>
      <c r="B84" s="1273"/>
      <c r="C84" s="1221"/>
      <c r="D84" s="1257"/>
      <c r="E84" s="1257"/>
      <c r="F84" s="388"/>
      <c r="G84" s="677"/>
      <c r="H84" s="677"/>
      <c r="I84" s="1870"/>
    </row>
    <row r="85" spans="1:12" ht="12.75" customHeight="1" x14ac:dyDescent="0.25">
      <c r="A85" s="1198"/>
      <c r="B85" s="1218" t="s">
        <v>487</v>
      </c>
      <c r="C85" s="1267">
        <f>SUM(C78:C84)</f>
        <v>101929</v>
      </c>
      <c r="D85" s="1267">
        <f>SUM(D78:D84)</f>
        <v>330617.61100000003</v>
      </c>
      <c r="E85" s="1267">
        <f>SUM(E78:E84)</f>
        <v>280101.03700000001</v>
      </c>
      <c r="F85" s="1295">
        <f>E85/D85*100</f>
        <v>84.720543516358532</v>
      </c>
      <c r="G85" s="1298">
        <f>'4.tábla'!U32-C85</f>
        <v>0</v>
      </c>
      <c r="H85" s="1298">
        <f>'4.tábla'!V32-D85</f>
        <v>0</v>
      </c>
      <c r="I85" s="1870">
        <f>'4.tábla'!W32-E85</f>
        <v>0</v>
      </c>
      <c r="J85" s="1298"/>
      <c r="K85" s="1298"/>
      <c r="L85" s="1298"/>
    </row>
    <row r="86" spans="1:12" ht="8.1" customHeight="1" x14ac:dyDescent="0.25">
      <c r="A86" s="1206"/>
      <c r="B86" s="1218"/>
      <c r="C86" s="1268"/>
      <c r="D86" s="1268"/>
      <c r="E86" s="1268"/>
      <c r="F86" s="1268"/>
      <c r="G86" s="677"/>
      <c r="H86" s="677"/>
      <c r="I86" s="677"/>
    </row>
    <row r="87" spans="1:12" ht="12.75" customHeight="1" x14ac:dyDescent="0.25">
      <c r="A87" s="1217">
        <v>8</v>
      </c>
      <c r="B87" s="1218" t="s">
        <v>452</v>
      </c>
      <c r="C87" s="1268"/>
      <c r="D87" s="1268"/>
      <c r="E87" s="1268"/>
      <c r="F87" s="1268"/>
      <c r="G87" s="677"/>
      <c r="H87" s="677"/>
      <c r="I87" s="677"/>
    </row>
    <row r="88" spans="1:12" ht="8.1" customHeight="1" x14ac:dyDescent="0.25">
      <c r="A88" s="1206"/>
      <c r="B88" s="1218"/>
      <c r="C88" s="1268"/>
      <c r="D88" s="1268"/>
      <c r="E88" s="1268"/>
      <c r="F88" s="1268"/>
      <c r="G88" s="677"/>
      <c r="H88" s="677"/>
      <c r="I88" s="677"/>
    </row>
    <row r="89" spans="1:12" ht="12.75" hidden="1" customHeight="1" x14ac:dyDescent="0.2">
      <c r="A89" s="1206" t="s">
        <v>132</v>
      </c>
      <c r="B89" s="1220" t="s">
        <v>1156</v>
      </c>
      <c r="C89" s="1221"/>
      <c r="D89" s="1222"/>
      <c r="E89" s="1222"/>
      <c r="F89" s="388" t="e">
        <f>E89/D89*100</f>
        <v>#DIV/0!</v>
      </c>
      <c r="G89" s="677"/>
      <c r="H89" s="677"/>
      <c r="I89" s="677"/>
    </row>
    <row r="90" spans="1:12" ht="12.75" hidden="1" customHeight="1" x14ac:dyDescent="0.2">
      <c r="A90" s="1206" t="s">
        <v>368</v>
      </c>
      <c r="B90" s="1220" t="s">
        <v>488</v>
      </c>
      <c r="C90" s="1221"/>
      <c r="D90" s="1222"/>
      <c r="E90" s="1222">
        <v>0</v>
      </c>
      <c r="F90" s="388" t="e">
        <f>E90/D90*100</f>
        <v>#DIV/0!</v>
      </c>
      <c r="G90" s="677"/>
      <c r="H90" s="677"/>
      <c r="I90" s="677"/>
    </row>
    <row r="91" spans="1:12" ht="12.75" hidden="1" customHeight="1" x14ac:dyDescent="0.2">
      <c r="A91" s="1206"/>
      <c r="B91" s="1220" t="s">
        <v>489</v>
      </c>
      <c r="C91" s="1221">
        <v>0</v>
      </c>
      <c r="D91" s="1222">
        <v>0</v>
      </c>
      <c r="E91" s="1222"/>
      <c r="F91" s="388"/>
      <c r="G91" s="677"/>
      <c r="H91" s="677"/>
      <c r="I91" s="677"/>
    </row>
    <row r="92" spans="1:12" ht="5.0999999999999996" hidden="1" customHeight="1" x14ac:dyDescent="0.2">
      <c r="A92" s="1206"/>
      <c r="B92" s="1220"/>
      <c r="C92" s="1221"/>
      <c r="D92" s="1257"/>
      <c r="E92" s="1257"/>
      <c r="F92" s="388"/>
      <c r="G92" s="677"/>
      <c r="H92" s="677"/>
      <c r="I92" s="677"/>
    </row>
    <row r="93" spans="1:12" ht="12.75" hidden="1" customHeight="1" x14ac:dyDescent="0.25">
      <c r="A93" s="1274"/>
      <c r="B93" s="1218" t="s">
        <v>490</v>
      </c>
      <c r="C93" s="1224">
        <f>SUM(C89:C92)</f>
        <v>0</v>
      </c>
      <c r="D93" s="1225">
        <f>SUM(D89:D92)</f>
        <v>0</v>
      </c>
      <c r="E93" s="1225">
        <f>SUM(E89:E92)</f>
        <v>0</v>
      </c>
      <c r="F93" s="1296" t="e">
        <f>E93/D93*100</f>
        <v>#DIV/0!</v>
      </c>
      <c r="G93" s="1298">
        <f>'4.tábla'!X32-C93</f>
        <v>0</v>
      </c>
      <c r="H93" s="1298">
        <f>'4.tábla'!Y32-D93</f>
        <v>0</v>
      </c>
      <c r="I93" s="1870">
        <f>'4.tábla'!Z32-E93</f>
        <v>0</v>
      </c>
      <c r="J93" s="1298"/>
      <c r="K93" s="1298"/>
      <c r="L93" s="1298"/>
    </row>
    <row r="94" spans="1:12" ht="8.1" hidden="1" customHeight="1" x14ac:dyDescent="0.25">
      <c r="A94" s="1206"/>
      <c r="B94" s="1218"/>
      <c r="C94" s="1268"/>
      <c r="D94" s="1268"/>
      <c r="E94" s="1268"/>
      <c r="F94" s="1268"/>
      <c r="G94" s="677"/>
      <c r="H94" s="677"/>
      <c r="I94" s="677"/>
    </row>
    <row r="95" spans="1:12" ht="12.75" customHeight="1" x14ac:dyDescent="0.25">
      <c r="A95" s="1217">
        <v>9</v>
      </c>
      <c r="B95" s="1218" t="s">
        <v>724</v>
      </c>
      <c r="C95" s="1268"/>
      <c r="D95" s="1268"/>
      <c r="E95" s="1268"/>
      <c r="F95" s="1268"/>
      <c r="G95" s="677"/>
      <c r="H95" s="677"/>
      <c r="I95" s="677"/>
    </row>
    <row r="96" spans="1:12" ht="8.1" customHeight="1" x14ac:dyDescent="0.25">
      <c r="A96" s="1217"/>
      <c r="B96" s="1218"/>
      <c r="C96" s="1268"/>
      <c r="D96" s="1268"/>
      <c r="E96" s="1268"/>
      <c r="F96" s="1268"/>
      <c r="G96" s="677"/>
      <c r="H96" s="677"/>
      <c r="I96" s="677"/>
    </row>
    <row r="97" spans="1:12" ht="12.75" customHeight="1" x14ac:dyDescent="0.25">
      <c r="A97" s="1217">
        <v>10</v>
      </c>
      <c r="B97" s="1218" t="s">
        <v>453</v>
      </c>
      <c r="C97" s="1268"/>
      <c r="D97" s="1268"/>
      <c r="E97" s="1268"/>
      <c r="F97" s="1268"/>
      <c r="G97" s="677"/>
      <c r="H97" s="677"/>
      <c r="I97" s="677"/>
    </row>
    <row r="98" spans="1:12" ht="8.1" customHeight="1" thickBot="1" x14ac:dyDescent="0.3">
      <c r="A98" s="1244"/>
      <c r="B98" s="1275"/>
      <c r="C98" s="1276"/>
      <c r="D98" s="1276"/>
      <c r="E98" s="1276"/>
      <c r="F98" s="1276"/>
      <c r="G98" s="677"/>
      <c r="H98" s="677"/>
      <c r="I98" s="677"/>
    </row>
    <row r="99" spans="1:12" ht="8.1" customHeight="1" x14ac:dyDescent="0.25">
      <c r="A99" s="1217"/>
      <c r="B99" s="1218"/>
      <c r="C99" s="1268"/>
      <c r="D99" s="1268"/>
      <c r="E99" s="1268"/>
      <c r="F99" s="1268"/>
      <c r="G99" s="677"/>
      <c r="H99" s="677"/>
      <c r="I99" s="677"/>
    </row>
    <row r="100" spans="1:12" ht="12.75" customHeight="1" x14ac:dyDescent="0.25">
      <c r="A100" s="1217">
        <v>11</v>
      </c>
      <c r="B100" s="1218" t="s">
        <v>725</v>
      </c>
      <c r="C100" s="1268"/>
      <c r="D100" s="1268"/>
      <c r="E100" s="1268"/>
      <c r="F100" s="1268"/>
      <c r="G100" s="677"/>
      <c r="H100" s="677"/>
      <c r="I100" s="677"/>
    </row>
    <row r="101" spans="1:12" ht="8.1" customHeight="1" x14ac:dyDescent="0.25">
      <c r="A101" s="1217"/>
      <c r="B101" s="1218"/>
      <c r="C101" s="1268"/>
      <c r="D101" s="1268"/>
      <c r="E101" s="1268"/>
      <c r="F101" s="1268"/>
      <c r="G101" s="677"/>
      <c r="H101" s="677"/>
      <c r="I101" s="677"/>
    </row>
    <row r="102" spans="1:12" ht="12.75" hidden="1" customHeight="1" x14ac:dyDescent="0.2">
      <c r="A102" s="1206" t="s">
        <v>132</v>
      </c>
      <c r="B102" s="1220" t="s">
        <v>1023</v>
      </c>
      <c r="C102" s="1221"/>
      <c r="D102" s="1222"/>
      <c r="E102" s="1222"/>
      <c r="F102" s="388" t="e">
        <f>E102/D102*100</f>
        <v>#DIV/0!</v>
      </c>
      <c r="G102" s="677"/>
      <c r="H102" s="677"/>
      <c r="I102" s="677"/>
    </row>
    <row r="103" spans="1:12" ht="12.75" customHeight="1" x14ac:dyDescent="0.2">
      <c r="A103" s="1206" t="s">
        <v>132</v>
      </c>
      <c r="B103" s="1220" t="s">
        <v>1055</v>
      </c>
      <c r="C103" s="1221">
        <v>23114</v>
      </c>
      <c r="D103" s="1222">
        <v>23114</v>
      </c>
      <c r="E103" s="1222">
        <v>0</v>
      </c>
      <c r="F103" s="388">
        <f>E103/D103*100</f>
        <v>0</v>
      </c>
      <c r="G103" s="677"/>
      <c r="H103" s="677"/>
      <c r="I103" s="677"/>
    </row>
    <row r="104" spans="1:12" ht="8.1" customHeight="1" x14ac:dyDescent="0.25">
      <c r="A104" s="1217"/>
      <c r="B104" s="1218"/>
      <c r="C104" s="1268"/>
      <c r="D104" s="1268"/>
      <c r="E104" s="1268"/>
      <c r="F104" s="1268"/>
      <c r="G104" s="677"/>
      <c r="H104" s="677"/>
      <c r="I104" s="677"/>
    </row>
    <row r="105" spans="1:12" ht="12.75" customHeight="1" x14ac:dyDescent="0.25">
      <c r="A105" s="1217"/>
      <c r="B105" s="1218" t="s">
        <v>454</v>
      </c>
      <c r="C105" s="1225">
        <f>SUM(C102:C104)</f>
        <v>23114</v>
      </c>
      <c r="D105" s="1225">
        <f>SUM(D102:D104)</f>
        <v>23114</v>
      </c>
      <c r="E105" s="1225">
        <f>SUM(E102:E104)</f>
        <v>0</v>
      </c>
      <c r="F105" s="1296">
        <f>E105/D105*100</f>
        <v>0</v>
      </c>
      <c r="G105" s="1298">
        <f>'4.tábla'!AG32-C105</f>
        <v>0</v>
      </c>
      <c r="H105" s="1298">
        <f>'4.tábla'!AH32-D105</f>
        <v>0</v>
      </c>
      <c r="I105" s="1870">
        <f>'4.tábla'!AI32-E105</f>
        <v>0</v>
      </c>
      <c r="J105" s="1298"/>
      <c r="K105" s="1298"/>
      <c r="L105" s="1298"/>
    </row>
    <row r="106" spans="1:12" ht="8.1" customHeight="1" x14ac:dyDescent="0.25">
      <c r="A106" s="1217"/>
      <c r="B106" s="1218"/>
      <c r="C106" s="1268"/>
      <c r="D106" s="1268"/>
      <c r="E106" s="1268"/>
      <c r="F106" s="1268"/>
      <c r="G106" s="677"/>
      <c r="H106" s="677"/>
      <c r="I106" s="677"/>
    </row>
    <row r="107" spans="1:12" ht="12.75" customHeight="1" x14ac:dyDescent="0.25">
      <c r="A107" s="1217">
        <v>12</v>
      </c>
      <c r="B107" s="1218" t="s">
        <v>455</v>
      </c>
      <c r="C107" s="1268"/>
      <c r="D107" s="1268"/>
      <c r="E107" s="1268"/>
      <c r="F107" s="1268"/>
      <c r="G107" s="677"/>
      <c r="H107" s="677"/>
      <c r="I107" s="677"/>
    </row>
    <row r="108" spans="1:12" ht="8.1" customHeight="1" x14ac:dyDescent="0.25">
      <c r="A108" s="1217"/>
      <c r="B108" s="1218"/>
      <c r="C108" s="1268"/>
      <c r="D108" s="1268"/>
      <c r="E108" s="1268"/>
      <c r="F108" s="1268"/>
      <c r="G108" s="677"/>
      <c r="H108" s="677"/>
      <c r="I108" s="677"/>
    </row>
    <row r="109" spans="1:12" ht="12.75" customHeight="1" x14ac:dyDescent="0.25">
      <c r="A109" s="1217">
        <v>13</v>
      </c>
      <c r="B109" s="1218" t="s">
        <v>727</v>
      </c>
      <c r="C109" s="1268"/>
      <c r="D109" s="1268"/>
      <c r="E109" s="1268"/>
      <c r="F109" s="1268"/>
      <c r="G109" s="677"/>
      <c r="H109" s="677"/>
      <c r="I109" s="677"/>
    </row>
    <row r="110" spans="1:12" ht="8.1" customHeight="1" x14ac:dyDescent="0.25">
      <c r="A110" s="1217"/>
      <c r="B110" s="1218"/>
      <c r="C110" s="1268"/>
      <c r="D110" s="1268"/>
      <c r="E110" s="1268"/>
      <c r="F110" s="1268"/>
      <c r="G110" s="677"/>
      <c r="H110" s="677"/>
      <c r="I110" s="677"/>
    </row>
    <row r="111" spans="1:12" ht="12.75" customHeight="1" x14ac:dyDescent="0.2">
      <c r="A111" s="1806" t="s">
        <v>132</v>
      </c>
      <c r="B111" s="1220" t="s">
        <v>1158</v>
      </c>
      <c r="C111" s="1281">
        <v>212218</v>
      </c>
      <c r="D111" s="1281">
        <v>295587</v>
      </c>
      <c r="E111" s="1281">
        <v>23658.718000000001</v>
      </c>
      <c r="F111" s="388">
        <f t="shared" ref="F111:F116" si="2">E111/D111*100</f>
        <v>8.0039778474696117</v>
      </c>
      <c r="G111" s="677"/>
      <c r="H111" s="677"/>
      <c r="I111" s="677"/>
    </row>
    <row r="112" spans="1:12" ht="12.75" customHeight="1" x14ac:dyDescent="0.2">
      <c r="A112" s="1806" t="s">
        <v>368</v>
      </c>
      <c r="B112" s="1220" t="s">
        <v>1259</v>
      </c>
      <c r="C112" s="1281">
        <v>0</v>
      </c>
      <c r="D112" s="1281">
        <v>21400</v>
      </c>
      <c r="E112" s="1281">
        <v>21399.5</v>
      </c>
      <c r="F112" s="388">
        <f t="shared" si="2"/>
        <v>99.997663551401871</v>
      </c>
      <c r="G112" s="677"/>
      <c r="H112" s="677"/>
      <c r="I112" s="677"/>
    </row>
    <row r="113" spans="1:12" ht="12.75" customHeight="1" x14ac:dyDescent="0.2">
      <c r="A113" s="1806" t="s">
        <v>750</v>
      </c>
      <c r="B113" s="1220" t="s">
        <v>1159</v>
      </c>
      <c r="C113" s="1281"/>
      <c r="D113" s="1281">
        <v>28881</v>
      </c>
      <c r="E113" s="1281">
        <v>3543.3</v>
      </c>
      <c r="F113" s="388">
        <f t="shared" si="2"/>
        <v>12.268619507634778</v>
      </c>
      <c r="G113" s="677"/>
      <c r="H113" s="677"/>
      <c r="I113" s="677"/>
    </row>
    <row r="114" spans="1:12" ht="12.75" customHeight="1" x14ac:dyDescent="0.2">
      <c r="A114" s="1806" t="s">
        <v>737</v>
      </c>
      <c r="B114" s="1220" t="s">
        <v>1024</v>
      </c>
      <c r="C114" s="1281">
        <v>0</v>
      </c>
      <c r="D114" s="1281">
        <v>3747</v>
      </c>
      <c r="E114" s="1281">
        <v>0</v>
      </c>
      <c r="F114" s="388">
        <f t="shared" si="2"/>
        <v>0</v>
      </c>
      <c r="G114" s="677"/>
      <c r="H114" s="677"/>
      <c r="I114" s="677"/>
    </row>
    <row r="115" spans="1:12" ht="12.75" customHeight="1" x14ac:dyDescent="0.2">
      <c r="A115" s="1806" t="s">
        <v>201</v>
      </c>
      <c r="B115" s="1220" t="s">
        <v>1157</v>
      </c>
      <c r="C115" s="1281">
        <v>0</v>
      </c>
      <c r="D115" s="1281">
        <v>9786</v>
      </c>
      <c r="E115" s="1281">
        <v>9785.5720000000001</v>
      </c>
      <c r="F115" s="388">
        <f t="shared" si="2"/>
        <v>99.995626405068478</v>
      </c>
      <c r="G115" s="677"/>
      <c r="H115" s="677"/>
      <c r="I115" s="677"/>
    </row>
    <row r="116" spans="1:12" ht="12.75" customHeight="1" x14ac:dyDescent="0.2">
      <c r="A116" s="1806" t="s">
        <v>209</v>
      </c>
      <c r="B116" s="1220" t="s">
        <v>1260</v>
      </c>
      <c r="C116" s="1281"/>
      <c r="D116" s="1281">
        <v>4966</v>
      </c>
      <c r="E116" s="1281">
        <v>4965.7</v>
      </c>
      <c r="F116" s="388">
        <f t="shared" si="2"/>
        <v>99.993958920660489</v>
      </c>
      <c r="G116" s="677"/>
      <c r="H116" s="677"/>
      <c r="I116" s="677"/>
    </row>
    <row r="117" spans="1:12" ht="8.1" customHeight="1" x14ac:dyDescent="0.25">
      <c r="A117" s="1217"/>
      <c r="B117" s="1218"/>
      <c r="C117" s="1268"/>
      <c r="D117" s="1268"/>
      <c r="E117" s="1268"/>
      <c r="F117" s="1268"/>
      <c r="G117" s="677"/>
      <c r="H117" s="677"/>
      <c r="I117" s="677"/>
    </row>
    <row r="118" spans="1:12" ht="12.75" customHeight="1" x14ac:dyDescent="0.25">
      <c r="A118" s="1217"/>
      <c r="B118" s="1218" t="s">
        <v>1025</v>
      </c>
      <c r="C118" s="1224">
        <f>SUM(C110:C117)</f>
        <v>212218</v>
      </c>
      <c r="D118" s="1224">
        <f>SUM(D110:D117)</f>
        <v>364367</v>
      </c>
      <c r="E118" s="1225">
        <f>SUM(E110:E117)</f>
        <v>63352.79</v>
      </c>
      <c r="F118" s="1296">
        <f>E118/D118*100</f>
        <v>17.387082254979184</v>
      </c>
      <c r="G118" s="1298">
        <f>'4.tábla'!AM32-C118</f>
        <v>0</v>
      </c>
      <c r="H118" s="1298">
        <f>'4.tábla'!AN32-D118</f>
        <v>0</v>
      </c>
      <c r="I118" s="1870">
        <f>'4.tábla'!AO32-E118</f>
        <v>0</v>
      </c>
      <c r="J118" s="1298"/>
      <c r="K118" s="1298"/>
      <c r="L118" s="1298"/>
    </row>
    <row r="119" spans="1:12" ht="8.1" customHeight="1" x14ac:dyDescent="0.25">
      <c r="A119" s="1217"/>
      <c r="B119" s="1218"/>
      <c r="C119" s="1268"/>
      <c r="D119" s="1268"/>
      <c r="E119" s="1268"/>
      <c r="F119" s="1268"/>
      <c r="G119" s="677"/>
      <c r="H119" s="677"/>
      <c r="I119" s="677"/>
    </row>
    <row r="120" spans="1:12" ht="15" customHeight="1" x14ac:dyDescent="0.2">
      <c r="A120" s="1277">
        <v>14</v>
      </c>
      <c r="B120" s="1278" t="s">
        <v>728</v>
      </c>
      <c r="C120" s="1268"/>
      <c r="D120" s="1268"/>
      <c r="E120" s="1268"/>
      <c r="F120" s="1268"/>
      <c r="G120" s="677"/>
      <c r="H120" s="677"/>
      <c r="I120" s="677"/>
    </row>
    <row r="121" spans="1:12" ht="8.1" customHeight="1" x14ac:dyDescent="0.25">
      <c r="A121" s="1217"/>
      <c r="B121" s="1218"/>
      <c r="C121" s="1268"/>
      <c r="D121" s="1268"/>
      <c r="E121" s="1268"/>
      <c r="F121" s="1268"/>
      <c r="G121" s="677"/>
      <c r="H121" s="677"/>
      <c r="I121" s="677"/>
    </row>
    <row r="122" spans="1:12" ht="12.75" customHeight="1" x14ac:dyDescent="0.25">
      <c r="A122" s="1217">
        <v>15</v>
      </c>
      <c r="B122" s="1218" t="s">
        <v>729</v>
      </c>
      <c r="C122" s="1268"/>
      <c r="D122" s="1268"/>
      <c r="E122" s="1268"/>
      <c r="F122" s="1268"/>
      <c r="G122" s="677"/>
      <c r="H122" s="677"/>
      <c r="I122" s="677"/>
    </row>
    <row r="123" spans="1:12" ht="8.1" customHeight="1" x14ac:dyDescent="0.25">
      <c r="A123" s="1206"/>
      <c r="B123" s="1218"/>
      <c r="C123" s="1268"/>
      <c r="D123" s="1268"/>
      <c r="E123" s="1268"/>
      <c r="F123" s="1268"/>
      <c r="G123" s="677"/>
      <c r="H123" s="677"/>
      <c r="I123" s="677"/>
    </row>
    <row r="124" spans="1:12" ht="12.75" customHeight="1" x14ac:dyDescent="0.25">
      <c r="A124" s="1217">
        <v>16</v>
      </c>
      <c r="B124" s="1218" t="s">
        <v>1226</v>
      </c>
      <c r="C124" s="1268"/>
      <c r="D124" s="1268"/>
      <c r="E124" s="1268"/>
      <c r="F124" s="1268"/>
      <c r="G124" s="677"/>
      <c r="H124" s="677"/>
      <c r="I124" s="677"/>
    </row>
    <row r="125" spans="1:12" ht="8.1" customHeight="1" x14ac:dyDescent="0.25">
      <c r="A125" s="1206"/>
      <c r="B125" s="1218"/>
      <c r="C125" s="1266"/>
      <c r="D125" s="1267"/>
      <c r="E125" s="1267"/>
      <c r="F125" s="1267"/>
      <c r="G125" s="677"/>
      <c r="H125" s="677"/>
      <c r="I125" s="677"/>
    </row>
    <row r="126" spans="1:12" ht="12.75" customHeight="1" x14ac:dyDescent="0.2">
      <c r="A126" s="1206" t="s">
        <v>132</v>
      </c>
      <c r="B126" s="1279" t="s">
        <v>1261</v>
      </c>
      <c r="C126" s="1280">
        <v>1981</v>
      </c>
      <c r="D126" s="1281">
        <v>1981</v>
      </c>
      <c r="E126" s="1281">
        <v>436.99900000000002</v>
      </c>
      <c r="F126" s="388">
        <f>E126/D126*100</f>
        <v>22.059515396264516</v>
      </c>
      <c r="G126" s="677"/>
      <c r="H126" s="677"/>
      <c r="I126" s="677"/>
    </row>
    <row r="127" spans="1:12" ht="5.0999999999999996" customHeight="1" x14ac:dyDescent="0.2">
      <c r="A127" s="1206"/>
      <c r="B127" s="1270"/>
      <c r="C127" s="1221"/>
      <c r="D127" s="1257" t="s">
        <v>571</v>
      </c>
      <c r="E127" s="1257"/>
      <c r="F127" s="1257" t="s">
        <v>571</v>
      </c>
      <c r="G127" s="677"/>
      <c r="H127" s="677"/>
      <c r="I127" s="677"/>
    </row>
    <row r="128" spans="1:12" ht="12.75" customHeight="1" x14ac:dyDescent="0.25">
      <c r="A128" s="1198"/>
      <c r="B128" s="1218" t="s">
        <v>456</v>
      </c>
      <c r="C128" s="1267">
        <f>SUM(C126:C127)</f>
        <v>1981</v>
      </c>
      <c r="D128" s="1267">
        <f>SUM(D126:D127)</f>
        <v>1981</v>
      </c>
      <c r="E128" s="1267">
        <f>SUM(E126:E127)</f>
        <v>436.99900000000002</v>
      </c>
      <c r="F128" s="1295">
        <f>E128/D128*100</f>
        <v>22.059515396264516</v>
      </c>
      <c r="G128" s="1298">
        <f>'4.tábla'!AV32-C128</f>
        <v>0</v>
      </c>
      <c r="H128" s="1298">
        <f>'4.tábla'!AW32-D128</f>
        <v>0</v>
      </c>
      <c r="I128" s="1870">
        <f>'4.tábla'!AX32-E128</f>
        <v>0</v>
      </c>
      <c r="J128" s="1298"/>
      <c r="K128" s="1298"/>
      <c r="L128" s="1298"/>
    </row>
    <row r="129" spans="1:12" ht="8.1" customHeight="1" x14ac:dyDescent="0.25">
      <c r="A129" s="1206"/>
      <c r="B129" s="1218"/>
      <c r="C129" s="1266"/>
      <c r="D129" s="1267"/>
      <c r="E129" s="1267"/>
      <c r="F129" s="1267"/>
      <c r="G129" s="677"/>
      <c r="H129" s="677"/>
      <c r="I129" s="677"/>
    </row>
    <row r="130" spans="1:12" ht="12.75" customHeight="1" x14ac:dyDescent="0.25">
      <c r="A130" s="1217">
        <v>17</v>
      </c>
      <c r="B130" s="1218" t="s">
        <v>254</v>
      </c>
      <c r="C130" s="1266"/>
      <c r="D130" s="1267"/>
      <c r="E130" s="1267"/>
      <c r="F130" s="1267"/>
      <c r="G130" s="677"/>
      <c r="H130" s="677"/>
      <c r="I130" s="677"/>
    </row>
    <row r="131" spans="1:12" ht="8.1" customHeight="1" x14ac:dyDescent="0.25">
      <c r="A131" s="1217"/>
      <c r="B131" s="1218"/>
      <c r="C131" s="1266"/>
      <c r="D131" s="1267"/>
      <c r="E131" s="1267"/>
      <c r="F131" s="1267"/>
      <c r="G131" s="677"/>
      <c r="H131" s="677"/>
      <c r="I131" s="677"/>
    </row>
    <row r="132" spans="1:12" ht="12.75" customHeight="1" x14ac:dyDescent="0.25">
      <c r="A132" s="1217">
        <v>18</v>
      </c>
      <c r="B132" s="1218" t="s">
        <v>457</v>
      </c>
      <c r="C132" s="1266"/>
      <c r="D132" s="1267"/>
      <c r="E132" s="1267"/>
      <c r="F132" s="1267"/>
      <c r="G132" s="677"/>
      <c r="H132" s="677"/>
      <c r="I132" s="677"/>
    </row>
    <row r="133" spans="1:12" ht="8.1" customHeight="1" x14ac:dyDescent="0.25">
      <c r="A133" s="1217"/>
      <c r="B133" s="1218"/>
      <c r="C133" s="1266"/>
      <c r="D133" s="1267"/>
      <c r="E133" s="1267"/>
      <c r="F133" s="1267"/>
      <c r="G133" s="677"/>
      <c r="H133" s="677"/>
      <c r="I133" s="677"/>
    </row>
    <row r="134" spans="1:12" ht="12.75" customHeight="1" x14ac:dyDescent="0.2">
      <c r="A134" s="1206" t="s">
        <v>132</v>
      </c>
      <c r="B134" s="1272" t="s">
        <v>177</v>
      </c>
      <c r="C134" s="1221">
        <v>6350</v>
      </c>
      <c r="D134" s="1257">
        <v>6632</v>
      </c>
      <c r="E134" s="1257">
        <v>0</v>
      </c>
      <c r="F134" s="388">
        <f>E134/D134*100</f>
        <v>0</v>
      </c>
      <c r="G134" s="677"/>
      <c r="H134" s="677"/>
      <c r="I134" s="677"/>
    </row>
    <row r="135" spans="1:12" ht="12.75" customHeight="1" x14ac:dyDescent="0.2">
      <c r="A135" s="1206" t="s">
        <v>368</v>
      </c>
      <c r="B135" s="1273" t="s">
        <v>1262</v>
      </c>
      <c r="C135" s="1221">
        <v>5000</v>
      </c>
      <c r="D135" s="1257">
        <v>0</v>
      </c>
      <c r="E135" s="1257">
        <v>0</v>
      </c>
      <c r="F135" s="388">
        <v>0</v>
      </c>
      <c r="G135" s="677"/>
      <c r="H135" s="677"/>
      <c r="I135" s="677"/>
    </row>
    <row r="136" spans="1:12" ht="12.75" hidden="1" customHeight="1" x14ac:dyDescent="0.2">
      <c r="A136" s="1206" t="s">
        <v>750</v>
      </c>
      <c r="B136" s="1273" t="s">
        <v>491</v>
      </c>
      <c r="C136" s="1221"/>
      <c r="D136" s="1257"/>
      <c r="E136" s="1257">
        <v>0</v>
      </c>
      <c r="F136" s="388" t="e">
        <f>E136/D136*100</f>
        <v>#DIV/0!</v>
      </c>
      <c r="G136" s="677"/>
      <c r="H136" s="677"/>
      <c r="I136" s="677"/>
    </row>
    <row r="137" spans="1:12" ht="5.0999999999999996" customHeight="1" x14ac:dyDescent="0.25">
      <c r="A137" s="1206"/>
      <c r="B137" s="1218"/>
      <c r="C137" s="1266"/>
      <c r="D137" s="1267"/>
      <c r="E137" s="1267"/>
      <c r="F137" s="1267"/>
      <c r="G137" s="677"/>
      <c r="H137" s="677"/>
      <c r="I137" s="677"/>
    </row>
    <row r="138" spans="1:12" ht="12.75" customHeight="1" x14ac:dyDescent="0.25">
      <c r="A138" s="1206"/>
      <c r="B138" s="1218" t="s">
        <v>492</v>
      </c>
      <c r="C138" s="1267">
        <f>SUM(C134:C137)</f>
        <v>11350</v>
      </c>
      <c r="D138" s="1267">
        <f>SUM(D134:D137)</f>
        <v>6632</v>
      </c>
      <c r="E138" s="1267">
        <f>SUM(E134:E137)</f>
        <v>0</v>
      </c>
      <c r="F138" s="1295">
        <f>E138/D138*100</f>
        <v>0</v>
      </c>
      <c r="G138" s="1298">
        <f>'4.tábla'!BB32-C138</f>
        <v>0</v>
      </c>
      <c r="H138" s="1298">
        <f>'4.tábla'!BC32-D138</f>
        <v>0</v>
      </c>
      <c r="I138" s="1870">
        <f>'4.tábla'!BD32-E138</f>
        <v>0</v>
      </c>
      <c r="J138" s="1298"/>
      <c r="K138" s="1298"/>
      <c r="L138" s="1298"/>
    </row>
    <row r="139" spans="1:12" ht="8.1" customHeight="1" x14ac:dyDescent="0.25">
      <c r="A139" s="1206"/>
      <c r="B139" s="1218"/>
      <c r="C139" s="1267"/>
      <c r="D139" s="1267"/>
      <c r="E139" s="1267"/>
      <c r="F139" s="1267"/>
      <c r="G139" s="677"/>
      <c r="H139" s="677"/>
      <c r="I139" s="677"/>
    </row>
    <row r="140" spans="1:12" ht="12.75" customHeight="1" x14ac:dyDescent="0.25">
      <c r="A140" s="1217">
        <v>19</v>
      </c>
      <c r="B140" s="1218" t="s">
        <v>458</v>
      </c>
      <c r="C140" s="1267"/>
      <c r="D140" s="1267"/>
      <c r="E140" s="1267"/>
      <c r="F140" s="1267"/>
      <c r="G140" s="677"/>
      <c r="H140" s="677"/>
      <c r="I140" s="677"/>
    </row>
    <row r="141" spans="1:12" ht="8.1" customHeight="1" x14ac:dyDescent="0.25">
      <c r="A141" s="1217"/>
      <c r="B141" s="1218"/>
      <c r="C141" s="1267"/>
      <c r="D141" s="1267"/>
      <c r="E141" s="1267"/>
      <c r="F141" s="1267"/>
      <c r="G141" s="677"/>
      <c r="H141" s="677"/>
      <c r="I141" s="677"/>
    </row>
    <row r="142" spans="1:12" ht="12.75" customHeight="1" x14ac:dyDescent="0.2">
      <c r="A142" s="1206" t="s">
        <v>132</v>
      </c>
      <c r="B142" s="1258" t="s">
        <v>1162</v>
      </c>
      <c r="C142" s="1221">
        <v>19050</v>
      </c>
      <c r="D142" s="1257">
        <v>3472</v>
      </c>
      <c r="E142" s="1257">
        <v>0</v>
      </c>
      <c r="F142" s="388">
        <v>0</v>
      </c>
      <c r="G142" s="677"/>
      <c r="H142" s="677"/>
      <c r="I142" s="677"/>
    </row>
    <row r="143" spans="1:12" ht="12.75" customHeight="1" x14ac:dyDescent="0.2">
      <c r="A143" s="1206" t="s">
        <v>368</v>
      </c>
      <c r="B143" s="1258" t="s">
        <v>1119</v>
      </c>
      <c r="C143" s="1221">
        <v>18796</v>
      </c>
      <c r="D143" s="1257">
        <v>11124</v>
      </c>
      <c r="E143" s="1257">
        <v>9990</v>
      </c>
      <c r="F143" s="388">
        <f t="shared" ref="F143:F150" si="3">E143/D143*100</f>
        <v>89.805825242718456</v>
      </c>
      <c r="G143" s="677"/>
      <c r="H143" s="677"/>
      <c r="I143" s="677"/>
    </row>
    <row r="144" spans="1:12" ht="12.75" customHeight="1" x14ac:dyDescent="0.2">
      <c r="A144" s="1206" t="s">
        <v>750</v>
      </c>
      <c r="B144" s="1258" t="s">
        <v>1030</v>
      </c>
      <c r="C144" s="1221">
        <v>17101</v>
      </c>
      <c r="D144" s="1257">
        <v>17533</v>
      </c>
      <c r="E144" s="1257">
        <v>9977.2000000000007</v>
      </c>
      <c r="F144" s="388">
        <f t="shared" si="3"/>
        <v>56.905264358638</v>
      </c>
      <c r="G144" s="677"/>
      <c r="H144" s="677"/>
      <c r="I144" s="677"/>
    </row>
    <row r="145" spans="1:12" ht="12.75" customHeight="1" x14ac:dyDescent="0.2">
      <c r="A145" s="1206" t="s">
        <v>737</v>
      </c>
      <c r="B145" s="1258" t="s">
        <v>1161</v>
      </c>
      <c r="C145" s="1221">
        <v>0</v>
      </c>
      <c r="D145" s="1257">
        <v>2520</v>
      </c>
      <c r="E145" s="1257">
        <v>383.57799999999997</v>
      </c>
      <c r="F145" s="388">
        <f t="shared" si="3"/>
        <v>15.221349206349204</v>
      </c>
      <c r="G145" s="677"/>
      <c r="H145" s="677"/>
      <c r="I145" s="677"/>
    </row>
    <row r="146" spans="1:12" ht="12.75" customHeight="1" x14ac:dyDescent="0.2">
      <c r="A146" s="1206" t="s">
        <v>201</v>
      </c>
      <c r="B146" s="1258" t="s">
        <v>1023</v>
      </c>
      <c r="C146" s="1221">
        <v>0</v>
      </c>
      <c r="D146" s="1257">
        <v>223870</v>
      </c>
      <c r="E146" s="1257">
        <v>222189.02799999999</v>
      </c>
      <c r="F146" s="388">
        <f t="shared" si="3"/>
        <v>99.249130298834146</v>
      </c>
      <c r="G146" s="677"/>
      <c r="H146" s="677"/>
      <c r="I146" s="677"/>
    </row>
    <row r="147" spans="1:12" ht="12.75" customHeight="1" x14ac:dyDescent="0.2">
      <c r="A147" s="1206" t="s">
        <v>209</v>
      </c>
      <c r="B147" s="1258" t="s">
        <v>1126</v>
      </c>
      <c r="C147" s="1221">
        <v>0</v>
      </c>
      <c r="D147" s="1257">
        <v>887</v>
      </c>
      <c r="E147" s="1257">
        <v>887.06999999999994</v>
      </c>
      <c r="F147" s="388">
        <f t="shared" si="3"/>
        <v>100.00789177001126</v>
      </c>
      <c r="G147" s="677"/>
      <c r="H147" s="677"/>
      <c r="I147" s="677"/>
    </row>
    <row r="148" spans="1:12" ht="12.75" customHeight="1" x14ac:dyDescent="0.2">
      <c r="A148" s="1206" t="s">
        <v>210</v>
      </c>
      <c r="B148" s="1258" t="s">
        <v>1263</v>
      </c>
      <c r="C148" s="1221"/>
      <c r="D148" s="1257">
        <v>159</v>
      </c>
      <c r="E148" s="1257">
        <v>158.75</v>
      </c>
      <c r="F148" s="388">
        <f t="shared" si="3"/>
        <v>99.842767295597483</v>
      </c>
      <c r="G148" s="677"/>
      <c r="H148" s="677"/>
      <c r="I148" s="677"/>
    </row>
    <row r="149" spans="1:12" ht="12.75" customHeight="1" x14ac:dyDescent="0.2">
      <c r="A149" s="1206" t="s">
        <v>202</v>
      </c>
      <c r="B149" s="1258" t="s">
        <v>1227</v>
      </c>
      <c r="C149" s="1221"/>
      <c r="D149" s="1257">
        <v>825</v>
      </c>
      <c r="E149" s="1257">
        <v>825.5</v>
      </c>
      <c r="F149" s="388">
        <f t="shared" si="3"/>
        <v>100.06060606060605</v>
      </c>
      <c r="G149" s="677"/>
      <c r="H149" s="677"/>
      <c r="I149" s="677"/>
    </row>
    <row r="150" spans="1:12" ht="12.75" customHeight="1" x14ac:dyDescent="0.2">
      <c r="A150" s="1206" t="s">
        <v>203</v>
      </c>
      <c r="B150" s="1258" t="s">
        <v>1264</v>
      </c>
      <c r="C150" s="1221">
        <v>0</v>
      </c>
      <c r="D150" s="1257">
        <v>1155000</v>
      </c>
      <c r="E150" s="1257">
        <v>1155000</v>
      </c>
      <c r="F150" s="388">
        <f t="shared" si="3"/>
        <v>100</v>
      </c>
      <c r="G150" s="677"/>
      <c r="H150" s="677"/>
      <c r="I150" s="677"/>
    </row>
    <row r="151" spans="1:12" ht="5.0999999999999996" customHeight="1" x14ac:dyDescent="0.25">
      <c r="A151" s="1217"/>
      <c r="B151" s="1218"/>
      <c r="C151" s="1267"/>
      <c r="D151" s="1267"/>
      <c r="E151" s="1267"/>
      <c r="F151" s="1267"/>
      <c r="G151" s="677"/>
      <c r="H151" s="677"/>
      <c r="I151" s="677"/>
    </row>
    <row r="152" spans="1:12" ht="12.75" customHeight="1" x14ac:dyDescent="0.25">
      <c r="A152" s="1217"/>
      <c r="B152" s="1218" t="s">
        <v>493</v>
      </c>
      <c r="C152" s="1267">
        <f>SUM(C142:C151)</f>
        <v>54947</v>
      </c>
      <c r="D152" s="1267">
        <f>SUM(D142:D151)</f>
        <v>1415390</v>
      </c>
      <c r="E152" s="1267">
        <f>SUM(E142:E151)</f>
        <v>1399411.1259999999</v>
      </c>
      <c r="F152" s="1295">
        <f>E152/D152*100</f>
        <v>98.871062110089795</v>
      </c>
      <c r="G152" s="1298">
        <f>'4.tábla'!BE32-C152</f>
        <v>0</v>
      </c>
      <c r="H152" s="1298">
        <f>'4.tábla'!BF32-D152</f>
        <v>0</v>
      </c>
      <c r="I152" s="1870">
        <f>'4.tábla'!BG32-E152</f>
        <v>0</v>
      </c>
      <c r="J152" s="1298"/>
      <c r="K152" s="1298"/>
      <c r="L152" s="1298"/>
    </row>
    <row r="153" spans="1:12" ht="8.1" customHeight="1" x14ac:dyDescent="0.25">
      <c r="A153" s="1206"/>
      <c r="B153" s="1218"/>
      <c r="C153" s="1267"/>
      <c r="D153" s="1267"/>
      <c r="E153" s="1267"/>
      <c r="F153" s="1267"/>
      <c r="G153" s="677"/>
      <c r="H153" s="677"/>
      <c r="I153" s="677"/>
    </row>
    <row r="154" spans="1:12" ht="18" customHeight="1" x14ac:dyDescent="0.2">
      <c r="A154" s="1206"/>
      <c r="B154" s="2072" t="s">
        <v>459</v>
      </c>
      <c r="C154" s="1227">
        <f>C46+C56+C62+C64+C66+C74+C85+C93+C95+C97+C105+C107+C118+C120+C122+C128+C130+C138+C152</f>
        <v>1777032</v>
      </c>
      <c r="D154" s="1227">
        <f>D46+D56+D62+D64+D66+D74+D85+D93+D95+D97+D105+D107+D118+D120+D122+D128+D130+D138+D152</f>
        <v>4240180.6109999996</v>
      </c>
      <c r="E154" s="1227">
        <f>E46+E56+E62+E64+E66+E74+E85+E93+E95+E97+E105+E107+E118+E120+E122+E128+E130+E138+E152</f>
        <v>2872029.9410000001</v>
      </c>
      <c r="F154" s="1241">
        <f>E154/D154*100</f>
        <v>67.733669965597613</v>
      </c>
      <c r="G154" s="1298">
        <f>'4.tábla'!BH32-C154</f>
        <v>0</v>
      </c>
      <c r="H154" s="1298">
        <f>'4.tábla'!BI32-D154</f>
        <v>0</v>
      </c>
      <c r="I154" s="1870">
        <f>'4.tábla'!BJ32-E154</f>
        <v>0</v>
      </c>
      <c r="J154" s="1298"/>
      <c r="K154" s="1298"/>
      <c r="L154" s="1298"/>
    </row>
    <row r="155" spans="1:12" ht="8.1" customHeight="1" x14ac:dyDescent="0.25">
      <c r="A155" s="1206"/>
      <c r="B155" s="1218"/>
      <c r="C155" s="1267"/>
      <c r="D155" s="1267"/>
      <c r="E155" s="1267"/>
      <c r="F155" s="1267"/>
      <c r="G155" s="677"/>
      <c r="H155" s="677"/>
      <c r="I155" s="677"/>
    </row>
    <row r="156" spans="1:12" ht="12.75" customHeight="1" x14ac:dyDescent="0.2">
      <c r="A156" s="1215" t="s">
        <v>693</v>
      </c>
      <c r="B156" s="1216" t="s">
        <v>460</v>
      </c>
      <c r="C156" s="1267"/>
      <c r="D156" s="1267"/>
      <c r="E156" s="1267"/>
      <c r="F156" s="1267"/>
      <c r="G156" s="677"/>
      <c r="H156" s="677"/>
      <c r="I156" s="677"/>
    </row>
    <row r="157" spans="1:12" ht="8.1" customHeight="1" x14ac:dyDescent="0.2">
      <c r="A157" s="1282"/>
      <c r="B157" s="1283"/>
      <c r="C157" s="1267"/>
      <c r="D157" s="1267"/>
      <c r="E157" s="1267"/>
      <c r="F157" s="1267"/>
      <c r="G157" s="677"/>
      <c r="H157" s="677"/>
      <c r="I157" s="677"/>
    </row>
    <row r="158" spans="1:12" ht="12.75" customHeight="1" x14ac:dyDescent="0.25">
      <c r="A158" s="1217">
        <v>1</v>
      </c>
      <c r="B158" s="1218" t="s">
        <v>461</v>
      </c>
      <c r="C158" s="1269"/>
      <c r="D158" s="1257"/>
      <c r="E158" s="1257"/>
      <c r="F158" s="388"/>
      <c r="G158" s="1298">
        <f>'4.tábla'!BK32-C158</f>
        <v>0</v>
      </c>
      <c r="H158" s="1298">
        <f>'4.tábla'!BL32-D158</f>
        <v>0</v>
      </c>
      <c r="I158" s="1870">
        <f>'4.tábla'!BM32-E158</f>
        <v>0</v>
      </c>
    </row>
    <row r="159" spans="1:12" ht="8.1" customHeight="1" x14ac:dyDescent="0.25">
      <c r="A159" s="1217"/>
      <c r="B159" s="1218"/>
      <c r="C159" s="1267"/>
      <c r="D159" s="1267"/>
      <c r="E159" s="1267"/>
      <c r="F159" s="1267"/>
      <c r="G159" s="677"/>
      <c r="H159" s="677"/>
      <c r="I159" s="677"/>
    </row>
    <row r="160" spans="1:12" ht="12.75" customHeight="1" x14ac:dyDescent="0.25">
      <c r="A160" s="1217">
        <v>2</v>
      </c>
      <c r="B160" s="1218" t="s">
        <v>462</v>
      </c>
      <c r="C160" s="1267"/>
      <c r="D160" s="1267"/>
      <c r="E160" s="1267"/>
      <c r="F160" s="1267"/>
      <c r="G160" s="677"/>
      <c r="H160" s="677"/>
      <c r="I160" s="677"/>
    </row>
    <row r="161" spans="1:12" ht="8.1" customHeight="1" x14ac:dyDescent="0.25">
      <c r="A161" s="1217"/>
      <c r="B161" s="1218"/>
      <c r="C161" s="1267"/>
      <c r="D161" s="1267"/>
      <c r="E161" s="1267"/>
      <c r="F161" s="1267"/>
      <c r="G161" s="677"/>
      <c r="H161" s="677"/>
      <c r="I161" s="677"/>
    </row>
    <row r="162" spans="1:12" ht="12.75" hidden="1" customHeight="1" x14ac:dyDescent="0.2">
      <c r="A162" s="1206" t="s">
        <v>132</v>
      </c>
      <c r="B162" s="1258" t="s">
        <v>1115</v>
      </c>
      <c r="C162" s="1221"/>
      <c r="D162" s="1257"/>
      <c r="E162" s="1257"/>
      <c r="F162" s="388" t="e">
        <f>E162/D162*100</f>
        <v>#DIV/0!</v>
      </c>
      <c r="G162" s="677"/>
      <c r="H162" s="677"/>
      <c r="I162" s="677"/>
    </row>
    <row r="163" spans="1:12" ht="5.0999999999999996" hidden="1" customHeight="1" x14ac:dyDescent="0.2">
      <c r="A163" s="1206"/>
      <c r="B163" s="1258"/>
      <c r="C163" s="1221"/>
      <c r="D163" s="1257"/>
      <c r="E163" s="1257"/>
      <c r="F163" s="388"/>
      <c r="G163" s="677"/>
      <c r="H163" s="677"/>
      <c r="I163" s="677"/>
    </row>
    <row r="164" spans="1:12" ht="12.75" hidden="1" customHeight="1" x14ac:dyDescent="0.25">
      <c r="A164" s="1217"/>
      <c r="B164" s="1218" t="s">
        <v>1056</v>
      </c>
      <c r="C164" s="1224">
        <f>SUM(C162)</f>
        <v>0</v>
      </c>
      <c r="D164" s="1225">
        <f>SUM(D162)</f>
        <v>0</v>
      </c>
      <c r="E164" s="1225">
        <f>SUM(E162)</f>
        <v>0</v>
      </c>
      <c r="F164" s="1296" t="e">
        <f>E164/D164*100</f>
        <v>#DIV/0!</v>
      </c>
      <c r="G164" s="1298">
        <f>'4.tábla'!BN32-C164</f>
        <v>0</v>
      </c>
      <c r="H164" s="1298">
        <f>'4.tábla'!BO32-D164</f>
        <v>0</v>
      </c>
      <c r="I164" s="1870">
        <f>'4.tábla'!BP32-E164</f>
        <v>0</v>
      </c>
    </row>
    <row r="165" spans="1:12" ht="8.1" hidden="1" customHeight="1" x14ac:dyDescent="0.25">
      <c r="A165" s="1217"/>
      <c r="B165" s="1218"/>
      <c r="C165" s="1267"/>
      <c r="D165" s="1267"/>
      <c r="E165" s="1267"/>
      <c r="F165" s="1267"/>
      <c r="G165" s="677"/>
      <c r="H165" s="677"/>
      <c r="I165" s="677"/>
    </row>
    <row r="166" spans="1:12" ht="12.75" customHeight="1" x14ac:dyDescent="0.25">
      <c r="A166" s="1217">
        <v>3</v>
      </c>
      <c r="B166" s="1218" t="s">
        <v>463</v>
      </c>
      <c r="C166" s="1267"/>
      <c r="D166" s="1267"/>
      <c r="E166" s="1267"/>
      <c r="F166" s="1267"/>
      <c r="G166" s="677"/>
      <c r="H166" s="677"/>
      <c r="I166" s="677"/>
    </row>
    <row r="167" spans="1:12" ht="8.1" customHeight="1" x14ac:dyDescent="0.25">
      <c r="A167" s="1217"/>
      <c r="B167" s="1218"/>
      <c r="C167" s="1267"/>
      <c r="D167" s="1267"/>
      <c r="E167" s="1267"/>
      <c r="F167" s="1267"/>
      <c r="G167" s="677"/>
      <c r="H167" s="677"/>
      <c r="I167" s="677"/>
    </row>
    <row r="168" spans="1:12" ht="12.75" customHeight="1" x14ac:dyDescent="0.25">
      <c r="A168" s="1217">
        <v>4</v>
      </c>
      <c r="B168" s="1218" t="s">
        <v>529</v>
      </c>
      <c r="C168" s="1267"/>
      <c r="D168" s="1267"/>
      <c r="E168" s="1267"/>
      <c r="F168" s="1267"/>
      <c r="G168" s="677"/>
      <c r="H168" s="677"/>
      <c r="I168" s="677"/>
    </row>
    <row r="169" spans="1:12" ht="8.1" customHeight="1" x14ac:dyDescent="0.25">
      <c r="A169" s="1217"/>
      <c r="B169" s="1218"/>
      <c r="C169" s="1267"/>
      <c r="D169" s="1267"/>
      <c r="E169" s="1267"/>
      <c r="F169" s="1267"/>
      <c r="G169" s="677"/>
      <c r="H169" s="677"/>
      <c r="I169" s="677"/>
    </row>
    <row r="170" spans="1:12" ht="12.75" customHeight="1" x14ac:dyDescent="0.2">
      <c r="A170" s="1206" t="s">
        <v>132</v>
      </c>
      <c r="B170" s="1270" t="s">
        <v>259</v>
      </c>
      <c r="C170" s="1281">
        <v>25400</v>
      </c>
      <c r="D170" s="1281">
        <v>51969</v>
      </c>
      <c r="E170" s="1281">
        <v>25063.45</v>
      </c>
      <c r="F170" s="388">
        <f>E170/D170*100</f>
        <v>48.227693432623298</v>
      </c>
      <c r="G170" s="677"/>
      <c r="H170" s="677"/>
      <c r="I170" s="677"/>
    </row>
    <row r="171" spans="1:12" ht="12.75" customHeight="1" x14ac:dyDescent="0.2">
      <c r="A171" s="1206" t="s">
        <v>368</v>
      </c>
      <c r="B171" s="1270" t="s">
        <v>1127</v>
      </c>
      <c r="C171" s="1281">
        <v>5080</v>
      </c>
      <c r="D171" s="1281">
        <v>8890</v>
      </c>
      <c r="E171" s="1281">
        <v>4298.95</v>
      </c>
      <c r="F171" s="388">
        <f>E171/D171*100</f>
        <v>48.357142857142854</v>
      </c>
      <c r="G171" s="677"/>
      <c r="H171" s="677"/>
      <c r="I171" s="677"/>
    </row>
    <row r="172" spans="1:12" ht="5.0999999999999996" customHeight="1" x14ac:dyDescent="0.25">
      <c r="A172" s="1217"/>
      <c r="B172" s="1218"/>
      <c r="C172" s="1267"/>
      <c r="D172" s="1267"/>
      <c r="E172" s="1267"/>
      <c r="F172" s="1267"/>
      <c r="G172" s="677"/>
      <c r="H172" s="677"/>
      <c r="I172" s="677"/>
    </row>
    <row r="173" spans="1:12" ht="12.75" customHeight="1" x14ac:dyDescent="0.25">
      <c r="A173" s="1217"/>
      <c r="B173" s="1218" t="s">
        <v>494</v>
      </c>
      <c r="C173" s="1225">
        <f>SUM(C170:C172)</f>
        <v>30480</v>
      </c>
      <c r="D173" s="1225">
        <f>SUM(D170:D172)</f>
        <v>60859</v>
      </c>
      <c r="E173" s="1225">
        <f>SUM(E170:E172)</f>
        <v>29362.400000000001</v>
      </c>
      <c r="F173" s="1296">
        <f>E173/D173*100</f>
        <v>48.246602803200844</v>
      </c>
      <c r="G173" s="1298">
        <f>'4.tábla'!BT32-C173</f>
        <v>0</v>
      </c>
      <c r="H173" s="1298">
        <f>'4.tábla'!BU32-D173</f>
        <v>0</v>
      </c>
      <c r="I173" s="1870">
        <f>'4.tábla'!BV32-E173</f>
        <v>0</v>
      </c>
      <c r="J173" s="1298"/>
      <c r="K173" s="1298"/>
      <c r="L173" s="1298"/>
    </row>
    <row r="174" spans="1:12" ht="8.1" customHeight="1" x14ac:dyDescent="0.25">
      <c r="A174" s="1217"/>
      <c r="B174" s="1218"/>
      <c r="C174" s="1267"/>
      <c r="D174" s="1267"/>
      <c r="E174" s="1267"/>
      <c r="F174" s="1267"/>
      <c r="G174" s="677"/>
      <c r="H174" s="677"/>
      <c r="I174" s="677"/>
    </row>
    <row r="175" spans="1:12" ht="12.75" customHeight="1" x14ac:dyDescent="0.25">
      <c r="A175" s="1217">
        <v>5</v>
      </c>
      <c r="B175" s="1218" t="s">
        <v>90</v>
      </c>
      <c r="C175" s="1267"/>
      <c r="D175" s="1267"/>
      <c r="E175" s="1267"/>
      <c r="F175" s="1267"/>
      <c r="G175" s="677"/>
      <c r="H175" s="677"/>
      <c r="I175" s="677"/>
    </row>
    <row r="176" spans="1:12" ht="8.1" customHeight="1" x14ac:dyDescent="0.25">
      <c r="A176" s="1217"/>
      <c r="B176" s="1218"/>
      <c r="C176" s="1267"/>
      <c r="D176" s="1267"/>
      <c r="E176" s="1267"/>
      <c r="F176" s="1267"/>
      <c r="G176" s="677"/>
      <c r="H176" s="677"/>
      <c r="I176" s="677"/>
    </row>
    <row r="177" spans="1:12" ht="12.75" customHeight="1" x14ac:dyDescent="0.2">
      <c r="A177" s="1206" t="s">
        <v>132</v>
      </c>
      <c r="B177" s="1220" t="s">
        <v>29</v>
      </c>
      <c r="C177" s="1221">
        <v>25400</v>
      </c>
      <c r="D177" s="1257">
        <v>57119</v>
      </c>
      <c r="E177" s="1257">
        <v>26678.276000000002</v>
      </c>
      <c r="F177" s="388">
        <f>E177/D177*100</f>
        <v>46.706482956634396</v>
      </c>
      <c r="G177" s="677"/>
      <c r="H177" s="677"/>
      <c r="I177" s="677"/>
    </row>
    <row r="178" spans="1:12" ht="5.0999999999999996" customHeight="1" x14ac:dyDescent="0.2">
      <c r="A178" s="1206"/>
      <c r="B178" s="1220"/>
      <c r="C178" s="1221"/>
      <c r="D178" s="1257"/>
      <c r="E178" s="1257"/>
      <c r="F178" s="1257"/>
      <c r="G178" s="677"/>
      <c r="H178" s="677"/>
      <c r="I178" s="677"/>
    </row>
    <row r="179" spans="1:12" ht="12.75" customHeight="1" x14ac:dyDescent="0.25">
      <c r="A179" s="1274"/>
      <c r="B179" s="1218" t="s">
        <v>495</v>
      </c>
      <c r="C179" s="1224">
        <f>SUM(C177)</f>
        <v>25400</v>
      </c>
      <c r="D179" s="1225">
        <f>SUM(D177)</f>
        <v>57119</v>
      </c>
      <c r="E179" s="1225">
        <f>SUM(E177)</f>
        <v>26678.276000000002</v>
      </c>
      <c r="F179" s="1296">
        <f>E179/D179*100</f>
        <v>46.706482956634396</v>
      </c>
      <c r="G179" s="1298">
        <f>'4.tábla'!BW32-C179</f>
        <v>0</v>
      </c>
      <c r="H179" s="1298">
        <f>'4.tábla'!BX32-D179</f>
        <v>0</v>
      </c>
      <c r="I179" s="1870">
        <f>'4.tábla'!BY32-E179</f>
        <v>0</v>
      </c>
      <c r="J179" s="1298"/>
      <c r="K179" s="1298"/>
      <c r="L179" s="1298"/>
    </row>
    <row r="180" spans="1:12" ht="8.1" customHeight="1" x14ac:dyDescent="0.25">
      <c r="A180" s="1217"/>
      <c r="B180" s="1218"/>
      <c r="C180" s="1267"/>
      <c r="D180" s="1267"/>
      <c r="E180" s="1267"/>
      <c r="F180" s="1267"/>
      <c r="G180" s="677"/>
      <c r="H180" s="677"/>
      <c r="I180" s="677"/>
    </row>
    <row r="181" spans="1:12" ht="12.75" customHeight="1" x14ac:dyDescent="0.25">
      <c r="A181" s="1217">
        <v>6</v>
      </c>
      <c r="B181" s="1218" t="s">
        <v>464</v>
      </c>
      <c r="C181" s="1267"/>
      <c r="D181" s="1267"/>
      <c r="E181" s="1267"/>
      <c r="F181" s="1267"/>
      <c r="G181" s="677"/>
      <c r="H181" s="677"/>
      <c r="I181" s="677"/>
    </row>
    <row r="182" spans="1:12" ht="8.1" customHeight="1" x14ac:dyDescent="0.25">
      <c r="A182" s="1217"/>
      <c r="B182" s="1218"/>
      <c r="C182" s="1267"/>
      <c r="D182" s="1267"/>
      <c r="E182" s="1267"/>
      <c r="F182" s="1267"/>
      <c r="G182" s="677"/>
      <c r="H182" s="677"/>
      <c r="I182" s="677"/>
    </row>
    <row r="183" spans="1:12" ht="12.75" customHeight="1" x14ac:dyDescent="0.2">
      <c r="A183" s="1206" t="s">
        <v>132</v>
      </c>
      <c r="B183" s="1270" t="s">
        <v>166</v>
      </c>
      <c r="C183" s="1221">
        <v>12700</v>
      </c>
      <c r="D183" s="1257">
        <v>16311</v>
      </c>
      <c r="E183" s="1257">
        <v>5331.7139999999999</v>
      </c>
      <c r="F183" s="388">
        <f>E183/D183*100</f>
        <v>32.687842560235424</v>
      </c>
      <c r="G183" s="677"/>
      <c r="H183" s="677"/>
      <c r="I183" s="677"/>
    </row>
    <row r="184" spans="1:12" ht="12.75" customHeight="1" x14ac:dyDescent="0.2">
      <c r="A184" s="1206" t="s">
        <v>368</v>
      </c>
      <c r="B184" s="1220" t="s">
        <v>147</v>
      </c>
      <c r="C184" s="1221">
        <v>30564</v>
      </c>
      <c r="D184" s="1257">
        <v>32525</v>
      </c>
      <c r="E184" s="1257">
        <v>30736.446</v>
      </c>
      <c r="F184" s="388">
        <f>E184/D184*100</f>
        <v>94.50098693312836</v>
      </c>
      <c r="G184" s="677"/>
      <c r="H184" s="677"/>
      <c r="I184" s="677"/>
    </row>
    <row r="185" spans="1:12" ht="12.75" customHeight="1" x14ac:dyDescent="0.2">
      <c r="A185" s="1284" t="s">
        <v>750</v>
      </c>
      <c r="B185" s="1285" t="s">
        <v>1026</v>
      </c>
      <c r="C185" s="1262">
        <v>0</v>
      </c>
      <c r="D185" s="1263">
        <v>137460</v>
      </c>
      <c r="E185" s="1263">
        <v>1371.6</v>
      </c>
      <c r="F185" s="388">
        <f>E185/D185*100</f>
        <v>0.99781754692274105</v>
      </c>
      <c r="G185" s="677"/>
      <c r="H185" s="677"/>
      <c r="I185" s="677"/>
    </row>
    <row r="186" spans="1:12" ht="5.0999999999999996" customHeight="1" x14ac:dyDescent="0.2">
      <c r="A186" s="1206"/>
      <c r="B186" s="1270"/>
      <c r="C186" s="1221"/>
      <c r="D186" s="1257"/>
      <c r="E186" s="1257"/>
      <c r="F186" s="1257"/>
      <c r="G186" s="677"/>
      <c r="H186" s="677"/>
      <c r="I186" s="677"/>
    </row>
    <row r="187" spans="1:12" ht="12.75" customHeight="1" x14ac:dyDescent="0.25">
      <c r="A187" s="1217"/>
      <c r="B187" s="1218" t="s">
        <v>690</v>
      </c>
      <c r="C187" s="1266">
        <f>SUM(C183:C186)</f>
        <v>43264</v>
      </c>
      <c r="D187" s="1267">
        <f>SUM(D183:D186)</f>
        <v>186296</v>
      </c>
      <c r="E187" s="1267">
        <f>SUM(E183:E186)</f>
        <v>37439.760000000002</v>
      </c>
      <c r="F187" s="1295">
        <f>E187/D187*100</f>
        <v>20.096921028900248</v>
      </c>
      <c r="G187" s="1298">
        <f>'4.tábla'!BZ32-C187</f>
        <v>0</v>
      </c>
      <c r="H187" s="1298">
        <f>'4.tábla'!CA32-D187</f>
        <v>0</v>
      </c>
      <c r="I187" s="1870">
        <f>'4.tábla'!CB32-E187</f>
        <v>0</v>
      </c>
      <c r="J187" s="1298"/>
      <c r="K187" s="1298"/>
      <c r="L187" s="1298"/>
    </row>
    <row r="188" spans="1:12" ht="8.1" customHeight="1" thickBot="1" x14ac:dyDescent="0.3">
      <c r="A188" s="1863"/>
      <c r="B188" s="1275"/>
      <c r="C188" s="1864"/>
      <c r="D188" s="1864"/>
      <c r="E188" s="1864"/>
      <c r="F188" s="1864"/>
      <c r="G188" s="1298"/>
      <c r="H188" s="1298"/>
      <c r="I188" s="1870"/>
      <c r="J188" s="1298"/>
      <c r="K188" s="1298"/>
      <c r="L188" s="1298"/>
    </row>
    <row r="189" spans="1:12" ht="8.1" customHeight="1" x14ac:dyDescent="0.25">
      <c r="A189" s="1217"/>
      <c r="B189" s="1218"/>
      <c r="C189" s="1267"/>
      <c r="D189" s="1267"/>
      <c r="E189" s="1267"/>
      <c r="F189" s="1267"/>
      <c r="G189" s="677"/>
      <c r="H189" s="677"/>
      <c r="I189" s="677"/>
    </row>
    <row r="190" spans="1:12" ht="12.75" customHeight="1" x14ac:dyDescent="0.25">
      <c r="A190" s="1217">
        <v>7</v>
      </c>
      <c r="B190" s="1218" t="s">
        <v>465</v>
      </c>
      <c r="C190" s="1267"/>
      <c r="D190" s="1267"/>
      <c r="E190" s="1267"/>
      <c r="F190" s="1267"/>
      <c r="G190" s="677"/>
      <c r="H190" s="677"/>
      <c r="I190" s="677"/>
    </row>
    <row r="191" spans="1:12" ht="8.1" customHeight="1" x14ac:dyDescent="0.25">
      <c r="A191" s="1217"/>
      <c r="B191" s="1218"/>
      <c r="C191" s="1267"/>
      <c r="D191" s="1267"/>
      <c r="E191" s="1267"/>
      <c r="F191" s="1267"/>
      <c r="G191" s="677"/>
      <c r="H191" s="677"/>
      <c r="I191" s="677"/>
    </row>
    <row r="192" spans="1:12" ht="12.75" customHeight="1" x14ac:dyDescent="0.2">
      <c r="A192" s="1206" t="s">
        <v>132</v>
      </c>
      <c r="B192" s="1270" t="s">
        <v>1116</v>
      </c>
      <c r="C192" s="1221">
        <v>0</v>
      </c>
      <c r="D192" s="1257">
        <v>0</v>
      </c>
      <c r="E192" s="1257">
        <v>0</v>
      </c>
      <c r="F192" s="388">
        <v>0</v>
      </c>
      <c r="G192" s="677"/>
      <c r="H192" s="677"/>
      <c r="I192" s="677"/>
    </row>
    <row r="193" spans="1:12" ht="12.75" customHeight="1" x14ac:dyDescent="0.2">
      <c r="A193" s="1206" t="s">
        <v>368</v>
      </c>
      <c r="B193" s="1270" t="s">
        <v>1265</v>
      </c>
      <c r="C193" s="1221">
        <v>0</v>
      </c>
      <c r="D193" s="1257">
        <v>80</v>
      </c>
      <c r="E193" s="1257">
        <v>0</v>
      </c>
      <c r="F193" s="388">
        <f t="shared" ref="F193:F194" si="4">E193/D193*100</f>
        <v>0</v>
      </c>
      <c r="G193" s="677"/>
      <c r="H193" s="677"/>
      <c r="I193" s="677"/>
    </row>
    <row r="194" spans="1:12" ht="12.75" customHeight="1" x14ac:dyDescent="0.2">
      <c r="A194" s="1206" t="s">
        <v>750</v>
      </c>
      <c r="B194" s="1270" t="s">
        <v>1128</v>
      </c>
      <c r="C194" s="1221">
        <v>0</v>
      </c>
      <c r="D194" s="1257">
        <v>73755</v>
      </c>
      <c r="E194" s="1257">
        <v>73755.25</v>
      </c>
      <c r="F194" s="388">
        <f t="shared" si="4"/>
        <v>100.00033896007051</v>
      </c>
      <c r="G194" s="677"/>
      <c r="H194" s="677"/>
      <c r="I194" s="677"/>
    </row>
    <row r="195" spans="1:12" ht="12.75" customHeight="1" x14ac:dyDescent="0.2">
      <c r="A195" s="1206" t="s">
        <v>737</v>
      </c>
      <c r="B195" s="1272" t="s">
        <v>1266</v>
      </c>
      <c r="C195" s="1221">
        <v>0</v>
      </c>
      <c r="D195" s="1257">
        <v>11000</v>
      </c>
      <c r="E195" s="1257">
        <v>0</v>
      </c>
      <c r="F195" s="388">
        <f>E195/D195*100</f>
        <v>0</v>
      </c>
      <c r="G195" s="677"/>
      <c r="H195" s="677"/>
      <c r="I195" s="677"/>
    </row>
    <row r="196" spans="1:12" ht="5.0999999999999996" customHeight="1" x14ac:dyDescent="0.25">
      <c r="A196" s="1206"/>
      <c r="B196" s="1218"/>
      <c r="C196" s="1268"/>
      <c r="D196" s="1268"/>
      <c r="E196" s="1268"/>
      <c r="F196" s="1268"/>
      <c r="G196" s="677"/>
      <c r="H196" s="677"/>
      <c r="I196" s="677"/>
    </row>
    <row r="197" spans="1:12" ht="12.75" customHeight="1" x14ac:dyDescent="0.25">
      <c r="A197" s="1206"/>
      <c r="B197" s="1218" t="s">
        <v>496</v>
      </c>
      <c r="C197" s="1268">
        <f>SUM(C192:C196)</f>
        <v>0</v>
      </c>
      <c r="D197" s="1268">
        <f>SUM(D192:D196)</f>
        <v>84835</v>
      </c>
      <c r="E197" s="1268">
        <f>SUM(E192:E196)</f>
        <v>73755.25</v>
      </c>
      <c r="F197" s="1295">
        <f>E197/D197*100</f>
        <v>86.939647551128658</v>
      </c>
      <c r="G197" s="1298">
        <f>'4.tábla'!CC32-C197</f>
        <v>0</v>
      </c>
      <c r="H197" s="1298">
        <f>'4.tábla'!CD32-D197</f>
        <v>0</v>
      </c>
      <c r="I197" s="1870">
        <f>'4.tábla'!CE32-E197</f>
        <v>0</v>
      </c>
      <c r="J197" s="1298"/>
      <c r="K197" s="1298"/>
      <c r="L197" s="1298"/>
    </row>
    <row r="198" spans="1:12" ht="8.1" customHeight="1" x14ac:dyDescent="0.25">
      <c r="A198" s="1217"/>
      <c r="B198" s="1218"/>
      <c r="C198" s="1267"/>
      <c r="D198" s="1267"/>
      <c r="E198" s="1267"/>
      <c r="F198" s="1267"/>
      <c r="G198" s="677"/>
      <c r="H198" s="677"/>
      <c r="I198" s="677"/>
    </row>
    <row r="199" spans="1:12" ht="12.75" customHeight="1" x14ac:dyDescent="0.25">
      <c r="A199" s="1217">
        <v>8</v>
      </c>
      <c r="B199" s="1218" t="s">
        <v>466</v>
      </c>
      <c r="C199" s="1267"/>
      <c r="D199" s="1267"/>
      <c r="E199" s="1267"/>
      <c r="F199" s="1267"/>
      <c r="G199" s="677"/>
      <c r="H199" s="677"/>
      <c r="I199" s="677"/>
    </row>
    <row r="200" spans="1:12" ht="8.1" customHeight="1" x14ac:dyDescent="0.25">
      <c r="A200" s="1217"/>
      <c r="B200" s="1218"/>
      <c r="C200" s="1267"/>
      <c r="D200" s="1267"/>
      <c r="E200" s="1267"/>
      <c r="F200" s="1267"/>
      <c r="G200" s="677"/>
      <c r="H200" s="677"/>
      <c r="I200" s="677"/>
    </row>
    <row r="201" spans="1:12" ht="12.75" customHeight="1" x14ac:dyDescent="0.25">
      <c r="A201" s="1217">
        <v>9</v>
      </c>
      <c r="B201" s="1218" t="s">
        <v>533</v>
      </c>
      <c r="C201" s="1267"/>
      <c r="D201" s="1267"/>
      <c r="E201" s="1267"/>
      <c r="F201" s="1267"/>
      <c r="G201" s="677"/>
      <c r="H201" s="677"/>
      <c r="I201" s="677"/>
    </row>
    <row r="202" spans="1:12" ht="8.1" customHeight="1" x14ac:dyDescent="0.25">
      <c r="A202" s="1217"/>
      <c r="B202" s="1218"/>
      <c r="C202" s="1267"/>
      <c r="D202" s="1267"/>
      <c r="E202" s="1267"/>
      <c r="F202" s="1267"/>
      <c r="G202" s="677"/>
      <c r="H202" s="677"/>
      <c r="I202" s="677"/>
    </row>
    <row r="203" spans="1:12" ht="12.75" customHeight="1" x14ac:dyDescent="0.25">
      <c r="A203" s="1217">
        <v>10</v>
      </c>
      <c r="B203" s="1218" t="s">
        <v>1163</v>
      </c>
      <c r="C203" s="1267"/>
      <c r="D203" s="1267"/>
      <c r="E203" s="1267"/>
      <c r="F203" s="1267"/>
      <c r="G203" s="677"/>
      <c r="H203" s="677"/>
      <c r="I203" s="677"/>
    </row>
    <row r="204" spans="1:12" ht="8.1" customHeight="1" x14ac:dyDescent="0.25">
      <c r="A204" s="1217"/>
      <c r="B204" s="1218"/>
      <c r="C204" s="1267"/>
      <c r="D204" s="1267"/>
      <c r="E204" s="1267"/>
      <c r="F204" s="1267"/>
      <c r="G204" s="677"/>
      <c r="H204" s="677"/>
      <c r="I204" s="677"/>
    </row>
    <row r="205" spans="1:12" ht="12.75" customHeight="1" x14ac:dyDescent="0.2">
      <c r="A205" s="1206" t="s">
        <v>132</v>
      </c>
      <c r="B205" s="1270" t="s">
        <v>1022</v>
      </c>
      <c r="C205" s="1221">
        <v>2223</v>
      </c>
      <c r="D205" s="1257">
        <v>0</v>
      </c>
      <c r="E205" s="1221">
        <v>0</v>
      </c>
      <c r="F205" s="388">
        <v>0</v>
      </c>
      <c r="G205" s="677"/>
      <c r="H205" s="677"/>
      <c r="I205" s="677"/>
    </row>
    <row r="206" spans="1:12" ht="12.75" customHeight="1" x14ac:dyDescent="0.2">
      <c r="A206" s="1206" t="s">
        <v>368</v>
      </c>
      <c r="B206" s="1270" t="s">
        <v>20</v>
      </c>
      <c r="C206" s="1221">
        <v>0</v>
      </c>
      <c r="D206" s="1257">
        <v>229</v>
      </c>
      <c r="E206" s="1221">
        <v>228.67500000000001</v>
      </c>
      <c r="F206" s="388">
        <f t="shared" ref="F206" si="5">E206/D206*100</f>
        <v>99.858078602620097</v>
      </c>
      <c r="G206" s="677"/>
      <c r="H206" s="677"/>
      <c r="I206" s="677"/>
    </row>
    <row r="207" spans="1:12" ht="5.0999999999999996" customHeight="1" x14ac:dyDescent="0.25">
      <c r="A207" s="1217"/>
      <c r="B207" s="1218"/>
      <c r="C207" s="1267"/>
      <c r="D207" s="1267"/>
      <c r="E207" s="1267"/>
      <c r="F207" s="1267"/>
      <c r="G207" s="677"/>
      <c r="H207" s="677"/>
      <c r="I207" s="677"/>
    </row>
    <row r="208" spans="1:12" ht="12.75" customHeight="1" x14ac:dyDescent="0.25">
      <c r="A208" s="1217"/>
      <c r="B208" s="1218" t="s">
        <v>1164</v>
      </c>
      <c r="C208" s="1267">
        <f>SUM(C205:C207)</f>
        <v>2223</v>
      </c>
      <c r="D208" s="1267">
        <f>SUM(D205:D207)</f>
        <v>229</v>
      </c>
      <c r="E208" s="1267">
        <f>SUM(E205:E207)</f>
        <v>228.67500000000001</v>
      </c>
      <c r="F208" s="1295">
        <f>E208/D208*100</f>
        <v>99.858078602620097</v>
      </c>
      <c r="G208" s="677"/>
      <c r="H208" s="677"/>
      <c r="I208" s="677"/>
    </row>
    <row r="209" spans="1:12" ht="12.75" customHeight="1" x14ac:dyDescent="0.25">
      <c r="A209" s="1206"/>
      <c r="B209" s="1218"/>
      <c r="C209" s="1267"/>
      <c r="D209" s="1267"/>
      <c r="E209" s="1267"/>
      <c r="F209" s="1267"/>
      <c r="G209" s="677"/>
      <c r="H209" s="677"/>
      <c r="I209" s="677"/>
    </row>
    <row r="210" spans="1:12" ht="12.75" customHeight="1" x14ac:dyDescent="0.25">
      <c r="A210" s="1217">
        <v>11</v>
      </c>
      <c r="B210" s="1218" t="s">
        <v>1232</v>
      </c>
      <c r="C210" s="1267"/>
      <c r="D210" s="1267"/>
      <c r="E210" s="1267"/>
      <c r="F210" s="1267"/>
      <c r="G210" s="677"/>
      <c r="H210" s="677"/>
      <c r="I210" s="677"/>
    </row>
    <row r="211" spans="1:12" ht="8.1" customHeight="1" x14ac:dyDescent="0.25">
      <c r="A211" s="1217"/>
      <c r="B211" s="1218"/>
      <c r="C211" s="1267"/>
      <c r="D211" s="1267"/>
      <c r="E211" s="1267"/>
      <c r="F211" s="1267"/>
      <c r="G211" s="677"/>
      <c r="H211" s="677"/>
      <c r="I211" s="677"/>
    </row>
    <row r="212" spans="1:12" ht="12.75" customHeight="1" x14ac:dyDescent="0.2">
      <c r="A212" s="1206" t="s">
        <v>132</v>
      </c>
      <c r="B212" s="1279" t="s">
        <v>1160</v>
      </c>
      <c r="C212" s="1221">
        <v>0</v>
      </c>
      <c r="D212" s="1257">
        <v>127</v>
      </c>
      <c r="E212" s="1221">
        <v>127</v>
      </c>
      <c r="F212" s="388">
        <f t="shared" ref="F212" si="6">E212/D212*100</f>
        <v>100</v>
      </c>
      <c r="G212" s="677"/>
      <c r="H212" s="677"/>
      <c r="I212" s="677"/>
    </row>
    <row r="213" spans="1:12" ht="5.0999999999999996" customHeight="1" x14ac:dyDescent="0.25">
      <c r="A213" s="1217"/>
      <c r="B213" s="1218"/>
      <c r="C213" s="1267"/>
      <c r="D213" s="1267"/>
      <c r="E213" s="1267"/>
      <c r="F213" s="1267"/>
      <c r="G213" s="677"/>
      <c r="H213" s="677"/>
      <c r="I213" s="677"/>
    </row>
    <row r="214" spans="1:12" ht="12.75" customHeight="1" x14ac:dyDescent="0.25">
      <c r="A214" s="1217"/>
      <c r="B214" s="1218" t="s">
        <v>1235</v>
      </c>
      <c r="C214" s="1224">
        <f>SUM(C212)</f>
        <v>0</v>
      </c>
      <c r="D214" s="1225">
        <f>SUM(D212)</f>
        <v>127</v>
      </c>
      <c r="E214" s="1225">
        <f>SUM(E212)</f>
        <v>127</v>
      </c>
      <c r="F214" s="1296">
        <f>E214/D214*100</f>
        <v>100</v>
      </c>
      <c r="G214" s="677"/>
      <c r="H214" s="677"/>
      <c r="I214" s="677"/>
    </row>
    <row r="215" spans="1:12" ht="8.1" customHeight="1" x14ac:dyDescent="0.25">
      <c r="A215" s="1217"/>
      <c r="B215" s="1218"/>
      <c r="C215" s="1267"/>
      <c r="D215" s="1267"/>
      <c r="E215" s="1267"/>
      <c r="F215" s="1267"/>
      <c r="G215" s="677"/>
      <c r="H215" s="677"/>
      <c r="I215" s="677"/>
    </row>
    <row r="216" spans="1:12" ht="12.75" customHeight="1" x14ac:dyDescent="0.25">
      <c r="A216" s="1217">
        <v>12</v>
      </c>
      <c r="B216" s="1218" t="s">
        <v>1267</v>
      </c>
      <c r="C216" s="1267"/>
      <c r="D216" s="1267"/>
      <c r="E216" s="1267"/>
      <c r="F216" s="1267"/>
      <c r="G216" s="677"/>
      <c r="H216" s="677"/>
      <c r="I216" s="677"/>
    </row>
    <row r="217" spans="1:12" ht="8.1" customHeight="1" x14ac:dyDescent="0.25">
      <c r="A217" s="1217"/>
      <c r="B217" s="1218"/>
      <c r="C217" s="1267"/>
      <c r="D217" s="1267"/>
      <c r="E217" s="1267"/>
      <c r="F217" s="1267"/>
      <c r="G217" s="677"/>
      <c r="H217" s="677"/>
      <c r="I217" s="677"/>
    </row>
    <row r="218" spans="1:12" ht="12.75" customHeight="1" x14ac:dyDescent="0.2">
      <c r="A218" s="1206" t="s">
        <v>132</v>
      </c>
      <c r="B218" s="1279" t="s">
        <v>1268</v>
      </c>
      <c r="C218" s="1221">
        <v>0</v>
      </c>
      <c r="D218" s="1257">
        <v>38100</v>
      </c>
      <c r="E218" s="1221">
        <v>0</v>
      </c>
      <c r="F218" s="388">
        <f t="shared" ref="F218" si="7">E218/D218*100</f>
        <v>0</v>
      </c>
      <c r="G218" s="677"/>
      <c r="H218" s="677"/>
      <c r="I218" s="677"/>
    </row>
    <row r="219" spans="1:12" ht="5.0999999999999996" customHeight="1" x14ac:dyDescent="0.2">
      <c r="A219" s="1206"/>
      <c r="B219" s="1279"/>
      <c r="C219" s="1267"/>
      <c r="D219" s="1267"/>
      <c r="E219" s="1267"/>
      <c r="F219" s="1267"/>
      <c r="G219" s="677"/>
      <c r="H219" s="677"/>
      <c r="I219" s="677"/>
    </row>
    <row r="220" spans="1:12" ht="12.75" customHeight="1" x14ac:dyDescent="0.25">
      <c r="A220" s="1217"/>
      <c r="B220" s="1218" t="s">
        <v>1269</v>
      </c>
      <c r="C220" s="1224">
        <f>SUM(C218)</f>
        <v>0</v>
      </c>
      <c r="D220" s="1225">
        <f>SUM(D218)</f>
        <v>38100</v>
      </c>
      <c r="E220" s="1225">
        <f>SUM(E218)</f>
        <v>0</v>
      </c>
      <c r="F220" s="1296">
        <f>E220/D220*100</f>
        <v>0</v>
      </c>
      <c r="G220" s="677"/>
      <c r="H220" s="677"/>
      <c r="I220" s="677"/>
    </row>
    <row r="221" spans="1:12" ht="12.75" customHeight="1" x14ac:dyDescent="0.25">
      <c r="A221" s="1206"/>
      <c r="B221" s="1218"/>
      <c r="C221" s="1267"/>
      <c r="D221" s="1267"/>
      <c r="E221" s="1267"/>
      <c r="F221" s="1267"/>
      <c r="G221" s="677"/>
      <c r="H221" s="677"/>
      <c r="I221" s="677"/>
    </row>
    <row r="222" spans="1:12" ht="18" customHeight="1" x14ac:dyDescent="0.2">
      <c r="A222" s="1206"/>
      <c r="B222" s="2072" t="s">
        <v>467</v>
      </c>
      <c r="C222" s="1227">
        <f>C158+C164+C166+C173+C179+C187+C197+C199+C201+C208+C214+C220</f>
        <v>101367</v>
      </c>
      <c r="D222" s="1227">
        <f>D158+D164+D166+D173+D179+D187+D197+D199+D201+D208+D214+D220</f>
        <v>427565</v>
      </c>
      <c r="E222" s="1227">
        <f>E158+E164+E166+E173+E179+E187+E197+E199+E201+E208+E214+E220</f>
        <v>167591.361</v>
      </c>
      <c r="F222" s="1241">
        <f>E222/D222*100</f>
        <v>39.196697812028582</v>
      </c>
      <c r="G222" s="1298">
        <f>'4.tábla'!CU32-C222</f>
        <v>0</v>
      </c>
      <c r="H222" s="1298">
        <f>'4.tábla'!CV32-D222</f>
        <v>0</v>
      </c>
      <c r="I222" s="1870">
        <f>'4.tábla'!CW32-E222</f>
        <v>0</v>
      </c>
      <c r="J222" s="1298"/>
      <c r="K222" s="1298"/>
      <c r="L222" s="1298"/>
    </row>
    <row r="223" spans="1:12" ht="6" customHeight="1" x14ac:dyDescent="0.25">
      <c r="A223" s="1206"/>
      <c r="B223" s="1218"/>
      <c r="C223" s="1267"/>
      <c r="D223" s="1267"/>
      <c r="E223" s="1267"/>
      <c r="F223" s="1267"/>
      <c r="G223" s="677"/>
      <c r="H223" s="677"/>
      <c r="I223" s="677"/>
    </row>
    <row r="224" spans="1:12" ht="8.1" customHeight="1" thickBot="1" x14ac:dyDescent="0.3">
      <c r="A224" s="1274"/>
      <c r="B224" s="1218"/>
      <c r="C224" s="1224"/>
      <c r="D224" s="1225"/>
      <c r="E224" s="1225"/>
      <c r="F224" s="1225"/>
    </row>
    <row r="225" spans="1:12" ht="24.95" customHeight="1" thickBot="1" x14ac:dyDescent="0.25">
      <c r="A225" s="1286" t="s">
        <v>134</v>
      </c>
      <c r="B225" s="1287" t="s">
        <v>497</v>
      </c>
      <c r="C225" s="1288">
        <f>C154+C222</f>
        <v>1878399</v>
      </c>
      <c r="D225" s="1288">
        <f>D154+D222</f>
        <v>4667745.6109999996</v>
      </c>
      <c r="E225" s="1288">
        <f>E154+E222</f>
        <v>3039621.3020000001</v>
      </c>
      <c r="F225" s="1294">
        <f>E225/D225*100</f>
        <v>65.119686360731293</v>
      </c>
      <c r="G225" s="370">
        <f>'4.tábla'!CX32-C225</f>
        <v>0</v>
      </c>
      <c r="H225" s="370">
        <f>'4.tábla'!CY32-D225</f>
        <v>0</v>
      </c>
      <c r="I225" s="1869">
        <f>'4.tábla'!CZ32-E225</f>
        <v>0</v>
      </c>
      <c r="J225" s="1298"/>
      <c r="K225" s="1298"/>
      <c r="L225" s="1298"/>
    </row>
    <row r="226" spans="1:12" ht="14.25" customHeight="1" x14ac:dyDescent="0.25">
      <c r="A226" s="1274"/>
      <c r="B226" s="1218"/>
      <c r="C226" s="1224"/>
      <c r="D226" s="1225"/>
      <c r="E226" s="1225"/>
      <c r="F226" s="1225"/>
    </row>
    <row r="227" spans="1:12" ht="20.25" customHeight="1" x14ac:dyDescent="0.25">
      <c r="A227" s="1210" t="s">
        <v>306</v>
      </c>
      <c r="B227" s="1211" t="s">
        <v>366</v>
      </c>
      <c r="C227" s="1266"/>
      <c r="D227" s="1289"/>
      <c r="E227" s="1289"/>
      <c r="F227" s="1289"/>
    </row>
    <row r="228" spans="1:12" ht="12" customHeight="1" x14ac:dyDescent="0.25">
      <c r="A228" s="1217"/>
      <c r="B228" s="1218"/>
      <c r="C228" s="1266"/>
      <c r="D228" s="1289"/>
      <c r="E228" s="1289"/>
      <c r="F228" s="1289"/>
    </row>
    <row r="229" spans="1:12" ht="12.75" customHeight="1" x14ac:dyDescent="0.2">
      <c r="A229" s="1206">
        <v>1</v>
      </c>
      <c r="B229" s="1258" t="s">
        <v>20</v>
      </c>
      <c r="C229" s="1221">
        <v>8940</v>
      </c>
      <c r="D229" s="1257">
        <v>10093</v>
      </c>
      <c r="E229" s="1257">
        <v>4257.1679999999997</v>
      </c>
      <c r="F229" s="388">
        <f t="shared" ref="F229:F259" si="8">E229/D229*100</f>
        <v>42.179411473298323</v>
      </c>
    </row>
    <row r="230" spans="1:12" ht="12.75" customHeight="1" x14ac:dyDescent="0.2">
      <c r="A230" s="1206">
        <v>2</v>
      </c>
      <c r="B230" s="1273" t="s">
        <v>148</v>
      </c>
      <c r="C230" s="1221">
        <v>66033</v>
      </c>
      <c r="D230" s="1257">
        <v>60830</v>
      </c>
      <c r="E230" s="1257">
        <v>14195.46</v>
      </c>
      <c r="F230" s="388">
        <f t="shared" si="8"/>
        <v>23.336281440078906</v>
      </c>
    </row>
    <row r="231" spans="1:12" ht="12.75" customHeight="1" x14ac:dyDescent="0.2">
      <c r="A231" s="1206">
        <v>3</v>
      </c>
      <c r="B231" s="1258" t="s">
        <v>651</v>
      </c>
      <c r="C231" s="1221">
        <v>7938</v>
      </c>
      <c r="D231" s="1257">
        <v>7571</v>
      </c>
      <c r="E231" s="1257">
        <v>289.62299999999999</v>
      </c>
      <c r="F231" s="388">
        <f t="shared" si="8"/>
        <v>3.8254259675075946</v>
      </c>
    </row>
    <row r="232" spans="1:12" ht="12.75" customHeight="1" x14ac:dyDescent="0.2">
      <c r="A232" s="1206">
        <v>4</v>
      </c>
      <c r="B232" s="1273" t="s">
        <v>70</v>
      </c>
      <c r="C232" s="1221">
        <v>3175</v>
      </c>
      <c r="D232" s="1257">
        <v>5435</v>
      </c>
      <c r="E232" s="1257">
        <v>5434.7139999999999</v>
      </c>
      <c r="F232" s="388">
        <f t="shared" si="8"/>
        <v>99.994737810487578</v>
      </c>
    </row>
    <row r="233" spans="1:12" ht="12.75" customHeight="1" x14ac:dyDescent="0.2">
      <c r="A233" s="1206">
        <v>5</v>
      </c>
      <c r="B233" s="1273" t="s">
        <v>187</v>
      </c>
      <c r="C233" s="1221">
        <v>2286</v>
      </c>
      <c r="D233" s="1257">
        <v>5521</v>
      </c>
      <c r="E233" s="1257">
        <v>4700.5690000000004</v>
      </c>
      <c r="F233" s="388">
        <f t="shared" si="8"/>
        <v>85.139811628328204</v>
      </c>
    </row>
    <row r="234" spans="1:12" ht="12.75" customHeight="1" x14ac:dyDescent="0.2">
      <c r="A234" s="1206">
        <v>6</v>
      </c>
      <c r="B234" s="1272" t="s">
        <v>188</v>
      </c>
      <c r="C234" s="1221">
        <v>7239</v>
      </c>
      <c r="D234" s="1257">
        <v>6505</v>
      </c>
      <c r="E234" s="1257">
        <v>0</v>
      </c>
      <c r="F234" s="388">
        <f t="shared" si="8"/>
        <v>0</v>
      </c>
    </row>
    <row r="235" spans="1:12" ht="12.75" customHeight="1" x14ac:dyDescent="0.2">
      <c r="A235" s="1206">
        <v>7</v>
      </c>
      <c r="B235" s="1273" t="s">
        <v>189</v>
      </c>
      <c r="C235" s="1221">
        <v>7163</v>
      </c>
      <c r="D235" s="1257">
        <v>16662</v>
      </c>
      <c r="E235" s="1257">
        <v>18152.392</v>
      </c>
      <c r="F235" s="1410">
        <f t="shared" si="8"/>
        <v>108.94485655983675</v>
      </c>
    </row>
    <row r="236" spans="1:12" ht="12.75" customHeight="1" x14ac:dyDescent="0.2">
      <c r="A236" s="1206">
        <v>8</v>
      </c>
      <c r="B236" s="1273" t="s">
        <v>149</v>
      </c>
      <c r="C236" s="1221">
        <v>3937</v>
      </c>
      <c r="D236" s="1257">
        <v>3937</v>
      </c>
      <c r="E236" s="1257">
        <v>0</v>
      </c>
      <c r="F236" s="1410">
        <f t="shared" si="8"/>
        <v>0</v>
      </c>
    </row>
    <row r="237" spans="1:12" ht="12.75" customHeight="1" x14ac:dyDescent="0.2">
      <c r="A237" s="1206">
        <v>9</v>
      </c>
      <c r="B237" s="1273" t="s">
        <v>498</v>
      </c>
      <c r="C237" s="1221">
        <v>1143</v>
      </c>
      <c r="D237" s="1257">
        <v>1143</v>
      </c>
      <c r="E237" s="1257">
        <v>212.34399999999999</v>
      </c>
      <c r="F237" s="388">
        <f t="shared" si="8"/>
        <v>18.577777777777776</v>
      </c>
    </row>
    <row r="238" spans="1:12" ht="12.75" customHeight="1" x14ac:dyDescent="0.2">
      <c r="A238" s="1206">
        <v>10</v>
      </c>
      <c r="B238" s="1258" t="s">
        <v>19</v>
      </c>
      <c r="C238" s="1221">
        <v>5150</v>
      </c>
      <c r="D238" s="1257">
        <v>24624</v>
      </c>
      <c r="E238" s="1257">
        <v>6572.8600000000006</v>
      </c>
      <c r="F238" s="388">
        <f t="shared" si="8"/>
        <v>26.692901234567906</v>
      </c>
    </row>
    <row r="239" spans="1:12" ht="12.75" customHeight="1" x14ac:dyDescent="0.2">
      <c r="A239" s="1206">
        <v>11</v>
      </c>
      <c r="B239" s="1258" t="s">
        <v>1027</v>
      </c>
      <c r="C239" s="1221">
        <v>2540</v>
      </c>
      <c r="D239" s="1257">
        <v>2540</v>
      </c>
      <c r="E239" s="1257">
        <v>2259.33</v>
      </c>
      <c r="F239" s="388">
        <f t="shared" si="8"/>
        <v>88.949999999999989</v>
      </c>
    </row>
    <row r="240" spans="1:12" ht="12.75" customHeight="1" x14ac:dyDescent="0.2">
      <c r="A240" s="1206">
        <v>12</v>
      </c>
      <c r="B240" s="1258" t="s">
        <v>1022</v>
      </c>
      <c r="C240" s="1221">
        <v>5460</v>
      </c>
      <c r="D240" s="1257">
        <v>5460</v>
      </c>
      <c r="E240" s="1257">
        <v>2692.7539999999999</v>
      </c>
      <c r="F240" s="388">
        <f t="shared" si="8"/>
        <v>49.317838827838827</v>
      </c>
    </row>
    <row r="241" spans="1:6" ht="12.75" customHeight="1" x14ac:dyDescent="0.2">
      <c r="A241" s="1206">
        <v>13</v>
      </c>
      <c r="B241" s="1258" t="s">
        <v>1057</v>
      </c>
      <c r="C241" s="1221">
        <v>624</v>
      </c>
      <c r="D241" s="1257">
        <v>8036</v>
      </c>
      <c r="E241" s="1257">
        <v>8033.45</v>
      </c>
      <c r="F241" s="388">
        <f t="shared" si="8"/>
        <v>99.968267794922852</v>
      </c>
    </row>
    <row r="242" spans="1:6" ht="12.75" customHeight="1" x14ac:dyDescent="0.2">
      <c r="A242" s="1206">
        <v>14</v>
      </c>
      <c r="B242" s="1273" t="s">
        <v>1119</v>
      </c>
      <c r="C242" s="1221">
        <v>18885</v>
      </c>
      <c r="D242" s="1257">
        <v>18885</v>
      </c>
      <c r="E242" s="1257">
        <v>9990</v>
      </c>
      <c r="F242" s="388">
        <f t="shared" si="8"/>
        <v>52.89912629070691</v>
      </c>
    </row>
    <row r="243" spans="1:6" ht="12.75" customHeight="1" x14ac:dyDescent="0.2">
      <c r="A243" s="1206">
        <v>15</v>
      </c>
      <c r="B243" s="1258" t="s">
        <v>1121</v>
      </c>
      <c r="C243" s="1257">
        <v>4039</v>
      </c>
      <c r="D243" s="1257">
        <v>4039</v>
      </c>
      <c r="E243" s="1257">
        <v>1198.7669999999998</v>
      </c>
      <c r="F243" s="388">
        <f t="shared" si="8"/>
        <v>29.679796979450359</v>
      </c>
    </row>
    <row r="244" spans="1:6" ht="12.75" customHeight="1" x14ac:dyDescent="0.2">
      <c r="A244" s="1206">
        <v>16</v>
      </c>
      <c r="B244" s="1258" t="s">
        <v>24</v>
      </c>
      <c r="C244" s="1221">
        <v>2540</v>
      </c>
      <c r="D244" s="1257">
        <v>2540</v>
      </c>
      <c r="E244" s="1257">
        <v>1272.2860000000001</v>
      </c>
      <c r="F244" s="388">
        <f t="shared" si="8"/>
        <v>50.09</v>
      </c>
    </row>
    <row r="245" spans="1:6" ht="12.75" customHeight="1" x14ac:dyDescent="0.2">
      <c r="A245" s="1206">
        <v>17</v>
      </c>
      <c r="B245" s="1258" t="s">
        <v>1270</v>
      </c>
      <c r="C245" s="1257">
        <v>1000</v>
      </c>
      <c r="D245" s="1257">
        <v>0</v>
      </c>
      <c r="E245" s="1257">
        <v>0</v>
      </c>
      <c r="F245" s="388">
        <v>0</v>
      </c>
    </row>
    <row r="246" spans="1:6" ht="12.75" customHeight="1" x14ac:dyDescent="0.2">
      <c r="A246" s="1206">
        <v>18</v>
      </c>
      <c r="B246" s="1258" t="s">
        <v>1167</v>
      </c>
      <c r="C246" s="1221">
        <v>445</v>
      </c>
      <c r="D246" s="1257">
        <v>1038</v>
      </c>
      <c r="E246" s="1257">
        <v>871.22</v>
      </c>
      <c r="F246" s="388">
        <f t="shared" si="8"/>
        <v>83.932562620423894</v>
      </c>
    </row>
    <row r="247" spans="1:6" ht="12.75" customHeight="1" x14ac:dyDescent="0.2">
      <c r="A247" s="1206">
        <v>19</v>
      </c>
      <c r="B247" s="1258" t="s">
        <v>1271</v>
      </c>
      <c r="C247" s="1221">
        <v>6902</v>
      </c>
      <c r="D247" s="1257">
        <v>7118</v>
      </c>
      <c r="E247" s="1257">
        <v>7117.8420000000006</v>
      </c>
      <c r="F247" s="388">
        <f t="shared" si="8"/>
        <v>99.997780275358252</v>
      </c>
    </row>
    <row r="248" spans="1:6" ht="12.75" customHeight="1" x14ac:dyDescent="0.2">
      <c r="A248" s="1206">
        <v>20</v>
      </c>
      <c r="B248" s="1258" t="s">
        <v>1166</v>
      </c>
      <c r="C248" s="1221">
        <v>0</v>
      </c>
      <c r="D248" s="1257">
        <v>754</v>
      </c>
      <c r="E248" s="1257">
        <v>753.32600000000002</v>
      </c>
      <c r="F248" s="388">
        <f t="shared" si="8"/>
        <v>99.910610079575605</v>
      </c>
    </row>
    <row r="249" spans="1:6" ht="12.75" customHeight="1" x14ac:dyDescent="0.2">
      <c r="A249" s="1206">
        <v>21</v>
      </c>
      <c r="B249" s="1258" t="s">
        <v>1165</v>
      </c>
      <c r="C249" s="1221">
        <v>0</v>
      </c>
      <c r="D249" s="1257">
        <v>121</v>
      </c>
      <c r="E249" s="1257">
        <v>120.65</v>
      </c>
      <c r="F249" s="388">
        <f t="shared" si="8"/>
        <v>99.710743801652896</v>
      </c>
    </row>
    <row r="250" spans="1:6" ht="12.75" customHeight="1" x14ac:dyDescent="0.2">
      <c r="A250" s="1206">
        <v>22</v>
      </c>
      <c r="B250" s="1272" t="s">
        <v>1117</v>
      </c>
      <c r="C250" s="1221">
        <v>0</v>
      </c>
      <c r="D250" s="1257">
        <v>1584</v>
      </c>
      <c r="E250" s="1257">
        <v>1585.4680000000001</v>
      </c>
      <c r="F250" s="388">
        <f t="shared" si="8"/>
        <v>100.09267676767676</v>
      </c>
    </row>
    <row r="251" spans="1:6" ht="12.75" customHeight="1" x14ac:dyDescent="0.2">
      <c r="A251" s="1206">
        <v>23</v>
      </c>
      <c r="B251" s="1258" t="s">
        <v>1118</v>
      </c>
      <c r="C251" s="1221">
        <v>0</v>
      </c>
      <c r="D251" s="1257">
        <v>1360</v>
      </c>
      <c r="E251" s="1257">
        <v>0</v>
      </c>
      <c r="F251" s="388">
        <f t="shared" si="8"/>
        <v>0</v>
      </c>
    </row>
    <row r="252" spans="1:6" ht="12.75" customHeight="1" x14ac:dyDescent="0.2">
      <c r="A252" s="1206">
        <v>24</v>
      </c>
      <c r="B252" s="1258" t="s">
        <v>1120</v>
      </c>
      <c r="C252" s="1221">
        <v>0</v>
      </c>
      <c r="D252" s="1257">
        <v>1245</v>
      </c>
      <c r="E252" s="1257">
        <v>1244.625</v>
      </c>
      <c r="F252" s="388">
        <f t="shared" si="8"/>
        <v>99.96987951807229</v>
      </c>
    </row>
    <row r="253" spans="1:6" ht="12.75" customHeight="1" x14ac:dyDescent="0.2">
      <c r="A253" s="1206">
        <v>25</v>
      </c>
      <c r="B253" s="1258" t="s">
        <v>1272</v>
      </c>
      <c r="C253" s="1221">
        <v>0</v>
      </c>
      <c r="D253" s="1257">
        <v>576</v>
      </c>
      <c r="E253" s="1257">
        <v>575.69000000000005</v>
      </c>
      <c r="F253" s="388">
        <f t="shared" si="8"/>
        <v>99.946180555555557</v>
      </c>
    </row>
    <row r="254" spans="1:6" ht="12.75" customHeight="1" x14ac:dyDescent="0.2">
      <c r="A254" s="1206">
        <v>26</v>
      </c>
      <c r="B254" s="1258" t="s">
        <v>1273</v>
      </c>
      <c r="C254" s="1221">
        <v>0</v>
      </c>
      <c r="D254" s="1257">
        <v>871</v>
      </c>
      <c r="E254" s="1257">
        <v>870.94100000000003</v>
      </c>
      <c r="F254" s="388">
        <f t="shared" si="8"/>
        <v>99.993226176808264</v>
      </c>
    </row>
    <row r="255" spans="1:6" ht="12.75" customHeight="1" x14ac:dyDescent="0.2">
      <c r="A255" s="1206">
        <v>27</v>
      </c>
      <c r="B255" s="1258" t="s">
        <v>1280</v>
      </c>
      <c r="C255" s="1221">
        <v>0</v>
      </c>
      <c r="D255" s="1257">
        <v>684</v>
      </c>
      <c r="E255" s="1257">
        <v>684.13499999999999</v>
      </c>
      <c r="F255" s="388">
        <f t="shared" si="8"/>
        <v>100.01973684210526</v>
      </c>
    </row>
    <row r="256" spans="1:6" ht="12.75" customHeight="1" x14ac:dyDescent="0.2">
      <c r="A256" s="1206">
        <v>28</v>
      </c>
      <c r="B256" s="1258" t="s">
        <v>1274</v>
      </c>
      <c r="C256" s="1221">
        <v>0</v>
      </c>
      <c r="D256" s="1257">
        <v>728</v>
      </c>
      <c r="E256" s="1257">
        <v>727.76800000000003</v>
      </c>
      <c r="F256" s="388">
        <f t="shared" si="8"/>
        <v>99.968131868131877</v>
      </c>
    </row>
    <row r="257" spans="1:12" ht="12.75" customHeight="1" x14ac:dyDescent="0.2">
      <c r="A257" s="1206">
        <v>29</v>
      </c>
      <c r="B257" s="1258" t="s">
        <v>1275</v>
      </c>
      <c r="C257" s="1221">
        <v>0</v>
      </c>
      <c r="D257" s="1257">
        <v>1581</v>
      </c>
      <c r="E257" s="1257">
        <v>1581.15</v>
      </c>
      <c r="F257" s="388">
        <f t="shared" si="8"/>
        <v>100.00948766603418</v>
      </c>
    </row>
    <row r="258" spans="1:12" ht="12.75" customHeight="1" x14ac:dyDescent="0.2">
      <c r="A258" s="1206">
        <v>30</v>
      </c>
      <c r="B258" s="1258" t="s">
        <v>1276</v>
      </c>
      <c r="C258" s="1221">
        <v>0</v>
      </c>
      <c r="D258" s="1257">
        <v>56000</v>
      </c>
      <c r="E258" s="1257">
        <v>3987.8</v>
      </c>
      <c r="F258" s="388">
        <f t="shared" si="8"/>
        <v>7.1210714285714296</v>
      </c>
    </row>
    <row r="259" spans="1:12" ht="12.75" customHeight="1" x14ac:dyDescent="0.2">
      <c r="A259" s="1206">
        <v>31</v>
      </c>
      <c r="B259" s="1258" t="s">
        <v>1277</v>
      </c>
      <c r="C259" s="1221">
        <v>0</v>
      </c>
      <c r="D259" s="1257">
        <v>5519</v>
      </c>
      <c r="E259" s="1257">
        <v>5518.7240000000002</v>
      </c>
      <c r="F259" s="388">
        <f t="shared" si="8"/>
        <v>99.994999094038789</v>
      </c>
    </row>
    <row r="260" spans="1:12" ht="12.75" customHeight="1" x14ac:dyDescent="0.2">
      <c r="A260" s="1206"/>
      <c r="B260" s="1272"/>
      <c r="C260" s="1221"/>
      <c r="D260" s="1257"/>
      <c r="E260" s="1257"/>
      <c r="F260" s="388"/>
    </row>
    <row r="261" spans="1:12" ht="9.9499999999999993" customHeight="1" thickBot="1" x14ac:dyDescent="0.25">
      <c r="A261" s="1206"/>
      <c r="B261" s="1258"/>
      <c r="C261" s="1221"/>
      <c r="D261" s="1257"/>
      <c r="E261" s="1257"/>
      <c r="F261" s="1257"/>
    </row>
    <row r="262" spans="1:12" ht="24.95" customHeight="1" thickBot="1" x14ac:dyDescent="0.25">
      <c r="A262" s="1286" t="s">
        <v>499</v>
      </c>
      <c r="B262" s="1287" t="s">
        <v>687</v>
      </c>
      <c r="C262" s="1291">
        <f>SUM(C229:C261)</f>
        <v>155439</v>
      </c>
      <c r="D262" s="1290">
        <f>SUM(D229:D261)</f>
        <v>263000</v>
      </c>
      <c r="E262" s="1290">
        <f>SUM(E229:E261)</f>
        <v>104901.05599999997</v>
      </c>
      <c r="F262" s="1293">
        <f>E262/D262*100</f>
        <v>39.886333079847894</v>
      </c>
      <c r="G262" s="370">
        <f>'4.tábla'!DJ32-C262</f>
        <v>0</v>
      </c>
      <c r="H262" s="1869">
        <f>'4.tábla'!DK32-D262</f>
        <v>0</v>
      </c>
      <c r="I262" s="1870">
        <f>'4.tábla'!DL32-E262</f>
        <v>0</v>
      </c>
      <c r="J262" s="1298"/>
      <c r="K262" s="1298"/>
      <c r="L262" s="1298"/>
    </row>
    <row r="263" spans="1:12" x14ac:dyDescent="0.2">
      <c r="A263"/>
      <c r="B263" s="90"/>
      <c r="C263" s="370"/>
      <c r="D263" s="542"/>
      <c r="E263"/>
    </row>
    <row r="264" spans="1:12" x14ac:dyDescent="0.2">
      <c r="A264"/>
      <c r="B264" s="90"/>
      <c r="C264" s="542"/>
      <c r="D264" s="871"/>
      <c r="E264"/>
    </row>
    <row r="265" spans="1:12" x14ac:dyDescent="0.2">
      <c r="A265"/>
      <c r="B265" s="90"/>
      <c r="C265" s="542"/>
      <c r="D265" s="542"/>
      <c r="E265"/>
    </row>
    <row r="266" spans="1:12" x14ac:dyDescent="0.2">
      <c r="A266"/>
      <c r="B266" s="90"/>
      <c r="C266" s="542"/>
      <c r="D266" s="542"/>
      <c r="E266"/>
    </row>
    <row r="267" spans="1:12" x14ac:dyDescent="0.2">
      <c r="A267"/>
      <c r="B267" s="90"/>
      <c r="C267" s="542"/>
      <c r="D267" s="871"/>
      <c r="E267"/>
    </row>
    <row r="268" spans="1:12" x14ac:dyDescent="0.2">
      <c r="A268"/>
      <c r="B268" s="90"/>
      <c r="C268" s="542"/>
      <c r="D268" s="542"/>
      <c r="E268"/>
    </row>
    <row r="269" spans="1:12" x14ac:dyDescent="0.2">
      <c r="A269"/>
      <c r="B269" s="90"/>
      <c r="C269" s="542"/>
      <c r="D269" s="542"/>
      <c r="E269"/>
    </row>
    <row r="270" spans="1:12" x14ac:dyDescent="0.2">
      <c r="A270"/>
      <c r="B270" s="90"/>
      <c r="C270" s="542"/>
      <c r="D270" s="542"/>
      <c r="E270"/>
    </row>
    <row r="271" spans="1:12" x14ac:dyDescent="0.2">
      <c r="A271"/>
      <c r="B271" s="90"/>
      <c r="C271" s="542"/>
      <c r="D271" s="542"/>
      <c r="E271"/>
    </row>
    <row r="272" spans="1:12" x14ac:dyDescent="0.2">
      <c r="A272"/>
      <c r="B272" s="90"/>
      <c r="C272" s="542"/>
      <c r="D272" s="542"/>
      <c r="E272"/>
    </row>
    <row r="273" spans="1:5" x14ac:dyDescent="0.2">
      <c r="A273"/>
      <c r="B273" s="90"/>
      <c r="C273" s="542"/>
      <c r="D273" s="542"/>
      <c r="E273"/>
    </row>
    <row r="274" spans="1:5" x14ac:dyDescent="0.2">
      <c r="A274"/>
      <c r="B274" s="90"/>
      <c r="C274" s="542"/>
      <c r="D274" s="542"/>
      <c r="E274"/>
    </row>
    <row r="275" spans="1:5" x14ac:dyDescent="0.2">
      <c r="A275"/>
      <c r="B275" s="90"/>
      <c r="C275" s="542"/>
      <c r="D275" s="542"/>
      <c r="E275"/>
    </row>
    <row r="276" spans="1:5" x14ac:dyDescent="0.2">
      <c r="A276"/>
      <c r="B276" s="90"/>
      <c r="C276" s="542"/>
      <c r="D276" s="542"/>
      <c r="E276"/>
    </row>
    <row r="277" spans="1:5" x14ac:dyDescent="0.2">
      <c r="A277"/>
      <c r="B277" s="90"/>
      <c r="C277" s="542"/>
      <c r="D277" s="542"/>
      <c r="E277"/>
    </row>
    <row r="278" spans="1:5" x14ac:dyDescent="0.2">
      <c r="A278"/>
      <c r="B278" s="90"/>
      <c r="C278" s="542"/>
      <c r="D278" s="542"/>
      <c r="E278"/>
    </row>
    <row r="279" spans="1:5" x14ac:dyDescent="0.2">
      <c r="A279"/>
      <c r="B279" s="90"/>
      <c r="C279" s="542"/>
      <c r="D279" s="542"/>
      <c r="E279"/>
    </row>
    <row r="280" spans="1:5" x14ac:dyDescent="0.2">
      <c r="A280"/>
      <c r="B280" s="90"/>
      <c r="C280" s="542"/>
      <c r="D280" s="542"/>
      <c r="E280"/>
    </row>
    <row r="281" spans="1:5" x14ac:dyDescent="0.2">
      <c r="A281"/>
      <c r="B281" s="90"/>
      <c r="C281" s="542"/>
      <c r="D281" s="542"/>
      <c r="E281"/>
    </row>
    <row r="282" spans="1:5" x14ac:dyDescent="0.2">
      <c r="A282"/>
      <c r="B282" s="90"/>
      <c r="C282" s="542"/>
      <c r="D282" s="542"/>
      <c r="E282"/>
    </row>
    <row r="283" spans="1:5" x14ac:dyDescent="0.2">
      <c r="A283"/>
      <c r="B283" s="90"/>
      <c r="C283" s="542"/>
      <c r="D283" s="542"/>
      <c r="E283"/>
    </row>
    <row r="284" spans="1:5" x14ac:dyDescent="0.2">
      <c r="A284"/>
      <c r="B284" s="90"/>
      <c r="C284" s="542"/>
      <c r="D284" s="542"/>
      <c r="E284"/>
    </row>
    <row r="285" spans="1:5" x14ac:dyDescent="0.2">
      <c r="A285"/>
      <c r="B285" s="90"/>
      <c r="C285" s="542"/>
      <c r="D285" s="542"/>
      <c r="E285"/>
    </row>
    <row r="286" spans="1:5" x14ac:dyDescent="0.2">
      <c r="A286"/>
      <c r="B286" s="90"/>
      <c r="C286" s="542"/>
      <c r="D286" s="542"/>
      <c r="E286"/>
    </row>
    <row r="287" spans="1:5" x14ac:dyDescent="0.2">
      <c r="A287"/>
      <c r="B287" s="90"/>
      <c r="C287" s="542"/>
      <c r="D287" s="542"/>
      <c r="E287"/>
    </row>
    <row r="288" spans="1:5" x14ac:dyDescent="0.2">
      <c r="A288"/>
      <c r="B288" s="90"/>
      <c r="C288" s="542"/>
      <c r="D288" s="542"/>
      <c r="E288"/>
    </row>
    <row r="289" spans="1:5" x14ac:dyDescent="0.2">
      <c r="A289"/>
      <c r="B289" s="90"/>
      <c r="C289" s="542"/>
      <c r="D289" s="542"/>
      <c r="E289"/>
    </row>
    <row r="290" spans="1:5" x14ac:dyDescent="0.2">
      <c r="A290"/>
      <c r="B290" s="90"/>
      <c r="C290" s="542"/>
      <c r="D290" s="542"/>
      <c r="E290"/>
    </row>
    <row r="291" spans="1:5" x14ac:dyDescent="0.2">
      <c r="A291"/>
      <c r="B291" s="90"/>
      <c r="C291" s="542"/>
      <c r="D291" s="542"/>
      <c r="E291"/>
    </row>
    <row r="292" spans="1:5" x14ac:dyDescent="0.2">
      <c r="A292"/>
      <c r="B292" s="90"/>
      <c r="C292" s="542"/>
      <c r="D292" s="542"/>
      <c r="E292"/>
    </row>
    <row r="293" spans="1:5" x14ac:dyDescent="0.2">
      <c r="A293"/>
      <c r="B293" s="90"/>
      <c r="C293" s="542"/>
      <c r="D293" s="542"/>
      <c r="E293"/>
    </row>
    <row r="294" spans="1:5" x14ac:dyDescent="0.2">
      <c r="A294"/>
      <c r="B294" s="90"/>
      <c r="C294" s="542"/>
      <c r="D294" s="542"/>
      <c r="E294"/>
    </row>
    <row r="295" spans="1:5" x14ac:dyDescent="0.2">
      <c r="A295"/>
      <c r="B295" s="90"/>
      <c r="C295" s="542"/>
      <c r="D295" s="542"/>
      <c r="E295"/>
    </row>
    <row r="296" spans="1:5" x14ac:dyDescent="0.2">
      <c r="A296"/>
      <c r="B296" s="90"/>
      <c r="C296" s="542"/>
      <c r="D296" s="542"/>
      <c r="E296"/>
    </row>
    <row r="297" spans="1:5" x14ac:dyDescent="0.2">
      <c r="A297"/>
      <c r="B297" s="90"/>
      <c r="C297" s="542"/>
      <c r="D297" s="542"/>
      <c r="E297"/>
    </row>
    <row r="298" spans="1:5" x14ac:dyDescent="0.2">
      <c r="A298"/>
      <c r="B298" s="90"/>
      <c r="C298" s="542"/>
      <c r="D298" s="542"/>
      <c r="E298"/>
    </row>
    <row r="299" spans="1:5" x14ac:dyDescent="0.2">
      <c r="A299"/>
      <c r="B299" s="90"/>
      <c r="C299" s="542"/>
      <c r="D299" s="542"/>
      <c r="E299"/>
    </row>
    <row r="300" spans="1:5" x14ac:dyDescent="0.2">
      <c r="A300"/>
      <c r="B300" s="90"/>
      <c r="C300" s="542"/>
      <c r="D300" s="542"/>
      <c r="E300"/>
    </row>
    <row r="301" spans="1:5" x14ac:dyDescent="0.2">
      <c r="A301"/>
      <c r="B301" s="90"/>
      <c r="C301" s="542"/>
      <c r="D301" s="542"/>
      <c r="E301"/>
    </row>
    <row r="302" spans="1:5" x14ac:dyDescent="0.2">
      <c r="A302"/>
      <c r="B302" s="90"/>
      <c r="C302" s="542"/>
      <c r="D302" s="542"/>
      <c r="E302"/>
    </row>
    <row r="303" spans="1:5" x14ac:dyDescent="0.2">
      <c r="A303"/>
      <c r="B303" s="90"/>
      <c r="C303" s="542"/>
      <c r="D303" s="542"/>
      <c r="E303"/>
    </row>
    <row r="304" spans="1:5" x14ac:dyDescent="0.2">
      <c r="A304"/>
      <c r="B304" s="90"/>
      <c r="C304" s="542"/>
      <c r="D304" s="542"/>
      <c r="E304"/>
    </row>
    <row r="305" spans="1:5" x14ac:dyDescent="0.2">
      <c r="A305"/>
      <c r="B305" s="90"/>
      <c r="C305" s="542"/>
      <c r="D305" s="542"/>
      <c r="E305"/>
    </row>
    <row r="306" spans="1:5" x14ac:dyDescent="0.2">
      <c r="A306"/>
      <c r="B306" s="90"/>
      <c r="C306" s="542"/>
      <c r="D306" s="542"/>
      <c r="E306"/>
    </row>
    <row r="307" spans="1:5" x14ac:dyDescent="0.2">
      <c r="A307"/>
      <c r="B307" s="90"/>
      <c r="C307" s="542"/>
      <c r="D307" s="542"/>
      <c r="E307"/>
    </row>
    <row r="308" spans="1:5" x14ac:dyDescent="0.2">
      <c r="A308"/>
      <c r="B308" s="90"/>
      <c r="C308" s="542"/>
      <c r="D308" s="542"/>
      <c r="E308"/>
    </row>
    <row r="309" spans="1:5" x14ac:dyDescent="0.2">
      <c r="A309"/>
      <c r="B309" s="90"/>
      <c r="C309" s="542"/>
      <c r="D309" s="542"/>
      <c r="E309"/>
    </row>
    <row r="310" spans="1:5" x14ac:dyDescent="0.2">
      <c r="A310"/>
      <c r="B310" s="90"/>
      <c r="C310" s="542"/>
      <c r="D310" s="542"/>
      <c r="E310"/>
    </row>
    <row r="311" spans="1:5" x14ac:dyDescent="0.2">
      <c r="A311"/>
      <c r="B311" s="90"/>
      <c r="C311" s="542"/>
      <c r="D311" s="542"/>
      <c r="E311"/>
    </row>
    <row r="312" spans="1:5" x14ac:dyDescent="0.2">
      <c r="A312"/>
      <c r="B312" s="90"/>
      <c r="C312" s="542"/>
      <c r="D312" s="542"/>
      <c r="E312"/>
    </row>
    <row r="313" spans="1:5" x14ac:dyDescent="0.2">
      <c r="A313"/>
      <c r="B313" s="90"/>
      <c r="C313" s="542"/>
      <c r="D313" s="542"/>
      <c r="E313"/>
    </row>
    <row r="314" spans="1:5" x14ac:dyDescent="0.2">
      <c r="A314"/>
      <c r="B314" s="90"/>
      <c r="C314" s="542"/>
      <c r="D314" s="542"/>
      <c r="E314"/>
    </row>
    <row r="315" spans="1:5" x14ac:dyDescent="0.2">
      <c r="A315"/>
      <c r="B315" s="90"/>
      <c r="C315" s="542"/>
      <c r="D315" s="542"/>
      <c r="E315"/>
    </row>
    <row r="316" spans="1:5" x14ac:dyDescent="0.2">
      <c r="A316"/>
      <c r="B316" s="90"/>
      <c r="C316" s="542"/>
      <c r="D316" s="542"/>
      <c r="E316"/>
    </row>
    <row r="317" spans="1:5" x14ac:dyDescent="0.2">
      <c r="A317"/>
      <c r="B317" s="90"/>
      <c r="C317" s="542"/>
      <c r="D317" s="542"/>
      <c r="E317"/>
    </row>
    <row r="318" spans="1:5" x14ac:dyDescent="0.2">
      <c r="A318"/>
      <c r="B318" s="90"/>
      <c r="C318" s="542"/>
      <c r="D318" s="542"/>
      <c r="E318"/>
    </row>
    <row r="319" spans="1:5" x14ac:dyDescent="0.2">
      <c r="A319"/>
      <c r="B319" s="90"/>
      <c r="C319" s="542"/>
      <c r="D319" s="542"/>
      <c r="E319"/>
    </row>
    <row r="320" spans="1:5" x14ac:dyDescent="0.2">
      <c r="A320"/>
      <c r="B320" s="90"/>
      <c r="C320" s="542"/>
      <c r="D320" s="542"/>
      <c r="E320"/>
    </row>
    <row r="321" spans="1:5" x14ac:dyDescent="0.2">
      <c r="A321"/>
      <c r="B321" s="90"/>
      <c r="C321" s="542"/>
      <c r="D321" s="542"/>
      <c r="E321"/>
    </row>
    <row r="322" spans="1:5" x14ac:dyDescent="0.2">
      <c r="A322"/>
      <c r="B322" s="90"/>
      <c r="C322" s="542"/>
      <c r="D322" s="542"/>
      <c r="E322"/>
    </row>
    <row r="323" spans="1:5" x14ac:dyDescent="0.2">
      <c r="A323"/>
      <c r="B323" s="90"/>
      <c r="C323" s="542"/>
      <c r="D323" s="542"/>
      <c r="E323"/>
    </row>
    <row r="324" spans="1:5" x14ac:dyDescent="0.2">
      <c r="A324"/>
      <c r="B324" s="90"/>
      <c r="C324" s="542"/>
      <c r="D324" s="542"/>
      <c r="E324"/>
    </row>
    <row r="325" spans="1:5" x14ac:dyDescent="0.2">
      <c r="A325"/>
      <c r="B325" s="90"/>
      <c r="C325" s="542"/>
      <c r="D325" s="542"/>
      <c r="E325"/>
    </row>
    <row r="326" spans="1:5" x14ac:dyDescent="0.2">
      <c r="A326"/>
      <c r="B326" s="90"/>
      <c r="C326" s="542"/>
      <c r="D326" s="542"/>
      <c r="E326"/>
    </row>
    <row r="327" spans="1:5" x14ac:dyDescent="0.2">
      <c r="A327"/>
      <c r="B327" s="90"/>
      <c r="C327" s="542"/>
      <c r="D327" s="542"/>
      <c r="E327"/>
    </row>
    <row r="328" spans="1:5" x14ac:dyDescent="0.2">
      <c r="A328"/>
      <c r="B328" s="90"/>
      <c r="C328" s="542"/>
      <c r="D328" s="542"/>
      <c r="E328"/>
    </row>
    <row r="329" spans="1:5" x14ac:dyDescent="0.2">
      <c r="A329"/>
      <c r="B329" s="90"/>
      <c r="C329" s="542"/>
      <c r="D329" s="542"/>
      <c r="E329"/>
    </row>
    <row r="330" spans="1:5" x14ac:dyDescent="0.2">
      <c r="A330"/>
      <c r="B330" s="90"/>
      <c r="C330" s="542"/>
      <c r="D330" s="542"/>
      <c r="E330"/>
    </row>
    <row r="331" spans="1:5" x14ac:dyDescent="0.2">
      <c r="A331"/>
      <c r="B331" s="90"/>
      <c r="C331" s="542"/>
      <c r="D331" s="542"/>
      <c r="E331"/>
    </row>
    <row r="332" spans="1:5" x14ac:dyDescent="0.2">
      <c r="A332"/>
      <c r="B332" s="90"/>
      <c r="C332" s="542"/>
      <c r="D332" s="542"/>
      <c r="E332"/>
    </row>
    <row r="333" spans="1:5" x14ac:dyDescent="0.2">
      <c r="A333"/>
      <c r="B333" s="90"/>
      <c r="C333" s="542"/>
      <c r="D333" s="542"/>
      <c r="E333"/>
    </row>
    <row r="334" spans="1:5" x14ac:dyDescent="0.2">
      <c r="A334"/>
      <c r="B334" s="90"/>
      <c r="C334" s="542"/>
      <c r="D334" s="542"/>
      <c r="E334"/>
    </row>
    <row r="335" spans="1:5" x14ac:dyDescent="0.2">
      <c r="A335"/>
      <c r="B335" s="90"/>
      <c r="C335" s="542"/>
      <c r="D335" s="542"/>
      <c r="E335"/>
    </row>
    <row r="336" spans="1:5" x14ac:dyDescent="0.2">
      <c r="A336"/>
      <c r="B336" s="90"/>
      <c r="C336" s="542"/>
      <c r="D336" s="542"/>
      <c r="E336"/>
    </row>
    <row r="337" spans="1:5" x14ac:dyDescent="0.2">
      <c r="A337"/>
      <c r="B337" s="90"/>
      <c r="C337" s="542"/>
      <c r="D337" s="542"/>
      <c r="E337"/>
    </row>
    <row r="338" spans="1:5" x14ac:dyDescent="0.2">
      <c r="A338"/>
      <c r="B338" s="90"/>
      <c r="C338" s="542"/>
      <c r="D338" s="542"/>
      <c r="E338"/>
    </row>
    <row r="339" spans="1:5" x14ac:dyDescent="0.2">
      <c r="A339"/>
      <c r="B339" s="90"/>
      <c r="C339" s="542"/>
      <c r="D339" s="542"/>
      <c r="E339"/>
    </row>
    <row r="340" spans="1:5" x14ac:dyDescent="0.2">
      <c r="A340"/>
      <c r="B340" s="90"/>
      <c r="C340" s="542"/>
      <c r="D340" s="542"/>
      <c r="E340"/>
    </row>
    <row r="341" spans="1:5" x14ac:dyDescent="0.2">
      <c r="A341"/>
      <c r="B341" s="90"/>
      <c r="C341" s="542"/>
      <c r="D341" s="542"/>
      <c r="E341"/>
    </row>
    <row r="342" spans="1:5" x14ac:dyDescent="0.2">
      <c r="A342"/>
      <c r="B342" s="90"/>
      <c r="C342" s="542"/>
      <c r="D342" s="542"/>
      <c r="E342"/>
    </row>
    <row r="343" spans="1:5" x14ac:dyDescent="0.2">
      <c r="A343"/>
      <c r="B343" s="90"/>
      <c r="C343" s="542"/>
      <c r="D343" s="542"/>
      <c r="E343"/>
    </row>
    <row r="344" spans="1:5" x14ac:dyDescent="0.2">
      <c r="A344"/>
      <c r="B344" s="90"/>
      <c r="C344" s="542"/>
      <c r="D344" s="542"/>
      <c r="E344"/>
    </row>
    <row r="345" spans="1:5" x14ac:dyDescent="0.2">
      <c r="A345"/>
      <c r="B345" s="90"/>
      <c r="C345" s="542"/>
      <c r="D345" s="542"/>
      <c r="E345"/>
    </row>
    <row r="346" spans="1:5" x14ac:dyDescent="0.2">
      <c r="A346"/>
      <c r="B346" s="90"/>
      <c r="C346" s="542"/>
      <c r="D346" s="542"/>
      <c r="E346"/>
    </row>
    <row r="347" spans="1:5" x14ac:dyDescent="0.2">
      <c r="A347"/>
      <c r="B347" s="90"/>
      <c r="C347" s="542"/>
      <c r="D347" s="542"/>
      <c r="E347"/>
    </row>
    <row r="348" spans="1:5" x14ac:dyDescent="0.2">
      <c r="A348"/>
      <c r="B348" s="90"/>
      <c r="C348" s="542"/>
      <c r="D348" s="542"/>
      <c r="E348"/>
    </row>
    <row r="349" spans="1:5" x14ac:dyDescent="0.2">
      <c r="A349"/>
      <c r="B349" s="90"/>
      <c r="C349" s="542"/>
      <c r="D349" s="542"/>
      <c r="E349"/>
    </row>
    <row r="350" spans="1:5" x14ac:dyDescent="0.2">
      <c r="A350"/>
      <c r="B350" s="90"/>
      <c r="C350" s="542"/>
      <c r="D350" s="542"/>
      <c r="E350"/>
    </row>
    <row r="351" spans="1:5" x14ac:dyDescent="0.2">
      <c r="A351"/>
      <c r="B351" s="90"/>
      <c r="C351" s="542"/>
      <c r="D351" s="542"/>
      <c r="E351"/>
    </row>
    <row r="352" spans="1:5" x14ac:dyDescent="0.2">
      <c r="A352"/>
      <c r="B352" s="90"/>
      <c r="C352" s="542"/>
      <c r="D352" s="542"/>
      <c r="E352"/>
    </row>
    <row r="353" spans="1:5" x14ac:dyDescent="0.2">
      <c r="A353"/>
      <c r="B353" s="90"/>
      <c r="C353" s="542"/>
      <c r="D353" s="542"/>
      <c r="E353"/>
    </row>
    <row r="354" spans="1:5" x14ac:dyDescent="0.2">
      <c r="A354"/>
      <c r="B354" s="90"/>
      <c r="C354" s="542"/>
      <c r="D354" s="542"/>
      <c r="E354"/>
    </row>
    <row r="355" spans="1:5" x14ac:dyDescent="0.2">
      <c r="A355"/>
      <c r="B355" s="90"/>
      <c r="C355" s="542"/>
      <c r="D355" s="542"/>
      <c r="E355"/>
    </row>
    <row r="356" spans="1:5" x14ac:dyDescent="0.2">
      <c r="A356"/>
      <c r="B356" s="90"/>
      <c r="C356" s="542"/>
      <c r="D356" s="542"/>
      <c r="E356"/>
    </row>
    <row r="357" spans="1:5" x14ac:dyDescent="0.2">
      <c r="A357"/>
      <c r="B357" s="90"/>
      <c r="C357" s="542"/>
      <c r="D357" s="542"/>
      <c r="E357"/>
    </row>
    <row r="358" spans="1:5" x14ac:dyDescent="0.2">
      <c r="A358"/>
      <c r="B358" s="90"/>
      <c r="C358" s="542"/>
      <c r="D358" s="542"/>
      <c r="E358"/>
    </row>
    <row r="359" spans="1:5" x14ac:dyDescent="0.2">
      <c r="A359"/>
      <c r="B359" s="90"/>
      <c r="C359" s="542"/>
      <c r="D359" s="542"/>
      <c r="E359"/>
    </row>
    <row r="360" spans="1:5" x14ac:dyDescent="0.2">
      <c r="A360"/>
      <c r="B360" s="90"/>
      <c r="C360" s="542"/>
      <c r="D360" s="542"/>
      <c r="E360"/>
    </row>
    <row r="361" spans="1:5" x14ac:dyDescent="0.2">
      <c r="A361"/>
      <c r="B361" s="90"/>
      <c r="C361" s="542"/>
      <c r="D361" s="542"/>
      <c r="E361"/>
    </row>
    <row r="362" spans="1:5" x14ac:dyDescent="0.2">
      <c r="A362"/>
      <c r="B362" s="90"/>
      <c r="C362" s="542"/>
      <c r="D362" s="542"/>
      <c r="E362"/>
    </row>
    <row r="363" spans="1:5" x14ac:dyDescent="0.2">
      <c r="A363"/>
      <c r="B363" s="90"/>
      <c r="C363" s="542"/>
      <c r="D363" s="542"/>
      <c r="E363"/>
    </row>
    <row r="364" spans="1:5" x14ac:dyDescent="0.2">
      <c r="A364"/>
      <c r="B364" s="90"/>
      <c r="C364" s="542"/>
      <c r="D364" s="542"/>
      <c r="E364"/>
    </row>
    <row r="365" spans="1:5" x14ac:dyDescent="0.2">
      <c r="A365"/>
      <c r="B365" s="90"/>
      <c r="C365" s="542"/>
      <c r="D365" s="542"/>
      <c r="E365"/>
    </row>
    <row r="366" spans="1:5" x14ac:dyDescent="0.2">
      <c r="A366"/>
      <c r="B366" s="90"/>
      <c r="C366" s="542"/>
      <c r="D366" s="542"/>
      <c r="E366"/>
    </row>
    <row r="367" spans="1:5" x14ac:dyDescent="0.2">
      <c r="A367"/>
      <c r="B367" s="90"/>
      <c r="C367" s="542"/>
      <c r="D367" s="542"/>
      <c r="E367"/>
    </row>
    <row r="368" spans="1:5" x14ac:dyDescent="0.2">
      <c r="A368"/>
      <c r="B368" s="90"/>
      <c r="C368" s="542"/>
      <c r="D368" s="542"/>
      <c r="E368"/>
    </row>
    <row r="369" spans="1:5" x14ac:dyDescent="0.2">
      <c r="A369"/>
      <c r="B369" s="90"/>
      <c r="C369" s="542"/>
      <c r="D369" s="542"/>
      <c r="E369"/>
    </row>
    <row r="370" spans="1:5" x14ac:dyDescent="0.2">
      <c r="A370"/>
      <c r="B370" s="90"/>
      <c r="C370" s="542"/>
      <c r="D370" s="542"/>
      <c r="E370"/>
    </row>
    <row r="371" spans="1:5" x14ac:dyDescent="0.2">
      <c r="A371"/>
      <c r="B371" s="90"/>
      <c r="C371" s="542"/>
      <c r="D371" s="542"/>
      <c r="E371"/>
    </row>
    <row r="372" spans="1:5" x14ac:dyDescent="0.2">
      <c r="A372"/>
      <c r="B372" s="90"/>
      <c r="C372" s="542"/>
      <c r="D372" s="542"/>
      <c r="E372"/>
    </row>
    <row r="373" spans="1:5" x14ac:dyDescent="0.2">
      <c r="A373"/>
      <c r="B373" s="90"/>
      <c r="C373" s="542"/>
      <c r="D373" s="542"/>
      <c r="E373"/>
    </row>
    <row r="374" spans="1:5" x14ac:dyDescent="0.2">
      <c r="A374"/>
      <c r="B374" s="90"/>
      <c r="C374" s="542"/>
      <c r="D374" s="542"/>
      <c r="E374"/>
    </row>
    <row r="375" spans="1:5" x14ac:dyDescent="0.2">
      <c r="A375"/>
      <c r="B375" s="90"/>
      <c r="C375" s="542"/>
      <c r="D375" s="542"/>
      <c r="E375"/>
    </row>
    <row r="376" spans="1:5" x14ac:dyDescent="0.2">
      <c r="A376"/>
      <c r="B376" s="90"/>
      <c r="C376" s="542"/>
      <c r="D376" s="542"/>
      <c r="E376"/>
    </row>
    <row r="377" spans="1:5" x14ac:dyDescent="0.2">
      <c r="A377"/>
      <c r="B377" s="90"/>
      <c r="C377" s="542"/>
      <c r="D377" s="542"/>
      <c r="E377"/>
    </row>
    <row r="378" spans="1:5" x14ac:dyDescent="0.2">
      <c r="A378"/>
      <c r="B378" s="90"/>
      <c r="C378" s="542"/>
      <c r="D378" s="542"/>
      <c r="E378"/>
    </row>
    <row r="379" spans="1:5" x14ac:dyDescent="0.2">
      <c r="A379"/>
      <c r="B379" s="90"/>
      <c r="C379" s="542"/>
      <c r="D379" s="542"/>
      <c r="E379"/>
    </row>
    <row r="380" spans="1:5" x14ac:dyDescent="0.2">
      <c r="A380"/>
      <c r="B380" s="90"/>
      <c r="C380" s="542"/>
      <c r="D380" s="542"/>
      <c r="E380"/>
    </row>
    <row r="381" spans="1:5" x14ac:dyDescent="0.2">
      <c r="A381"/>
      <c r="B381" s="90"/>
      <c r="C381" s="542"/>
      <c r="D381" s="542"/>
      <c r="E381"/>
    </row>
    <row r="382" spans="1:5" x14ac:dyDescent="0.2">
      <c r="A382"/>
      <c r="B382" s="90"/>
      <c r="C382" s="542"/>
      <c r="D382" s="542"/>
      <c r="E382"/>
    </row>
    <row r="383" spans="1:5" x14ac:dyDescent="0.2">
      <c r="A383"/>
      <c r="B383" s="90"/>
      <c r="C383" s="542"/>
      <c r="D383" s="542"/>
      <c r="E383"/>
    </row>
    <row r="384" spans="1:5" x14ac:dyDescent="0.2">
      <c r="A384"/>
      <c r="B384" s="90"/>
      <c r="C384" s="542"/>
      <c r="D384" s="542"/>
      <c r="E384"/>
    </row>
    <row r="385" spans="1:5" x14ac:dyDescent="0.2">
      <c r="A385"/>
      <c r="B385" s="90"/>
      <c r="C385" s="542"/>
      <c r="D385" s="542"/>
      <c r="E385"/>
    </row>
    <row r="386" spans="1:5" x14ac:dyDescent="0.2">
      <c r="A386"/>
      <c r="B386" s="90"/>
      <c r="C386" s="542"/>
      <c r="D386" s="542"/>
      <c r="E386"/>
    </row>
    <row r="387" spans="1:5" x14ac:dyDescent="0.2">
      <c r="A387"/>
      <c r="B387" s="90"/>
      <c r="C387" s="542"/>
      <c r="D387" s="542"/>
      <c r="E387"/>
    </row>
    <row r="388" spans="1:5" x14ac:dyDescent="0.2">
      <c r="A388"/>
      <c r="B388" s="90"/>
      <c r="C388" s="542"/>
      <c r="D388" s="542"/>
      <c r="E388"/>
    </row>
    <row r="389" spans="1:5" x14ac:dyDescent="0.2">
      <c r="A389"/>
      <c r="B389" s="90"/>
      <c r="C389" s="542"/>
      <c r="D389" s="542"/>
      <c r="E389"/>
    </row>
    <row r="390" spans="1:5" x14ac:dyDescent="0.2">
      <c r="A390"/>
      <c r="B390" s="90"/>
      <c r="C390" s="542"/>
      <c r="D390" s="542"/>
      <c r="E390"/>
    </row>
  </sheetData>
  <mergeCells count="2">
    <mergeCell ref="A6:F6"/>
    <mergeCell ref="A7:F7"/>
  </mergeCells>
  <phoneticPr fontId="0" type="noConversion"/>
  <printOptions horizontalCentered="1"/>
  <pageMargins left="0.19685039370078741" right="0" top="0.51" bottom="0.51181102362204722" header="0.23622047244094491" footer="0.15748031496062992"/>
  <pageSetup paperSize="9" scale="80" firstPageNumber="0" orientation="portrait" r:id="rId1"/>
  <headerFooter alignWithMargins="0">
    <oddFooter>&amp;C15. tábla &amp;P. oldal</oddFooter>
  </headerFooter>
  <rowBreaks count="2" manualBreakCount="2">
    <brk id="98" max="5" man="1"/>
    <brk id="188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16"/>
  <sheetViews>
    <sheetView zoomScale="80" zoomScaleNormal="80" workbookViewId="0">
      <pane xSplit="2" ySplit="8" topLeftCell="C9" activePane="bottomRight" state="frozen"/>
      <selection activeCell="V58" sqref="V58"/>
      <selection pane="topRight" activeCell="V58" sqref="V58"/>
      <selection pane="bottomLeft" activeCell="V58" sqref="V58"/>
      <selection pane="bottomRight" activeCell="F1" sqref="F1"/>
    </sheetView>
  </sheetViews>
  <sheetFormatPr defaultRowHeight="12.75" x14ac:dyDescent="0.2"/>
  <cols>
    <col min="1" max="1" width="5.42578125" customWidth="1"/>
    <col min="2" max="2" width="71.28515625" customWidth="1"/>
    <col min="3" max="5" width="12.7109375" customWidth="1"/>
    <col min="6" max="6" width="10.7109375" style="149" customWidth="1"/>
    <col min="7" max="7" width="11.85546875" hidden="1" customWidth="1"/>
    <col min="8" max="8" width="17.42578125" hidden="1" customWidth="1"/>
    <col min="9" max="9" width="0" hidden="1" customWidth="1"/>
    <col min="12" max="12" width="14.5703125" customWidth="1"/>
  </cols>
  <sheetData>
    <row r="1" spans="1:7" ht="12.75" customHeight="1" x14ac:dyDescent="0.2">
      <c r="A1" s="542"/>
      <c r="B1" s="542"/>
      <c r="C1" s="343"/>
      <c r="D1" s="343"/>
      <c r="E1" s="343"/>
      <c r="F1" s="1955" t="s">
        <v>1306</v>
      </c>
      <c r="G1" s="545"/>
    </row>
    <row r="2" spans="1:7" ht="11.25" customHeight="1" x14ac:dyDescent="0.2">
      <c r="A2" s="542"/>
      <c r="B2" s="542"/>
      <c r="C2" s="343"/>
      <c r="D2" s="343"/>
      <c r="E2" s="343"/>
      <c r="F2" s="1955" t="s">
        <v>57</v>
      </c>
      <c r="G2" s="545"/>
    </row>
    <row r="3" spans="1:7" ht="19.5" customHeight="1" x14ac:dyDescent="0.25">
      <c r="A3" s="2356"/>
      <c r="B3" s="2356"/>
      <c r="C3" s="2356"/>
      <c r="D3" s="2356"/>
      <c r="E3" s="2356"/>
      <c r="F3" s="2356"/>
    </row>
    <row r="4" spans="1:7" ht="13.5" thickBot="1" x14ac:dyDescent="0.25">
      <c r="A4" s="1378"/>
      <c r="B4" s="1378"/>
      <c r="C4" s="1378"/>
      <c r="D4" s="1378"/>
      <c r="E4" s="1378"/>
      <c r="F4" s="1956"/>
    </row>
    <row r="5" spans="1:7" ht="15" customHeight="1" x14ac:dyDescent="0.2">
      <c r="A5" s="2012"/>
      <c r="B5" s="2012"/>
      <c r="C5" s="2012" t="s">
        <v>1296</v>
      </c>
      <c r="D5" s="2012" t="s">
        <v>1181</v>
      </c>
      <c r="E5" s="2012"/>
      <c r="F5" s="106" t="s">
        <v>196</v>
      </c>
    </row>
    <row r="6" spans="1:7" ht="15" customHeight="1" x14ac:dyDescent="0.25">
      <c r="A6" s="1198" t="s">
        <v>207</v>
      </c>
      <c r="B6" s="2070" t="s">
        <v>335</v>
      </c>
      <c r="C6" s="1366" t="s">
        <v>38</v>
      </c>
      <c r="D6" s="1366" t="s">
        <v>333</v>
      </c>
      <c r="E6" s="1366" t="s">
        <v>196</v>
      </c>
      <c r="F6" s="2180" t="s">
        <v>198</v>
      </c>
    </row>
    <row r="7" spans="1:7" ht="15" customHeight="1" thickBot="1" x14ac:dyDescent="0.3">
      <c r="A7" s="2233" t="s">
        <v>208</v>
      </c>
      <c r="B7" s="2231"/>
      <c r="C7" s="1366" t="s">
        <v>8</v>
      </c>
      <c r="D7" s="1366" t="s">
        <v>8</v>
      </c>
      <c r="E7" s="1366"/>
      <c r="F7" s="2234"/>
    </row>
    <row r="8" spans="1:7" s="148" customFormat="1" ht="15" customHeight="1" thickBot="1" x14ac:dyDescent="0.25">
      <c r="A8" s="2201">
        <v>1</v>
      </c>
      <c r="B8" s="1205">
        <v>2</v>
      </c>
      <c r="C8" s="2237">
        <v>3</v>
      </c>
      <c r="D8" s="2235">
        <v>4</v>
      </c>
      <c r="E8" s="2235">
        <v>5</v>
      </c>
      <c r="F8" s="2236">
        <v>6</v>
      </c>
    </row>
    <row r="9" spans="1:7" s="148" customFormat="1" ht="33" customHeight="1" x14ac:dyDescent="0.25">
      <c r="A9" s="1352" t="s">
        <v>9</v>
      </c>
      <c r="B9" s="1380" t="s">
        <v>1047</v>
      </c>
      <c r="C9" s="1353"/>
      <c r="D9" s="1379"/>
      <c r="E9" s="1957"/>
      <c r="F9" s="1948"/>
    </row>
    <row r="10" spans="1:7" ht="15" x14ac:dyDescent="0.25">
      <c r="A10" s="1354"/>
      <c r="B10" s="1381" t="s">
        <v>1046</v>
      </c>
      <c r="C10" s="1387">
        <f>1200+287</f>
        <v>1487</v>
      </c>
      <c r="D10" s="1382">
        <f>1200+287</f>
        <v>1487</v>
      </c>
      <c r="E10" s="1360">
        <v>1594</v>
      </c>
      <c r="F10" s="1950">
        <f t="shared" ref="F10:F24" si="0">E10/D10*100</f>
        <v>107.19569603227977</v>
      </c>
    </row>
    <row r="11" spans="1:7" ht="15" customHeight="1" x14ac:dyDescent="0.2">
      <c r="A11" s="1355" t="s">
        <v>132</v>
      </c>
      <c r="B11" s="1383" t="s">
        <v>418</v>
      </c>
      <c r="C11" s="2195">
        <f>SUM(C10:C10)</f>
        <v>1487</v>
      </c>
      <c r="D11" s="1384">
        <f>SUM(D10:D10)</f>
        <v>1487</v>
      </c>
      <c r="E11" s="1357">
        <v>1594</v>
      </c>
      <c r="F11" s="1951">
        <f t="shared" si="0"/>
        <v>107.19569603227977</v>
      </c>
    </row>
    <row r="12" spans="1:7" ht="15" customHeight="1" x14ac:dyDescent="0.25">
      <c r="A12" s="1354"/>
      <c r="B12" s="1381" t="s">
        <v>1046</v>
      </c>
      <c r="C12" s="2202">
        <f>900+720</f>
        <v>1620</v>
      </c>
      <c r="D12" s="1390">
        <f>900+720</f>
        <v>1620</v>
      </c>
      <c r="E12" s="1960">
        <v>1591</v>
      </c>
      <c r="F12" s="1950">
        <f t="shared" si="0"/>
        <v>98.209876543209873</v>
      </c>
    </row>
    <row r="13" spans="1:7" ht="15" customHeight="1" x14ac:dyDescent="0.25">
      <c r="A13" s="1354"/>
      <c r="B13" s="1381" t="s">
        <v>1307</v>
      </c>
      <c r="C13" s="2202"/>
      <c r="D13" s="1390">
        <v>1930</v>
      </c>
      <c r="E13" s="1960">
        <v>1733</v>
      </c>
      <c r="F13" s="1950">
        <f t="shared" si="0"/>
        <v>89.792746113989637</v>
      </c>
    </row>
    <row r="14" spans="1:7" ht="15" customHeight="1" x14ac:dyDescent="0.2">
      <c r="A14" s="1355" t="s">
        <v>368</v>
      </c>
      <c r="B14" s="1383" t="s">
        <v>419</v>
      </c>
      <c r="C14" s="1358">
        <f>SUM(C12:C13)</f>
        <v>1620</v>
      </c>
      <c r="D14" s="1386">
        <f>SUM(D12:D13)</f>
        <v>3550</v>
      </c>
      <c r="E14" s="1359">
        <v>3324</v>
      </c>
      <c r="F14" s="1951">
        <f t="shared" si="0"/>
        <v>93.633802816901408</v>
      </c>
    </row>
    <row r="15" spans="1:7" ht="15" customHeight="1" x14ac:dyDescent="0.25">
      <c r="A15" s="1355"/>
      <c r="B15" s="1381" t="s">
        <v>1046</v>
      </c>
      <c r="C15" s="2202">
        <f>1050+411</f>
        <v>1461</v>
      </c>
      <c r="D15" s="1390">
        <f>1050+411</f>
        <v>1461</v>
      </c>
      <c r="E15" s="1960">
        <v>1116</v>
      </c>
      <c r="F15" s="1950">
        <f t="shared" si="0"/>
        <v>76.386036960985621</v>
      </c>
    </row>
    <row r="16" spans="1:7" ht="15" customHeight="1" x14ac:dyDescent="0.2">
      <c r="A16" s="1355" t="s">
        <v>750</v>
      </c>
      <c r="B16" s="1383" t="s">
        <v>420</v>
      </c>
      <c r="C16" s="1358">
        <f>SUM(C15:C15)</f>
        <v>1461</v>
      </c>
      <c r="D16" s="1386">
        <f>SUM(D15:D15)</f>
        <v>1461</v>
      </c>
      <c r="E16" s="1359">
        <v>1116</v>
      </c>
      <c r="F16" s="1951">
        <f t="shared" si="0"/>
        <v>76.386036960985621</v>
      </c>
    </row>
    <row r="17" spans="1:12" ht="15" customHeight="1" x14ac:dyDescent="0.25">
      <c r="A17" s="1355"/>
      <c r="B17" s="1381" t="s">
        <v>1046</v>
      </c>
      <c r="C17" s="1387">
        <v>1200</v>
      </c>
      <c r="D17" s="1382">
        <v>1200</v>
      </c>
      <c r="E17" s="1360">
        <v>874</v>
      </c>
      <c r="F17" s="1950">
        <f t="shared" si="0"/>
        <v>72.833333333333343</v>
      </c>
    </row>
    <row r="18" spans="1:12" ht="15" customHeight="1" x14ac:dyDescent="0.2">
      <c r="A18" s="1355" t="s">
        <v>737</v>
      </c>
      <c r="B18" s="1383" t="s">
        <v>1044</v>
      </c>
      <c r="C18" s="1358">
        <f>SUM(C17:C17)</f>
        <v>1200</v>
      </c>
      <c r="D18" s="1386">
        <f>SUM(D17:D17)</f>
        <v>1200</v>
      </c>
      <c r="E18" s="1359">
        <v>874</v>
      </c>
      <c r="F18" s="1951">
        <f t="shared" si="0"/>
        <v>72.833333333333343</v>
      </c>
    </row>
    <row r="19" spans="1:12" ht="15" customHeight="1" x14ac:dyDescent="0.25">
      <c r="A19" s="1355"/>
      <c r="B19" s="1381" t="s">
        <v>1046</v>
      </c>
      <c r="C19" s="1387">
        <f>600+406</f>
        <v>1006</v>
      </c>
      <c r="D19" s="1382">
        <f>600+406</f>
        <v>1006</v>
      </c>
      <c r="E19" s="1360">
        <v>1332</v>
      </c>
      <c r="F19" s="1950">
        <f t="shared" si="0"/>
        <v>132.40556660039761</v>
      </c>
    </row>
    <row r="20" spans="1:12" ht="15" customHeight="1" x14ac:dyDescent="0.25">
      <c r="A20" s="1355"/>
      <c r="B20" s="1381" t="s">
        <v>1308</v>
      </c>
      <c r="C20" s="1387"/>
      <c r="D20" s="1382">
        <f>4800+203+127+203+60</f>
        <v>5393</v>
      </c>
      <c r="E20" s="1360">
        <v>5875</v>
      </c>
      <c r="F20" s="1950">
        <f t="shared" si="0"/>
        <v>108.93751158909697</v>
      </c>
    </row>
    <row r="21" spans="1:12" ht="15" customHeight="1" x14ac:dyDescent="0.2">
      <c r="A21" s="1355" t="s">
        <v>201</v>
      </c>
      <c r="B21" s="1383" t="s">
        <v>421</v>
      </c>
      <c r="C21" s="1358">
        <f>SUM(C19:C20)</f>
        <v>1006</v>
      </c>
      <c r="D21" s="1386">
        <f>SUM(D19:D20)</f>
        <v>6399</v>
      </c>
      <c r="E21" s="1359">
        <v>7207</v>
      </c>
      <c r="F21" s="1951">
        <f t="shared" si="0"/>
        <v>112.62697296452571</v>
      </c>
    </row>
    <row r="22" spans="1:12" ht="15" customHeight="1" x14ac:dyDescent="0.25">
      <c r="A22" s="1355"/>
      <c r="B22" s="1381" t="s">
        <v>1046</v>
      </c>
      <c r="C22" s="1387">
        <f>900+594</f>
        <v>1494</v>
      </c>
      <c r="D22" s="1382">
        <f>900+594</f>
        <v>1494</v>
      </c>
      <c r="E22" s="1360">
        <v>1078</v>
      </c>
      <c r="F22" s="1950">
        <f t="shared" si="0"/>
        <v>72.155287817938415</v>
      </c>
    </row>
    <row r="23" spans="1:12" ht="15" customHeight="1" x14ac:dyDescent="0.25">
      <c r="A23" s="1355"/>
      <c r="B23" s="2203" t="s">
        <v>1309</v>
      </c>
      <c r="C23" s="2204"/>
      <c r="D23" s="1524">
        <v>2228</v>
      </c>
      <c r="E23" s="1452">
        <v>2228</v>
      </c>
      <c r="F23" s="1950">
        <f t="shared" si="0"/>
        <v>100</v>
      </c>
    </row>
    <row r="24" spans="1:12" ht="15" customHeight="1" x14ac:dyDescent="0.2">
      <c r="A24" s="1355" t="s">
        <v>209</v>
      </c>
      <c r="B24" s="1383" t="s">
        <v>422</v>
      </c>
      <c r="C24" s="1358">
        <f>SUM(C22)</f>
        <v>1494</v>
      </c>
      <c r="D24" s="1386">
        <f>SUM(D22:D23)</f>
        <v>3722</v>
      </c>
      <c r="E24" s="1359">
        <v>3306</v>
      </c>
      <c r="F24" s="1951">
        <f t="shared" si="0"/>
        <v>88.823213326168727</v>
      </c>
      <c r="L24" s="7"/>
    </row>
    <row r="25" spans="1:12" ht="15" customHeight="1" thickBot="1" x14ac:dyDescent="0.25">
      <c r="A25" s="1364"/>
      <c r="B25" s="1387"/>
      <c r="C25" s="1358"/>
      <c r="D25" s="1359"/>
      <c r="E25" s="1359"/>
      <c r="F25" s="1389"/>
    </row>
    <row r="26" spans="1:12" ht="30" customHeight="1" thickBot="1" x14ac:dyDescent="0.25">
      <c r="A26" s="1365" t="s">
        <v>327</v>
      </c>
      <c r="B26" s="2205" t="s">
        <v>423</v>
      </c>
      <c r="C26" s="2206">
        <f>C11+C14+C16+C18+C21+C24</f>
        <v>8268</v>
      </c>
      <c r="D26" s="2207">
        <f>D11+D14+D16+D18+D21+D24</f>
        <v>17819</v>
      </c>
      <c r="E26" s="2207">
        <v>17421</v>
      </c>
      <c r="F26" s="1953">
        <f>E26/D26*100</f>
        <v>97.766429092541671</v>
      </c>
      <c r="H26" s="7"/>
    </row>
    <row r="27" spans="1:12" ht="12.75" customHeight="1" x14ac:dyDescent="0.2">
      <c r="A27" s="1364"/>
      <c r="B27" s="1388"/>
      <c r="C27" s="1358"/>
      <c r="D27" s="1386"/>
      <c r="E27" s="2022"/>
      <c r="F27" s="1389"/>
    </row>
    <row r="28" spans="1:12" ht="15" customHeight="1" x14ac:dyDescent="0.25">
      <c r="A28" s="1354"/>
      <c r="B28" s="1381" t="s">
        <v>435</v>
      </c>
      <c r="C28" s="2202">
        <v>2020</v>
      </c>
      <c r="D28" s="1390">
        <f>2020+250+392</f>
        <v>2662</v>
      </c>
      <c r="E28" s="1960">
        <v>2662</v>
      </c>
      <c r="F28" s="1950">
        <f>E28/D28*100</f>
        <v>100</v>
      </c>
    </row>
    <row r="29" spans="1:12" ht="15" customHeight="1" x14ac:dyDescent="0.25">
      <c r="A29" s="1354"/>
      <c r="B29" s="1381" t="s">
        <v>1310</v>
      </c>
      <c r="C29" s="2202"/>
      <c r="D29" s="1390">
        <v>2808</v>
      </c>
      <c r="E29" s="1960">
        <v>2808</v>
      </c>
      <c r="F29" s="1950">
        <f t="shared" ref="F29:F32" si="1">E29/D29*100</f>
        <v>100</v>
      </c>
    </row>
    <row r="30" spans="1:12" s="149" customFormat="1" ht="15" customHeight="1" x14ac:dyDescent="0.2">
      <c r="A30" s="1355" t="s">
        <v>132</v>
      </c>
      <c r="B30" s="1391" t="s">
        <v>424</v>
      </c>
      <c r="C30" s="1358">
        <f>SUM(C28:C29)</f>
        <v>2020</v>
      </c>
      <c r="D30" s="1386">
        <f>SUM(D28:D29)</f>
        <v>5470</v>
      </c>
      <c r="E30" s="1359">
        <f>SUM(E28:E29)</f>
        <v>5470</v>
      </c>
      <c r="F30" s="1951">
        <f t="shared" si="1"/>
        <v>100</v>
      </c>
    </row>
    <row r="31" spans="1:12" s="149" customFormat="1" ht="15" customHeight="1" x14ac:dyDescent="0.25">
      <c r="A31" s="1355"/>
      <c r="B31" s="1381" t="s">
        <v>435</v>
      </c>
      <c r="C31" s="1387">
        <v>1700</v>
      </c>
      <c r="D31" s="1382">
        <f>1700+250+139</f>
        <v>2089</v>
      </c>
      <c r="E31" s="1360">
        <v>2089</v>
      </c>
      <c r="F31" s="1950">
        <f>E31/D31*100</f>
        <v>100</v>
      </c>
    </row>
    <row r="32" spans="1:12" s="149" customFormat="1" ht="15" customHeight="1" x14ac:dyDescent="0.2">
      <c r="A32" s="1355" t="s">
        <v>368</v>
      </c>
      <c r="B32" s="1391" t="s">
        <v>425</v>
      </c>
      <c r="C32" s="1358">
        <f>SUM(C31:C31)</f>
        <v>1700</v>
      </c>
      <c r="D32" s="1386">
        <f>SUM(D31:D31)</f>
        <v>2089</v>
      </c>
      <c r="E32" s="1359">
        <f>SUM(E31)</f>
        <v>2089</v>
      </c>
      <c r="F32" s="1951">
        <f t="shared" si="1"/>
        <v>100</v>
      </c>
      <c r="H32" s="371"/>
      <c r="J32" s="371"/>
    </row>
    <row r="33" spans="1:8" s="149" customFormat="1" ht="15" customHeight="1" x14ac:dyDescent="0.25">
      <c r="A33" s="1355"/>
      <c r="B33" s="1381" t="s">
        <v>435</v>
      </c>
      <c r="C33" s="2202">
        <v>1900</v>
      </c>
      <c r="D33" s="1390">
        <f>1900+250</f>
        <v>2150</v>
      </c>
      <c r="E33" s="1960">
        <v>1952</v>
      </c>
      <c r="F33" s="1950">
        <f>E33/D33*100</f>
        <v>90.79069767441861</v>
      </c>
    </row>
    <row r="34" spans="1:8" s="149" customFormat="1" ht="15" customHeight="1" x14ac:dyDescent="0.25">
      <c r="A34" s="1355"/>
      <c r="B34" s="1381" t="s">
        <v>1311</v>
      </c>
      <c r="C34" s="2202"/>
      <c r="D34" s="1390">
        <v>1840</v>
      </c>
      <c r="E34" s="1960">
        <f>1840-0.248</f>
        <v>1839.752</v>
      </c>
      <c r="F34" s="1950">
        <f>E34/D34*100</f>
        <v>99.986521739130424</v>
      </c>
    </row>
    <row r="35" spans="1:8" s="149" customFormat="1" ht="15" customHeight="1" x14ac:dyDescent="0.2">
      <c r="A35" s="1355" t="s">
        <v>750</v>
      </c>
      <c r="B35" s="1391" t="s">
        <v>426</v>
      </c>
      <c r="C35" s="1358">
        <f>SUM(C33:C34)</f>
        <v>1900</v>
      </c>
      <c r="D35" s="1386">
        <f>SUM(D33:D34)</f>
        <v>3990</v>
      </c>
      <c r="E35" s="1359">
        <f>SUM(E33:E34)</f>
        <v>3791.752</v>
      </c>
      <c r="F35" s="1951">
        <f t="shared" ref="F35:F63" si="2">E35/D35*100</f>
        <v>95.031378446115284</v>
      </c>
    </row>
    <row r="36" spans="1:8" ht="15" customHeight="1" x14ac:dyDescent="0.25">
      <c r="A36" s="1355"/>
      <c r="B36" s="1381" t="s">
        <v>435</v>
      </c>
      <c r="C36" s="1354">
        <v>600</v>
      </c>
      <c r="D36" s="1385">
        <f>600+250</f>
        <v>850</v>
      </c>
      <c r="E36" s="1960">
        <v>477</v>
      </c>
      <c r="F36" s="1950">
        <f t="shared" si="2"/>
        <v>56.117647058823529</v>
      </c>
    </row>
    <row r="37" spans="1:8" ht="15" customHeight="1" x14ac:dyDescent="0.25">
      <c r="A37" s="1355"/>
      <c r="B37" s="1381" t="s">
        <v>1312</v>
      </c>
      <c r="C37" s="1354"/>
      <c r="D37" s="1385">
        <v>2500</v>
      </c>
      <c r="E37" s="1960">
        <v>1024</v>
      </c>
      <c r="F37" s="1950">
        <f t="shared" si="2"/>
        <v>40.96</v>
      </c>
    </row>
    <row r="38" spans="1:8" s="149" customFormat="1" ht="15" customHeight="1" x14ac:dyDescent="0.2">
      <c r="A38" s="1355" t="s">
        <v>737</v>
      </c>
      <c r="B38" s="1388" t="s">
        <v>1131</v>
      </c>
      <c r="C38" s="1358">
        <f>SUM(C36:C37)</f>
        <v>600</v>
      </c>
      <c r="D38" s="1386">
        <f>SUM(D36:D37)</f>
        <v>3350</v>
      </c>
      <c r="E38" s="1359">
        <f>SUM(E36:E37)</f>
        <v>1501</v>
      </c>
      <c r="F38" s="1951">
        <f t="shared" si="2"/>
        <v>44.805970149253731</v>
      </c>
    </row>
    <row r="39" spans="1:8" s="149" customFormat="1" ht="15" customHeight="1" x14ac:dyDescent="0.25">
      <c r="A39" s="1355"/>
      <c r="B39" s="1381" t="s">
        <v>435</v>
      </c>
      <c r="C39" s="1387">
        <v>3700</v>
      </c>
      <c r="D39" s="1382">
        <f>3700+250+129</f>
        <v>4079</v>
      </c>
      <c r="E39" s="1360">
        <v>4079</v>
      </c>
      <c r="F39" s="1950">
        <f t="shared" si="2"/>
        <v>100</v>
      </c>
    </row>
    <row r="40" spans="1:8" s="149" customFormat="1" ht="15" customHeight="1" x14ac:dyDescent="0.25">
      <c r="A40" s="1355"/>
      <c r="B40" s="1381" t="s">
        <v>1313</v>
      </c>
      <c r="C40" s="1387"/>
      <c r="D40" s="1382">
        <v>1113</v>
      </c>
      <c r="E40" s="1360">
        <v>1113</v>
      </c>
      <c r="F40" s="1950">
        <f t="shared" si="2"/>
        <v>100</v>
      </c>
    </row>
    <row r="41" spans="1:8" s="149" customFormat="1" ht="15" customHeight="1" x14ac:dyDescent="0.2">
      <c r="A41" s="1355" t="s">
        <v>201</v>
      </c>
      <c r="B41" s="1383" t="s">
        <v>427</v>
      </c>
      <c r="C41" s="1358">
        <f>SUM(C39:C40)</f>
        <v>3700</v>
      </c>
      <c r="D41" s="1386">
        <f>SUM(D39:D40)</f>
        <v>5192</v>
      </c>
      <c r="E41" s="1359">
        <f>SUM(E39:E40)</f>
        <v>5192</v>
      </c>
      <c r="F41" s="1951">
        <f t="shared" si="2"/>
        <v>100</v>
      </c>
    </row>
    <row r="42" spans="1:8" s="149" customFormat="1" ht="15" customHeight="1" x14ac:dyDescent="0.25">
      <c r="A42" s="1355"/>
      <c r="B42" s="1381" t="s">
        <v>435</v>
      </c>
      <c r="C42" s="2202">
        <f>600</f>
        <v>600</v>
      </c>
      <c r="D42" s="1390">
        <f>600+750+250+11400+0.15</f>
        <v>13000.15</v>
      </c>
      <c r="E42" s="1960">
        <v>13000</v>
      </c>
      <c r="F42" s="1950">
        <f t="shared" si="2"/>
        <v>99.998846167159613</v>
      </c>
    </row>
    <row r="43" spans="1:8" s="149" customFormat="1" ht="15" customHeight="1" x14ac:dyDescent="0.25">
      <c r="A43" s="1355"/>
      <c r="B43" s="2208" t="s">
        <v>1314</v>
      </c>
      <c r="C43" s="2202"/>
      <c r="D43" s="1390">
        <f>4635-750-158</f>
        <v>3727</v>
      </c>
      <c r="E43" s="1960">
        <v>3727</v>
      </c>
      <c r="F43" s="1950">
        <f t="shared" si="2"/>
        <v>100</v>
      </c>
    </row>
    <row r="44" spans="1:8" ht="15" customHeight="1" x14ac:dyDescent="0.2">
      <c r="A44" s="1355" t="s">
        <v>209</v>
      </c>
      <c r="B44" s="1383" t="s">
        <v>428</v>
      </c>
      <c r="C44" s="1358">
        <f>SUM(C42:C43)</f>
        <v>600</v>
      </c>
      <c r="D44" s="1386">
        <f>SUM(D42:D43)</f>
        <v>16727.150000000001</v>
      </c>
      <c r="E44" s="1359">
        <f>SUM(E42:E43)</f>
        <v>16727</v>
      </c>
      <c r="F44" s="1951">
        <f t="shared" si="2"/>
        <v>99.999103254290162</v>
      </c>
    </row>
    <row r="45" spans="1:8" ht="15" customHeight="1" x14ac:dyDescent="0.25">
      <c r="A45" s="1355"/>
      <c r="B45" s="1381" t="s">
        <v>435</v>
      </c>
      <c r="C45" s="1363">
        <f>3850</f>
        <v>3850</v>
      </c>
      <c r="D45" s="1393">
        <f>3850+70+250</f>
        <v>4170</v>
      </c>
      <c r="E45" s="1961">
        <v>3522</v>
      </c>
      <c r="F45" s="1950">
        <f t="shared" si="2"/>
        <v>84.460431654676256</v>
      </c>
      <c r="G45" s="1862"/>
    </row>
    <row r="46" spans="1:8" ht="15" customHeight="1" x14ac:dyDescent="0.25">
      <c r="A46" s="1355"/>
      <c r="B46" s="1381" t="s">
        <v>1309</v>
      </c>
      <c r="C46" s="1363"/>
      <c r="D46" s="1393">
        <v>2968</v>
      </c>
      <c r="E46" s="1961">
        <v>2968</v>
      </c>
      <c r="F46" s="1950">
        <f t="shared" si="2"/>
        <v>100</v>
      </c>
      <c r="G46" s="1862"/>
    </row>
    <row r="47" spans="1:8" ht="15" customHeight="1" x14ac:dyDescent="0.2">
      <c r="A47" s="1355" t="s">
        <v>210</v>
      </c>
      <c r="B47" s="1383" t="s">
        <v>429</v>
      </c>
      <c r="C47" s="1358">
        <f>SUM(C45)</f>
        <v>3850</v>
      </c>
      <c r="D47" s="1386">
        <f>SUM(D45:D46)</f>
        <v>7138</v>
      </c>
      <c r="E47" s="1359">
        <f>SUM(E45:E46)</f>
        <v>6490</v>
      </c>
      <c r="F47" s="1951">
        <f t="shared" si="2"/>
        <v>90.921826842252727</v>
      </c>
    </row>
    <row r="48" spans="1:8" ht="15" customHeight="1" x14ac:dyDescent="0.25">
      <c r="A48" s="1355"/>
      <c r="B48" s="1381" t="s">
        <v>435</v>
      </c>
      <c r="C48" s="1387">
        <v>1200</v>
      </c>
      <c r="D48" s="1382">
        <f>1200+250</f>
        <v>1450</v>
      </c>
      <c r="E48" s="1360">
        <v>639</v>
      </c>
      <c r="F48" s="1950">
        <f t="shared" si="2"/>
        <v>44.068965517241381</v>
      </c>
      <c r="H48" s="1007"/>
    </row>
    <row r="49" spans="1:12" ht="15" customHeight="1" x14ac:dyDescent="0.25">
      <c r="A49" s="1355"/>
      <c r="B49" s="1381" t="s">
        <v>1315</v>
      </c>
      <c r="C49" s="1387"/>
      <c r="D49" s="1382">
        <f>3312-1000</f>
        <v>2312</v>
      </c>
      <c r="E49" s="1360">
        <v>2250</v>
      </c>
      <c r="F49" s="1950">
        <f t="shared" si="2"/>
        <v>97.318339100346023</v>
      </c>
      <c r="H49" s="1007"/>
    </row>
    <row r="50" spans="1:12" ht="15" customHeight="1" x14ac:dyDescent="0.25">
      <c r="A50" s="1355"/>
      <c r="B50" s="1381" t="s">
        <v>1309</v>
      </c>
      <c r="C50" s="1387"/>
      <c r="D50" s="1382">
        <v>3182</v>
      </c>
      <c r="E50" s="1360">
        <v>3182</v>
      </c>
      <c r="F50" s="1950">
        <f t="shared" si="2"/>
        <v>100</v>
      </c>
      <c r="H50" s="1007"/>
    </row>
    <row r="51" spans="1:12" s="149" customFormat="1" ht="15" customHeight="1" x14ac:dyDescent="0.2">
      <c r="A51" s="1355" t="s">
        <v>202</v>
      </c>
      <c r="B51" s="1383" t="s">
        <v>430</v>
      </c>
      <c r="C51" s="1358">
        <f>SUM(C48:C49)</f>
        <v>1200</v>
      </c>
      <c r="D51" s="1386">
        <f>SUM(D48:D50)</f>
        <v>6944</v>
      </c>
      <c r="E51" s="1359">
        <f>SUM(E48:E50)</f>
        <v>6071</v>
      </c>
      <c r="F51" s="1951">
        <f t="shared" si="2"/>
        <v>87.427995391705068</v>
      </c>
    </row>
    <row r="52" spans="1:12" s="149" customFormat="1" ht="15" customHeight="1" x14ac:dyDescent="0.25">
      <c r="A52" s="1355"/>
      <c r="B52" s="1381" t="s">
        <v>435</v>
      </c>
      <c r="C52" s="1363">
        <v>2690</v>
      </c>
      <c r="D52" s="1393">
        <f>2690</f>
        <v>2690</v>
      </c>
      <c r="E52" s="1961">
        <v>2673</v>
      </c>
      <c r="F52" s="1950">
        <f t="shared" si="2"/>
        <v>99.368029739776958</v>
      </c>
      <c r="G52" s="371"/>
      <c r="H52" s="371"/>
      <c r="I52" s="371"/>
      <c r="J52" s="371"/>
    </row>
    <row r="53" spans="1:12" s="149" customFormat="1" ht="15" customHeight="1" x14ac:dyDescent="0.25">
      <c r="A53" s="1355"/>
      <c r="B53" s="1381" t="s">
        <v>1316</v>
      </c>
      <c r="C53" s="1363"/>
      <c r="D53" s="1393">
        <v>1636</v>
      </c>
      <c r="E53" s="1961">
        <v>1636</v>
      </c>
      <c r="F53" s="1950">
        <f t="shared" si="2"/>
        <v>100</v>
      </c>
      <c r="G53" s="371"/>
      <c r="H53" s="371"/>
      <c r="I53" s="371"/>
      <c r="J53" s="371"/>
    </row>
    <row r="54" spans="1:12" s="149" customFormat="1" ht="15" customHeight="1" x14ac:dyDescent="0.2">
      <c r="A54" s="1355" t="s">
        <v>203</v>
      </c>
      <c r="B54" s="1383" t="s">
        <v>431</v>
      </c>
      <c r="C54" s="1358">
        <f>SUM(C52:C53)</f>
        <v>2690</v>
      </c>
      <c r="D54" s="1386">
        <f>SUM(D52:D53)</f>
        <v>4326</v>
      </c>
      <c r="E54" s="1359">
        <f>SUM(E52:E53)</f>
        <v>4309</v>
      </c>
      <c r="F54" s="1951">
        <f t="shared" si="2"/>
        <v>99.607027276930197</v>
      </c>
      <c r="L54" s="371"/>
    </row>
    <row r="55" spans="1:12" ht="15" customHeight="1" x14ac:dyDescent="0.25">
      <c r="A55" s="1355"/>
      <c r="B55" s="1381" t="s">
        <v>435</v>
      </c>
      <c r="C55" s="1354">
        <v>2085</v>
      </c>
      <c r="D55" s="1385">
        <f>2085+250</f>
        <v>2335</v>
      </c>
      <c r="E55" s="1958">
        <v>1569</v>
      </c>
      <c r="F55" s="1950">
        <f t="shared" si="2"/>
        <v>67.194860813704494</v>
      </c>
      <c r="H55" s="7"/>
    </row>
    <row r="56" spans="1:12" ht="15" customHeight="1" x14ac:dyDescent="0.25">
      <c r="A56" s="1355"/>
      <c r="B56" s="1381" t="s">
        <v>1317</v>
      </c>
      <c r="C56" s="1354"/>
      <c r="D56" s="1385">
        <v>816</v>
      </c>
      <c r="E56" s="1958">
        <v>816</v>
      </c>
      <c r="F56" s="1950">
        <f t="shared" si="2"/>
        <v>100</v>
      </c>
      <c r="H56" s="7"/>
    </row>
    <row r="57" spans="1:12" ht="15" customHeight="1" x14ac:dyDescent="0.2">
      <c r="A57" s="1355" t="s">
        <v>204</v>
      </c>
      <c r="B57" s="1383" t="s">
        <v>432</v>
      </c>
      <c r="C57" s="2195">
        <f>SUM(C55:C56)</f>
        <v>2085</v>
      </c>
      <c r="D57" s="1384">
        <f>SUM(D55:D56)</f>
        <v>3151</v>
      </c>
      <c r="E57" s="1357">
        <f>SUM(E55:E56)</f>
        <v>2385</v>
      </c>
      <c r="F57" s="1951">
        <f t="shared" si="2"/>
        <v>75.690257061250392</v>
      </c>
    </row>
    <row r="58" spans="1:12" ht="15" customHeight="1" x14ac:dyDescent="0.25">
      <c r="A58" s="1355"/>
      <c r="B58" s="1381" t="s">
        <v>435</v>
      </c>
      <c r="C58" s="1354">
        <f>2780</f>
        <v>2780</v>
      </c>
      <c r="D58" s="1385">
        <f>2780+520+250</f>
        <v>3550</v>
      </c>
      <c r="E58" s="1958">
        <v>738</v>
      </c>
      <c r="F58" s="1950">
        <f t="shared" si="2"/>
        <v>20.788732394366196</v>
      </c>
    </row>
    <row r="59" spans="1:12" ht="15" customHeight="1" x14ac:dyDescent="0.25">
      <c r="A59" s="1355"/>
      <c r="B59" s="1381" t="s">
        <v>1318</v>
      </c>
      <c r="C59" s="1354"/>
      <c r="D59" s="1385">
        <f>1520-520</f>
        <v>1000</v>
      </c>
      <c r="E59" s="1958">
        <v>2729</v>
      </c>
      <c r="F59" s="1950">
        <f t="shared" si="2"/>
        <v>272.90000000000003</v>
      </c>
    </row>
    <row r="60" spans="1:12" s="149" customFormat="1" ht="15" customHeight="1" x14ac:dyDescent="0.2">
      <c r="A60" s="1355" t="s">
        <v>205</v>
      </c>
      <c r="B60" s="1383" t="s">
        <v>167</v>
      </c>
      <c r="C60" s="1358">
        <f>SUM(C58:C59)</f>
        <v>2780</v>
      </c>
      <c r="D60" s="1386">
        <f>SUM(D58:D59)</f>
        <v>4550</v>
      </c>
      <c r="E60" s="1359">
        <f>SUM(E58:E59)</f>
        <v>3467</v>
      </c>
      <c r="F60" s="1951">
        <f t="shared" si="2"/>
        <v>76.197802197802204</v>
      </c>
    </row>
    <row r="61" spans="1:12" s="149" customFormat="1" ht="15" customHeight="1" x14ac:dyDescent="0.25">
      <c r="A61" s="1355"/>
      <c r="B61" s="1381" t="s">
        <v>435</v>
      </c>
      <c r="C61" s="1387">
        <v>2883</v>
      </c>
      <c r="D61" s="1382">
        <v>2883</v>
      </c>
      <c r="E61" s="1360">
        <v>2883</v>
      </c>
      <c r="F61" s="1950">
        <f t="shared" si="2"/>
        <v>100</v>
      </c>
    </row>
    <row r="62" spans="1:12" s="149" customFormat="1" ht="15" customHeight="1" x14ac:dyDescent="0.25">
      <c r="A62" s="1355"/>
      <c r="B62" s="1381" t="s">
        <v>1319</v>
      </c>
      <c r="C62" s="1387"/>
      <c r="D62" s="1382">
        <v>2633</v>
      </c>
      <c r="E62" s="1360">
        <v>2633</v>
      </c>
      <c r="F62" s="1950">
        <f t="shared" si="2"/>
        <v>100</v>
      </c>
    </row>
    <row r="63" spans="1:12" s="149" customFormat="1" ht="15" customHeight="1" x14ac:dyDescent="0.2">
      <c r="A63" s="1355" t="s">
        <v>684</v>
      </c>
      <c r="B63" s="1383" t="s">
        <v>1058</v>
      </c>
      <c r="C63" s="1358">
        <f>SUM(C61:C62)</f>
        <v>2883</v>
      </c>
      <c r="D63" s="1386">
        <f>SUM(D61:D62)</f>
        <v>5516</v>
      </c>
      <c r="E63" s="1359">
        <f>SUM(E61:E62)</f>
        <v>5516</v>
      </c>
      <c r="F63" s="1951">
        <f t="shared" si="2"/>
        <v>100</v>
      </c>
    </row>
    <row r="64" spans="1:12" s="149" customFormat="1" ht="15" customHeight="1" thickBot="1" x14ac:dyDescent="0.25">
      <c r="A64" s="1364"/>
      <c r="B64" s="1358"/>
      <c r="C64" s="1358"/>
      <c r="D64" s="1359"/>
      <c r="E64" s="368"/>
      <c r="F64" s="1389"/>
      <c r="I64" s="2209"/>
    </row>
    <row r="65" spans="1:249" ht="30" customHeight="1" thickBot="1" x14ac:dyDescent="0.25">
      <c r="A65" s="1375" t="s">
        <v>116</v>
      </c>
      <c r="B65" s="2021" t="s">
        <v>1170</v>
      </c>
      <c r="C65" s="1367">
        <f>C30+C32+C35+C38+C41+C44+C47+C51+C54+C57+C60+C64+C63</f>
        <v>26008</v>
      </c>
      <c r="D65" s="1368">
        <f>D30+D32+D35+D38+D41+D44+D47+D51+D54+D57+D60+D63</f>
        <v>68443.149999999994</v>
      </c>
      <c r="E65" s="1368">
        <f>E30+E32+E35+E38+E41+E44+E47+E51+E54+E57+E60+E63</f>
        <v>63008.752</v>
      </c>
      <c r="F65" s="1953">
        <f>E65/D65*100</f>
        <v>92.059982627918217</v>
      </c>
      <c r="H65" s="7"/>
      <c r="I65" s="871"/>
      <c r="J65" s="7"/>
      <c r="K65" s="7"/>
      <c r="L65" s="7"/>
    </row>
    <row r="66" spans="1:249" ht="15" customHeight="1" x14ac:dyDescent="0.2">
      <c r="A66" s="1364"/>
      <c r="B66" s="2023"/>
      <c r="C66" s="1369"/>
      <c r="D66" s="1396"/>
      <c r="E66" s="1370"/>
      <c r="F66" s="1374"/>
      <c r="H66" s="7"/>
      <c r="I66" s="871"/>
      <c r="J66" s="7"/>
      <c r="K66" s="7"/>
      <c r="L66" s="7"/>
    </row>
    <row r="67" spans="1:249" s="368" customFormat="1" ht="15" customHeight="1" x14ac:dyDescent="0.25">
      <c r="A67" s="1364"/>
      <c r="B67" s="1381" t="s">
        <v>435</v>
      </c>
      <c r="C67" s="1387">
        <v>1427</v>
      </c>
      <c r="D67" s="1382">
        <f>1427-701</f>
        <v>726</v>
      </c>
      <c r="E67" s="1360">
        <v>726</v>
      </c>
      <c r="F67" s="1950">
        <f t="shared" ref="F67:F77" si="3">E67/D67*100</f>
        <v>100</v>
      </c>
      <c r="G67"/>
      <c r="H67"/>
      <c r="I67" s="542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F67" s="687"/>
      <c r="BH67" s="369"/>
      <c r="BO67" s="687"/>
      <c r="BQ67" s="369"/>
      <c r="BX67" s="687"/>
      <c r="BZ67" s="369"/>
      <c r="CG67" s="687"/>
      <c r="CI67" s="369"/>
      <c r="CP67" s="687"/>
      <c r="CR67" s="369"/>
      <c r="CY67" s="687"/>
      <c r="DA67" s="369"/>
      <c r="DH67" s="687"/>
      <c r="DJ67" s="369"/>
      <c r="DQ67" s="687"/>
      <c r="DS67" s="369"/>
      <c r="DZ67" s="687"/>
      <c r="EB67" s="369"/>
      <c r="EI67" s="687"/>
      <c r="EK67" s="369"/>
      <c r="ER67" s="687"/>
      <c r="ET67" s="369"/>
      <c r="FA67" s="687"/>
      <c r="FC67" s="369"/>
      <c r="FJ67" s="687"/>
      <c r="FL67" s="369"/>
      <c r="FS67" s="687"/>
      <c r="FU67" s="369"/>
      <c r="GB67" s="687"/>
      <c r="GD67" s="369"/>
      <c r="GK67" s="687"/>
      <c r="GM67" s="369"/>
      <c r="GT67" s="687"/>
      <c r="GV67" s="369"/>
      <c r="HC67" s="687"/>
      <c r="HE67" s="369"/>
      <c r="HL67" s="687"/>
      <c r="HN67" s="369"/>
      <c r="HU67" s="687"/>
      <c r="HW67" s="369"/>
      <c r="ID67" s="687"/>
      <c r="IF67" s="369"/>
      <c r="IM67" s="687"/>
      <c r="IO67" s="369"/>
    </row>
    <row r="68" spans="1:249" ht="15" customHeight="1" x14ac:dyDescent="0.2">
      <c r="A68" s="1355" t="s">
        <v>132</v>
      </c>
      <c r="B68" s="1391" t="s">
        <v>1171</v>
      </c>
      <c r="C68" s="1358">
        <f>SUM(C67)</f>
        <v>1427</v>
      </c>
      <c r="D68" s="1386">
        <f>SUM(D67)</f>
        <v>726</v>
      </c>
      <c r="E68" s="1359">
        <f>SUM(E67)</f>
        <v>726</v>
      </c>
      <c r="F68" s="1951">
        <f t="shared" si="3"/>
        <v>100</v>
      </c>
      <c r="I68" s="542"/>
    </row>
    <row r="69" spans="1:249" ht="15" customHeight="1" x14ac:dyDescent="0.25">
      <c r="A69" s="1355"/>
      <c r="B69" s="1381" t="s">
        <v>435</v>
      </c>
      <c r="C69" s="1387">
        <v>2390</v>
      </c>
      <c r="D69" s="1382">
        <v>2390</v>
      </c>
      <c r="E69" s="1360">
        <v>1089</v>
      </c>
      <c r="F69" s="1950">
        <f t="shared" si="3"/>
        <v>45.56485355648536</v>
      </c>
      <c r="I69" s="369"/>
    </row>
    <row r="70" spans="1:249" ht="15" customHeight="1" x14ac:dyDescent="0.2">
      <c r="A70" s="1355" t="s">
        <v>368</v>
      </c>
      <c r="B70" s="1391" t="s">
        <v>656</v>
      </c>
      <c r="C70" s="1358">
        <f>SUM(C69)</f>
        <v>2390</v>
      </c>
      <c r="D70" s="1386">
        <f>SUM(D69)</f>
        <v>2390</v>
      </c>
      <c r="E70" s="1359">
        <f>SUM(E69)</f>
        <v>1089</v>
      </c>
      <c r="F70" s="1951">
        <f t="shared" si="3"/>
        <v>45.56485355648536</v>
      </c>
      <c r="I70" s="368"/>
    </row>
    <row r="71" spans="1:249" ht="15" customHeight="1" x14ac:dyDescent="0.25">
      <c r="A71" s="1355"/>
      <c r="B71" s="1381" t="s">
        <v>435</v>
      </c>
      <c r="C71" s="1387">
        <v>500</v>
      </c>
      <c r="D71" s="1382">
        <f>500+530</f>
        <v>1030</v>
      </c>
      <c r="E71" s="1360">
        <v>1015</v>
      </c>
      <c r="F71" s="1950">
        <f t="shared" si="3"/>
        <v>98.543689320388353</v>
      </c>
      <c r="I71" s="1007"/>
    </row>
    <row r="72" spans="1:249" ht="15" customHeight="1" x14ac:dyDescent="0.2">
      <c r="A72" s="1355" t="s">
        <v>750</v>
      </c>
      <c r="B72" s="1391" t="s">
        <v>672</v>
      </c>
      <c r="C72" s="1358">
        <f>SUM(C71)</f>
        <v>500</v>
      </c>
      <c r="D72" s="1386">
        <f>SUM(D71)</f>
        <v>1030</v>
      </c>
      <c r="E72" s="1359">
        <f>SUM(E71)</f>
        <v>1015</v>
      </c>
      <c r="F72" s="1951">
        <f t="shared" si="3"/>
        <v>98.543689320388353</v>
      </c>
      <c r="I72" s="368"/>
    </row>
    <row r="73" spans="1:249" ht="15" customHeight="1" x14ac:dyDescent="0.25">
      <c r="A73" s="1355"/>
      <c r="B73" s="1381" t="s">
        <v>435</v>
      </c>
      <c r="C73" s="1387">
        <v>500</v>
      </c>
      <c r="D73" s="1382">
        <v>500</v>
      </c>
      <c r="E73" s="1360">
        <v>362</v>
      </c>
      <c r="F73" s="1950">
        <f t="shared" si="3"/>
        <v>72.399999999999991</v>
      </c>
      <c r="I73" s="369"/>
    </row>
    <row r="74" spans="1:249" ht="15" customHeight="1" x14ac:dyDescent="0.2">
      <c r="A74" s="1355" t="s">
        <v>737</v>
      </c>
      <c r="B74" s="1391" t="s">
        <v>433</v>
      </c>
      <c r="C74" s="1358">
        <f>SUM(C73)</f>
        <v>500</v>
      </c>
      <c r="D74" s="1386">
        <f>SUM(D73)</f>
        <v>500</v>
      </c>
      <c r="E74" s="1359">
        <f>SUM(E73)</f>
        <v>362</v>
      </c>
      <c r="F74" s="1951">
        <f t="shared" si="3"/>
        <v>72.399999999999991</v>
      </c>
      <c r="I74" s="368"/>
    </row>
    <row r="75" spans="1:249" ht="15" customHeight="1" x14ac:dyDescent="0.25">
      <c r="A75" s="1355"/>
      <c r="B75" s="1381" t="s">
        <v>435</v>
      </c>
      <c r="C75" s="1387">
        <v>1426</v>
      </c>
      <c r="D75" s="1382">
        <v>1426</v>
      </c>
      <c r="E75" s="1360">
        <v>243</v>
      </c>
      <c r="F75" s="1950">
        <f t="shared" si="3"/>
        <v>17.040673211781208</v>
      </c>
      <c r="I75" s="343"/>
    </row>
    <row r="76" spans="1:249" ht="15" customHeight="1" x14ac:dyDescent="0.25">
      <c r="A76" s="1355"/>
      <c r="B76" s="1381" t="s">
        <v>1320</v>
      </c>
      <c r="C76" s="1387"/>
      <c r="D76" s="1382">
        <v>2500</v>
      </c>
      <c r="E76" s="1360">
        <v>1996</v>
      </c>
      <c r="F76" s="1950">
        <f t="shared" si="3"/>
        <v>79.84</v>
      </c>
      <c r="I76" s="343"/>
    </row>
    <row r="77" spans="1:249" ht="15" customHeight="1" x14ac:dyDescent="0.25">
      <c r="A77" s="1355" t="s">
        <v>201</v>
      </c>
      <c r="B77" s="1391" t="s">
        <v>1172</v>
      </c>
      <c r="C77" s="1358">
        <f>SUM(C75)</f>
        <v>1426</v>
      </c>
      <c r="D77" s="1386">
        <f>SUM(D75:D76)</f>
        <v>3926</v>
      </c>
      <c r="E77" s="1359">
        <f>SUM(E75:E76)</f>
        <v>2239</v>
      </c>
      <c r="F77" s="1951">
        <f t="shared" si="3"/>
        <v>57.030056036678559</v>
      </c>
      <c r="I77" s="2210"/>
      <c r="J77" s="2211"/>
    </row>
    <row r="78" spans="1:249" ht="9" customHeight="1" thickBot="1" x14ac:dyDescent="0.25">
      <c r="A78" s="1366"/>
      <c r="B78" s="1356"/>
      <c r="C78" s="2195"/>
      <c r="D78" s="1384"/>
      <c r="E78" s="1357"/>
      <c r="F78" s="1394"/>
      <c r="I78" s="542"/>
    </row>
    <row r="79" spans="1:249" ht="30" customHeight="1" thickBot="1" x14ac:dyDescent="0.25">
      <c r="A79" s="1375" t="s">
        <v>117</v>
      </c>
      <c r="B79" s="2232" t="s">
        <v>1348</v>
      </c>
      <c r="C79" s="1367">
        <f>C68+C70+C72+C74+C77</f>
        <v>6243</v>
      </c>
      <c r="D79" s="1395">
        <f>D68+D70+D72+D74+D77</f>
        <v>8572</v>
      </c>
      <c r="E79" s="1395">
        <f>E68+E70+E72+E74+E77</f>
        <v>5431</v>
      </c>
      <c r="F79" s="1953">
        <f>E79/D79*100</f>
        <v>63.357442837144198</v>
      </c>
      <c r="I79" s="542"/>
    </row>
    <row r="80" spans="1:249" ht="11.25" customHeight="1" x14ac:dyDescent="0.25">
      <c r="A80" s="1364"/>
      <c r="B80" s="1381"/>
      <c r="C80" s="1387"/>
      <c r="D80" s="1360"/>
      <c r="E80" s="1007"/>
      <c r="F80" s="1392"/>
      <c r="I80" s="542"/>
    </row>
    <row r="81" spans="1:9" ht="17.25" customHeight="1" x14ac:dyDescent="0.25">
      <c r="A81" s="1364"/>
      <c r="B81" s="1381" t="s">
        <v>1173</v>
      </c>
      <c r="C81" s="1387">
        <f>1500</f>
        <v>1500</v>
      </c>
      <c r="D81" s="1382">
        <v>1202</v>
      </c>
      <c r="E81" s="1360">
        <v>1202</v>
      </c>
      <c r="F81" s="1950">
        <f t="shared" ref="F81:F94" si="4">E81/D81*100</f>
        <v>100</v>
      </c>
      <c r="I81" s="871"/>
    </row>
    <row r="82" spans="1:9" ht="17.25" customHeight="1" x14ac:dyDescent="0.25">
      <c r="A82" s="1364"/>
      <c r="B82" s="1381" t="s">
        <v>1174</v>
      </c>
      <c r="C82" s="1387">
        <v>3000</v>
      </c>
      <c r="D82" s="1382">
        <f>731+1982</f>
        <v>2713</v>
      </c>
      <c r="E82" s="1360">
        <v>2713</v>
      </c>
      <c r="F82" s="1950">
        <f t="shared" si="4"/>
        <v>100</v>
      </c>
      <c r="I82" s="871"/>
    </row>
    <row r="83" spans="1:9" ht="17.25" customHeight="1" x14ac:dyDescent="0.25">
      <c r="A83" s="1364"/>
      <c r="B83" s="1381" t="s">
        <v>1321</v>
      </c>
      <c r="C83" s="1387">
        <v>5000</v>
      </c>
      <c r="D83" s="1382">
        <v>2196</v>
      </c>
      <c r="E83" s="1360">
        <v>2196</v>
      </c>
      <c r="F83" s="1950">
        <f t="shared" si="4"/>
        <v>100</v>
      </c>
      <c r="I83" s="871"/>
    </row>
    <row r="84" spans="1:9" ht="17.25" customHeight="1" x14ac:dyDescent="0.25">
      <c r="A84" s="1364"/>
      <c r="B84" s="1381" t="s">
        <v>1322</v>
      </c>
      <c r="C84" s="1387">
        <v>4500</v>
      </c>
      <c r="D84" s="1382">
        <v>4498</v>
      </c>
      <c r="E84" s="1360">
        <v>4498</v>
      </c>
      <c r="F84" s="1950">
        <f t="shared" si="4"/>
        <v>100</v>
      </c>
      <c r="I84" s="871"/>
    </row>
    <row r="85" spans="1:9" ht="17.25" customHeight="1" x14ac:dyDescent="0.25">
      <c r="A85" s="1364"/>
      <c r="B85" s="1381" t="s">
        <v>1323</v>
      </c>
      <c r="C85" s="1387">
        <v>3800</v>
      </c>
      <c r="D85" s="1382">
        <v>3397</v>
      </c>
      <c r="E85" s="1360">
        <v>3397</v>
      </c>
      <c r="F85" s="1950">
        <f t="shared" si="4"/>
        <v>100</v>
      </c>
      <c r="I85" s="871"/>
    </row>
    <row r="86" spans="1:9" ht="17.25" customHeight="1" x14ac:dyDescent="0.25">
      <c r="A86" s="1364"/>
      <c r="B86" s="1381" t="s">
        <v>1324</v>
      </c>
      <c r="C86" s="1387">
        <v>650</v>
      </c>
      <c r="D86" s="1382"/>
      <c r="E86" s="1360"/>
      <c r="F86" s="1950"/>
      <c r="I86" s="871"/>
    </row>
    <row r="87" spans="1:9" ht="17.25" customHeight="1" x14ac:dyDescent="0.25">
      <c r="A87" s="1364"/>
      <c r="B87" s="1381" t="s">
        <v>1325</v>
      </c>
      <c r="C87" s="1387">
        <v>1950</v>
      </c>
      <c r="D87" s="1382">
        <v>2060</v>
      </c>
      <c r="E87" s="1360">
        <v>2060</v>
      </c>
      <c r="F87" s="1950">
        <f t="shared" si="4"/>
        <v>100</v>
      </c>
      <c r="I87" s="871"/>
    </row>
    <row r="88" spans="1:9" ht="17.25" customHeight="1" x14ac:dyDescent="0.25">
      <c r="A88" s="1364"/>
      <c r="B88" s="1381" t="s">
        <v>1326</v>
      </c>
      <c r="C88" s="1387">
        <v>2300</v>
      </c>
      <c r="D88" s="1382">
        <v>483</v>
      </c>
      <c r="E88" s="1360">
        <v>483</v>
      </c>
      <c r="F88" s="1950">
        <f t="shared" si="4"/>
        <v>100</v>
      </c>
      <c r="I88" s="871"/>
    </row>
    <row r="89" spans="1:9" ht="17.25" customHeight="1" x14ac:dyDescent="0.25">
      <c r="A89" s="1364"/>
      <c r="B89" s="1381" t="s">
        <v>1327</v>
      </c>
      <c r="C89" s="1387">
        <v>800</v>
      </c>
      <c r="D89" s="1382"/>
      <c r="E89" s="1360"/>
      <c r="F89" s="1950"/>
      <c r="I89" s="871"/>
    </row>
    <row r="90" spans="1:9" ht="17.25" customHeight="1" x14ac:dyDescent="0.25">
      <c r="A90" s="1364"/>
      <c r="B90" s="1381" t="s">
        <v>1328</v>
      </c>
      <c r="C90" s="1387"/>
      <c r="D90" s="1382">
        <v>7139</v>
      </c>
      <c r="E90" s="1360">
        <v>7139</v>
      </c>
      <c r="F90" s="1950">
        <f t="shared" si="4"/>
        <v>100</v>
      </c>
      <c r="I90" s="871"/>
    </row>
    <row r="91" spans="1:9" ht="17.25" customHeight="1" x14ac:dyDescent="0.25">
      <c r="A91" s="1364"/>
      <c r="B91" s="1381" t="s">
        <v>1329</v>
      </c>
      <c r="C91" s="1387"/>
      <c r="D91" s="1382">
        <v>843</v>
      </c>
      <c r="E91" s="1360">
        <v>843</v>
      </c>
      <c r="F91" s="1950">
        <f t="shared" si="4"/>
        <v>100</v>
      </c>
      <c r="I91" s="871"/>
    </row>
    <row r="92" spans="1:9" ht="17.25" customHeight="1" x14ac:dyDescent="0.25">
      <c r="A92" s="1364"/>
      <c r="B92" s="1381" t="s">
        <v>1330</v>
      </c>
      <c r="C92" s="1387"/>
      <c r="D92" s="1382">
        <v>5217</v>
      </c>
      <c r="E92" s="1360">
        <v>5217</v>
      </c>
      <c r="F92" s="1950">
        <f t="shared" si="4"/>
        <v>100</v>
      </c>
      <c r="I92" s="871"/>
    </row>
    <row r="93" spans="1:9" ht="17.25" customHeight="1" x14ac:dyDescent="0.25">
      <c r="A93" s="1364"/>
      <c r="B93" s="1381" t="s">
        <v>1331</v>
      </c>
      <c r="C93" s="1387"/>
      <c r="D93" s="1524">
        <v>1291</v>
      </c>
      <c r="E93" s="1360">
        <v>1291</v>
      </c>
      <c r="F93" s="1950">
        <f t="shared" si="4"/>
        <v>100</v>
      </c>
      <c r="I93" s="871"/>
    </row>
    <row r="94" spans="1:9" ht="17.25" customHeight="1" thickBot="1" x14ac:dyDescent="0.3">
      <c r="A94" s="1364"/>
      <c r="B94" s="1381" t="s">
        <v>1350</v>
      </c>
      <c r="C94" s="1387"/>
      <c r="D94" s="1524">
        <v>5403</v>
      </c>
      <c r="E94" s="1360">
        <v>5403</v>
      </c>
      <c r="F94" s="1950">
        <f t="shared" si="4"/>
        <v>100</v>
      </c>
      <c r="I94" s="871"/>
    </row>
    <row r="95" spans="1:9" ht="30" customHeight="1" thickBot="1" x14ac:dyDescent="0.25">
      <c r="A95" s="1375" t="s">
        <v>118</v>
      </c>
      <c r="B95" s="1376" t="s">
        <v>1045</v>
      </c>
      <c r="C95" s="1362">
        <f>SUM(C81:C92)</f>
        <v>23500</v>
      </c>
      <c r="D95" s="2212">
        <f>SUM(D81:D94)</f>
        <v>36442</v>
      </c>
      <c r="E95" s="1962">
        <f>SUM(E81:E94)</f>
        <v>36442</v>
      </c>
      <c r="F95" s="1953">
        <f>E95/D95*100</f>
        <v>100</v>
      </c>
      <c r="I95" s="7"/>
    </row>
    <row r="96" spans="1:9" ht="15" customHeight="1" thickBot="1" x14ac:dyDescent="0.25">
      <c r="A96" s="1355"/>
      <c r="B96" s="1391"/>
      <c r="C96" s="1369"/>
      <c r="D96" s="1370"/>
      <c r="E96" s="2213"/>
      <c r="F96" s="2024"/>
      <c r="H96" s="7"/>
    </row>
    <row r="97" spans="1:10" ht="30" customHeight="1" thickBot="1" x14ac:dyDescent="0.25">
      <c r="A97" s="1372" t="s">
        <v>9</v>
      </c>
      <c r="B97" s="2232" t="s">
        <v>1349</v>
      </c>
      <c r="C97" s="1362">
        <f>C26+C65+C79+C95</f>
        <v>64019</v>
      </c>
      <c r="D97" s="1962">
        <f>D26+D65+D79+D95-1</f>
        <v>131275.15</v>
      </c>
      <c r="E97" s="1962">
        <f>E26+E65+E79+E95</f>
        <v>122302.75200000001</v>
      </c>
      <c r="F97" s="1953">
        <f>E97/D97*100</f>
        <v>93.165196916552759</v>
      </c>
      <c r="H97" s="7"/>
      <c r="I97" s="7"/>
      <c r="J97" s="7"/>
    </row>
    <row r="98" spans="1:10" ht="16.5" customHeight="1" x14ac:dyDescent="0.2">
      <c r="A98" s="1355"/>
      <c r="B98" s="1952"/>
      <c r="C98" s="1387"/>
      <c r="D98" s="1360"/>
      <c r="E98" s="1007"/>
      <c r="F98" s="1392"/>
      <c r="H98" s="7"/>
      <c r="J98" s="7"/>
    </row>
    <row r="99" spans="1:10" ht="16.5" customHeight="1" x14ac:dyDescent="0.2">
      <c r="A99" s="1355"/>
      <c r="B99" s="1952" t="s">
        <v>1133</v>
      </c>
      <c r="C99" s="1387">
        <v>2000</v>
      </c>
      <c r="D99" s="1382">
        <f>2000+5308+3438.826+979.341+452.772-285-316</f>
        <v>11577.939000000002</v>
      </c>
      <c r="E99" s="1360">
        <v>11378</v>
      </c>
      <c r="F99" s="1954">
        <f>E99/D99*100</f>
        <v>98.273103701790092</v>
      </c>
      <c r="H99" s="7"/>
      <c r="J99" s="7"/>
    </row>
    <row r="100" spans="1:10" ht="16.5" customHeight="1" x14ac:dyDescent="0.2">
      <c r="A100" s="1355"/>
      <c r="B100" s="1952" t="s">
        <v>1332</v>
      </c>
      <c r="C100" s="1387"/>
      <c r="D100" s="1382">
        <v>285</v>
      </c>
      <c r="E100" s="1360">
        <v>285</v>
      </c>
      <c r="F100" s="1954">
        <f t="shared" ref="F100:F110" si="5">E100/D100*100</f>
        <v>100</v>
      </c>
      <c r="H100" s="7"/>
      <c r="J100" s="7"/>
    </row>
    <row r="101" spans="1:10" ht="16.5" customHeight="1" x14ac:dyDescent="0.2">
      <c r="A101" s="1355"/>
      <c r="B101" s="1952" t="s">
        <v>1333</v>
      </c>
      <c r="C101" s="1387"/>
      <c r="D101" s="1382">
        <v>316</v>
      </c>
      <c r="E101" s="1360">
        <v>316</v>
      </c>
      <c r="F101" s="1954">
        <f t="shared" si="5"/>
        <v>100</v>
      </c>
      <c r="H101" s="7"/>
      <c r="J101" s="7"/>
    </row>
    <row r="102" spans="1:10" ht="16.5" customHeight="1" x14ac:dyDescent="0.2">
      <c r="A102" s="1355"/>
      <c r="B102" s="1952" t="s">
        <v>1334</v>
      </c>
      <c r="C102" s="1369"/>
      <c r="D102" s="1382">
        <v>4275</v>
      </c>
      <c r="E102" s="1360">
        <v>4185</v>
      </c>
      <c r="F102" s="1954">
        <f t="shared" si="5"/>
        <v>97.894736842105274</v>
      </c>
      <c r="H102" s="7"/>
      <c r="J102" s="7"/>
    </row>
    <row r="103" spans="1:10" ht="16.5" customHeight="1" x14ac:dyDescent="0.2">
      <c r="A103" s="1355"/>
      <c r="B103" s="1952" t="s">
        <v>1335</v>
      </c>
      <c r="C103" s="1369"/>
      <c r="D103" s="1382">
        <v>1048</v>
      </c>
      <c r="E103" s="1360">
        <v>1048</v>
      </c>
      <c r="F103" s="1954">
        <f t="shared" si="5"/>
        <v>100</v>
      </c>
      <c r="H103" s="7"/>
      <c r="J103" s="7"/>
    </row>
    <row r="104" spans="1:10" ht="16.5" customHeight="1" x14ac:dyDescent="0.2">
      <c r="A104" s="1355"/>
      <c r="B104" s="1952" t="s">
        <v>1175</v>
      </c>
      <c r="C104" s="1369"/>
      <c r="D104" s="1382">
        <v>9728</v>
      </c>
      <c r="E104" s="1360">
        <v>9728</v>
      </c>
      <c r="F104" s="1954">
        <f t="shared" si="5"/>
        <v>100</v>
      </c>
      <c r="H104" s="7"/>
      <c r="J104" s="7"/>
    </row>
    <row r="105" spans="1:10" ht="16.5" customHeight="1" x14ac:dyDescent="0.2">
      <c r="A105" s="1355"/>
      <c r="B105" s="1952" t="s">
        <v>1336</v>
      </c>
      <c r="C105" s="1369"/>
      <c r="D105" s="1382">
        <v>189</v>
      </c>
      <c r="E105" s="1360">
        <v>189</v>
      </c>
      <c r="F105" s="1954">
        <f t="shared" si="5"/>
        <v>100</v>
      </c>
      <c r="H105" s="7"/>
      <c r="J105" s="7"/>
    </row>
    <row r="106" spans="1:10" ht="16.5" customHeight="1" x14ac:dyDescent="0.2">
      <c r="A106" s="1355"/>
      <c r="B106" s="1952" t="s">
        <v>1337</v>
      </c>
      <c r="C106" s="1369"/>
      <c r="D106" s="1382">
        <v>1288</v>
      </c>
      <c r="E106" s="1360">
        <v>1288</v>
      </c>
      <c r="F106" s="1954">
        <f t="shared" si="5"/>
        <v>100</v>
      </c>
      <c r="H106" s="7"/>
      <c r="J106" s="7"/>
    </row>
    <row r="107" spans="1:10" ht="16.5" customHeight="1" x14ac:dyDescent="0.2">
      <c r="A107" s="1355"/>
      <c r="B107" s="1952" t="s">
        <v>1338</v>
      </c>
      <c r="C107" s="1369"/>
      <c r="D107" s="1382">
        <v>10000</v>
      </c>
      <c r="E107" s="1360">
        <v>10000</v>
      </c>
      <c r="F107" s="1954">
        <f t="shared" si="5"/>
        <v>100</v>
      </c>
      <c r="H107" s="7"/>
      <c r="J107" s="7"/>
    </row>
    <row r="108" spans="1:10" ht="16.5" customHeight="1" x14ac:dyDescent="0.2">
      <c r="A108" s="1355"/>
      <c r="B108" s="1952" t="s">
        <v>1339</v>
      </c>
      <c r="C108" s="1369"/>
      <c r="D108" s="1382">
        <f>8107+13</f>
        <v>8120</v>
      </c>
      <c r="E108" s="1360">
        <v>8060</v>
      </c>
      <c r="F108" s="1954">
        <f t="shared" si="5"/>
        <v>99.261083743842363</v>
      </c>
      <c r="H108" s="7"/>
      <c r="J108" s="7"/>
    </row>
    <row r="109" spans="1:10" ht="16.5" customHeight="1" x14ac:dyDescent="0.2">
      <c r="A109" s="1355"/>
      <c r="B109" s="1952" t="s">
        <v>1340</v>
      </c>
      <c r="C109" s="1369"/>
      <c r="D109" s="1382">
        <v>324</v>
      </c>
      <c r="E109" s="1360">
        <v>324</v>
      </c>
      <c r="F109" s="1954">
        <f t="shared" si="5"/>
        <v>100</v>
      </c>
      <c r="H109" s="7"/>
      <c r="J109" s="7"/>
    </row>
    <row r="110" spans="1:10" ht="16.5" customHeight="1" x14ac:dyDescent="0.2">
      <c r="A110" s="1355"/>
      <c r="B110" s="1952" t="s">
        <v>1341</v>
      </c>
      <c r="C110" s="1369"/>
      <c r="D110" s="1382">
        <v>268</v>
      </c>
      <c r="E110" s="1360">
        <v>268</v>
      </c>
      <c r="F110" s="1954">
        <f t="shared" si="5"/>
        <v>100</v>
      </c>
      <c r="H110" s="7"/>
      <c r="J110" s="7"/>
    </row>
    <row r="111" spans="1:10" ht="16.5" customHeight="1" thickBot="1" x14ac:dyDescent="0.25">
      <c r="A111" s="1355"/>
      <c r="B111" s="1952" t="s">
        <v>1342</v>
      </c>
      <c r="C111" s="1369"/>
      <c r="D111" s="1382">
        <v>31534</v>
      </c>
      <c r="E111" s="1360"/>
      <c r="F111" s="1954"/>
      <c r="H111" s="2214"/>
      <c r="J111" s="7"/>
    </row>
    <row r="112" spans="1:10" ht="30" customHeight="1" thickBot="1" x14ac:dyDescent="0.25">
      <c r="A112" s="1371" t="s">
        <v>380</v>
      </c>
      <c r="B112" s="2215" t="s">
        <v>218</v>
      </c>
      <c r="C112" s="1362">
        <f>SUM(C98:C106)</f>
        <v>2000</v>
      </c>
      <c r="D112" s="2212">
        <f>SUM(D99:D111)</f>
        <v>78952.938999999998</v>
      </c>
      <c r="E112" s="2212">
        <f>SUM(E99:E111)</f>
        <v>47069</v>
      </c>
      <c r="F112" s="1868">
        <f>E112/D112*100</f>
        <v>59.616526751461393</v>
      </c>
      <c r="H112" s="2214"/>
    </row>
    <row r="113" spans="1:9" ht="15" customHeight="1" thickBot="1" x14ac:dyDescent="0.25">
      <c r="A113" s="1355"/>
      <c r="B113" s="1391"/>
      <c r="C113" s="1369"/>
      <c r="D113" s="1370"/>
      <c r="E113" s="2213"/>
      <c r="F113" s="1374"/>
      <c r="H113" s="7"/>
    </row>
    <row r="114" spans="1:9" ht="35.25" customHeight="1" thickBot="1" x14ac:dyDescent="0.25">
      <c r="A114" s="1375"/>
      <c r="B114" s="1376" t="s">
        <v>434</v>
      </c>
      <c r="C114" s="1376">
        <f>'15_ Önk+PH_beruh '!C225+'15_ Önk+PH_beruh '!C262+C97+C112</f>
        <v>2099857</v>
      </c>
      <c r="D114" s="1377">
        <f>'15_ Önk+PH_beruh '!D225+'15_ Önk+PH_beruh '!D262+D97+D112</f>
        <v>5140973.7</v>
      </c>
      <c r="E114" s="2216">
        <f>'15_ Önk+PH_beruh '!E225+'15_ Önk+PH_beruh '!E262+E97+E112</f>
        <v>3313894.11</v>
      </c>
      <c r="F114" s="1868">
        <f>E114/D114*100</f>
        <v>64.46043694018509</v>
      </c>
      <c r="G114" s="2219">
        <f>'4.tábla'!DS32-C114</f>
        <v>0</v>
      </c>
      <c r="H114" s="2219">
        <f>'4.tábla'!DT32-D114</f>
        <v>0</v>
      </c>
      <c r="I114" s="2219">
        <f>'4.tábla'!DU32-E114</f>
        <v>0</v>
      </c>
    </row>
    <row r="115" spans="1:9" hidden="1" x14ac:dyDescent="0.2">
      <c r="C115" s="7">
        <v>2099857</v>
      </c>
      <c r="D115" s="7"/>
      <c r="E115" s="7"/>
      <c r="F115" s="2217"/>
    </row>
    <row r="116" spans="1:9" x14ac:dyDescent="0.2">
      <c r="F116" s="371"/>
    </row>
  </sheetData>
  <mergeCells count="1">
    <mergeCell ref="A3:F3"/>
  </mergeCells>
  <printOptions horizontalCentered="1"/>
  <pageMargins left="0.19685039370078741" right="0" top="0.55118110236220474" bottom="0.51181102362204722" header="0.23622047244094491" footer="0.15748031496062992"/>
  <pageSetup paperSize="9" scale="80" firstPageNumber="0" orientation="portrait" horizontalDpi="300" verticalDpi="300" r:id="rId1"/>
  <headerFooter alignWithMargins="0">
    <oddFooter>&amp;C15. tábla &amp;P+3.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F2" sqref="F2"/>
    </sheetView>
  </sheetViews>
  <sheetFormatPr defaultRowHeight="12.75" x14ac:dyDescent="0.2"/>
  <cols>
    <col min="1" max="1" width="5.7109375" style="726" customWidth="1"/>
    <col min="2" max="2" width="55.7109375" style="726" customWidth="1"/>
    <col min="3" max="6" width="10.85546875" style="726" customWidth="1"/>
    <col min="7" max="7" width="10.140625" style="726" customWidth="1"/>
    <col min="8" max="8" width="11.140625" style="726" customWidth="1"/>
    <col min="9" max="16384" width="9.140625" style="726"/>
  </cols>
  <sheetData>
    <row r="1" spans="1:6" x14ac:dyDescent="0.2">
      <c r="F1" s="6"/>
    </row>
    <row r="2" spans="1:6" x14ac:dyDescent="0.2">
      <c r="F2" s="530" t="s">
        <v>1282</v>
      </c>
    </row>
    <row r="3" spans="1:6" x14ac:dyDescent="0.2">
      <c r="F3" s="531" t="s">
        <v>57</v>
      </c>
    </row>
    <row r="4" spans="1:6" hidden="1" x14ac:dyDescent="0.2">
      <c r="F4" s="145" t="s">
        <v>76</v>
      </c>
    </row>
    <row r="5" spans="1:6" x14ac:dyDescent="0.2">
      <c r="F5" s="35"/>
    </row>
    <row r="6" spans="1:6" x14ac:dyDescent="0.2">
      <c r="A6" s="2360" t="s">
        <v>669</v>
      </c>
      <c r="B6" s="2360"/>
      <c r="C6" s="2360"/>
      <c r="D6" s="2360"/>
      <c r="E6" s="2360"/>
      <c r="F6" s="2360"/>
    </row>
    <row r="7" spans="1:6" x14ac:dyDescent="0.2">
      <c r="A7" s="2360" t="s">
        <v>1283</v>
      </c>
      <c r="B7" s="2360"/>
      <c r="C7" s="2360"/>
      <c r="D7" s="2360"/>
      <c r="E7" s="2360"/>
      <c r="F7" s="2360"/>
    </row>
    <row r="8" spans="1:6" x14ac:dyDescent="0.2">
      <c r="A8" s="2361" t="s">
        <v>58</v>
      </c>
      <c r="B8" s="2361"/>
      <c r="C8" s="2361"/>
      <c r="D8" s="2361"/>
      <c r="E8" s="2361"/>
      <c r="F8" s="2361"/>
    </row>
    <row r="10" spans="1:6" ht="13.5" thickBot="1" x14ac:dyDescent="0.25"/>
    <row r="11" spans="1:6" ht="13.5" thickBot="1" x14ac:dyDescent="0.25">
      <c r="A11" s="2358" t="s">
        <v>646</v>
      </c>
      <c r="B11" s="2359" t="s">
        <v>133</v>
      </c>
      <c r="C11" s="723" t="s">
        <v>1284</v>
      </c>
      <c r="D11" s="724"/>
      <c r="E11" s="724"/>
      <c r="F11" s="725" t="s">
        <v>1284</v>
      </c>
    </row>
    <row r="12" spans="1:6" ht="13.5" thickBot="1" x14ac:dyDescent="0.25">
      <c r="A12" s="2358"/>
      <c r="B12" s="2359"/>
      <c r="C12" s="727" t="s">
        <v>38</v>
      </c>
      <c r="D12" s="728" t="s">
        <v>647</v>
      </c>
      <c r="E12" s="728" t="s">
        <v>648</v>
      </c>
      <c r="F12" s="729" t="s">
        <v>333</v>
      </c>
    </row>
    <row r="13" spans="1:6" x14ac:dyDescent="0.2">
      <c r="A13" s="2358"/>
      <c r="B13" s="2359"/>
      <c r="C13" s="730" t="s">
        <v>8</v>
      </c>
      <c r="D13" s="731"/>
      <c r="E13" s="731"/>
      <c r="F13" s="732" t="s">
        <v>649</v>
      </c>
    </row>
    <row r="14" spans="1:6" x14ac:dyDescent="0.2">
      <c r="A14" s="733">
        <v>1</v>
      </c>
      <c r="B14" s="734">
        <v>2</v>
      </c>
      <c r="C14" s="2009">
        <v>3</v>
      </c>
      <c r="D14" s="735">
        <v>4</v>
      </c>
      <c r="E14" s="735">
        <v>5</v>
      </c>
      <c r="F14" s="1065">
        <v>6</v>
      </c>
    </row>
    <row r="15" spans="1:6" x14ac:dyDescent="0.2">
      <c r="A15" s="736"/>
      <c r="B15" s="737"/>
      <c r="C15" s="737"/>
      <c r="D15" s="738"/>
      <c r="E15" s="738"/>
      <c r="F15" s="739"/>
    </row>
    <row r="16" spans="1:6" x14ac:dyDescent="0.2">
      <c r="A16" s="736" t="s">
        <v>134</v>
      </c>
      <c r="B16" s="737" t="s">
        <v>135</v>
      </c>
      <c r="C16" s="737"/>
      <c r="D16" s="738"/>
      <c r="E16" s="738"/>
      <c r="F16" s="739"/>
    </row>
    <row r="17" spans="1:6" x14ac:dyDescent="0.2">
      <c r="A17" s="736"/>
      <c r="B17" s="737"/>
      <c r="C17" s="737"/>
      <c r="D17" s="738"/>
      <c r="E17" s="738"/>
      <c r="F17" s="739"/>
    </row>
    <row r="18" spans="1:6" x14ac:dyDescent="0.2">
      <c r="A18" s="736"/>
      <c r="B18" s="737"/>
      <c r="C18" s="737"/>
      <c r="D18" s="738"/>
      <c r="E18" s="738"/>
      <c r="F18" s="739"/>
    </row>
    <row r="19" spans="1:6" x14ac:dyDescent="0.2">
      <c r="A19" s="736">
        <v>1</v>
      </c>
      <c r="B19" s="737" t="s">
        <v>747</v>
      </c>
      <c r="C19" s="740">
        <v>5000</v>
      </c>
      <c r="D19" s="741">
        <v>2000</v>
      </c>
      <c r="E19" s="741">
        <v>5006</v>
      </c>
      <c r="F19" s="742">
        <f t="shared" ref="F19:F26" si="0">C19+D19-E19</f>
        <v>1994</v>
      </c>
    </row>
    <row r="20" spans="1:6" x14ac:dyDescent="0.2">
      <c r="A20" s="736">
        <v>2</v>
      </c>
      <c r="B20" s="737" t="s">
        <v>71</v>
      </c>
      <c r="C20" s="740">
        <v>3000</v>
      </c>
      <c r="D20" s="741">
        <v>600</v>
      </c>
      <c r="E20" s="741">
        <v>1756</v>
      </c>
      <c r="F20" s="742">
        <f t="shared" si="0"/>
        <v>1844</v>
      </c>
    </row>
    <row r="21" spans="1:6" x14ac:dyDescent="0.2">
      <c r="A21" s="736">
        <v>3</v>
      </c>
      <c r="B21" s="743" t="s">
        <v>744</v>
      </c>
      <c r="C21" s="744">
        <v>5000</v>
      </c>
      <c r="D21" s="745"/>
      <c r="E21" s="745">
        <v>5000</v>
      </c>
      <c r="F21" s="742">
        <f t="shared" si="0"/>
        <v>0</v>
      </c>
    </row>
    <row r="22" spans="1:6" x14ac:dyDescent="0.2">
      <c r="A22" s="736">
        <v>4</v>
      </c>
      <c r="B22" s="746" t="s">
        <v>191</v>
      </c>
      <c r="C22" s="744">
        <v>15000</v>
      </c>
      <c r="D22" s="745"/>
      <c r="E22" s="745"/>
      <c r="F22" s="742">
        <f t="shared" si="0"/>
        <v>15000</v>
      </c>
    </row>
    <row r="23" spans="1:6" x14ac:dyDescent="0.2">
      <c r="A23" s="736">
        <v>5</v>
      </c>
      <c r="B23" s="737" t="s">
        <v>26</v>
      </c>
      <c r="C23" s="740">
        <v>2000</v>
      </c>
      <c r="D23" s="741"/>
      <c r="E23" s="741">
        <v>1989</v>
      </c>
      <c r="F23" s="742">
        <f t="shared" si="0"/>
        <v>11</v>
      </c>
    </row>
    <row r="24" spans="1:6" x14ac:dyDescent="0.2">
      <c r="A24" s="736">
        <v>6</v>
      </c>
      <c r="B24" s="743" t="s">
        <v>334</v>
      </c>
      <c r="C24" s="744">
        <v>45000</v>
      </c>
      <c r="D24" s="745"/>
      <c r="E24" s="745">
        <v>6775</v>
      </c>
      <c r="F24" s="742">
        <f t="shared" si="0"/>
        <v>38225</v>
      </c>
    </row>
    <row r="25" spans="1:6" x14ac:dyDescent="0.2">
      <c r="A25" s="736">
        <v>7</v>
      </c>
      <c r="B25" s="743" t="s">
        <v>27</v>
      </c>
      <c r="C25" s="744">
        <v>0</v>
      </c>
      <c r="D25" s="745"/>
      <c r="E25" s="745">
        <v>0</v>
      </c>
      <c r="F25" s="742">
        <f t="shared" si="0"/>
        <v>0</v>
      </c>
    </row>
    <row r="26" spans="1:6" x14ac:dyDescent="0.2">
      <c r="A26" s="736">
        <v>8</v>
      </c>
      <c r="B26" s="747" t="s">
        <v>174</v>
      </c>
      <c r="C26" s="744">
        <v>0</v>
      </c>
      <c r="D26" s="745">
        <v>255834.00799999997</v>
      </c>
      <c r="E26" s="745">
        <v>25777.260999999999</v>
      </c>
      <c r="F26" s="742">
        <f t="shared" si="0"/>
        <v>230056.74699999997</v>
      </c>
    </row>
    <row r="27" spans="1:6" x14ac:dyDescent="0.2">
      <c r="A27" s="736"/>
      <c r="B27" s="743"/>
      <c r="C27" s="744"/>
      <c r="D27" s="745"/>
      <c r="E27" s="745"/>
      <c r="F27" s="739"/>
    </row>
    <row r="28" spans="1:6" ht="13.5" x14ac:dyDescent="0.2">
      <c r="A28" s="748" t="s">
        <v>134</v>
      </c>
      <c r="B28" s="749" t="s">
        <v>131</v>
      </c>
      <c r="C28" s="750">
        <f>SUM(C19:C27)</f>
        <v>75000</v>
      </c>
      <c r="D28" s="751">
        <f>SUM(D19:D27)</f>
        <v>258434.00799999997</v>
      </c>
      <c r="E28" s="751">
        <f>SUM(E19:E27)</f>
        <v>46303.260999999999</v>
      </c>
      <c r="F28" s="752">
        <f>SUM(F19:F27)</f>
        <v>287130.74699999997</v>
      </c>
    </row>
    <row r="29" spans="1:6" x14ac:dyDescent="0.2">
      <c r="A29" s="753"/>
      <c r="B29" s="754"/>
      <c r="C29" s="755"/>
      <c r="D29" s="756"/>
      <c r="E29" s="756"/>
      <c r="F29" s="757"/>
    </row>
    <row r="30" spans="1:6" x14ac:dyDescent="0.2">
      <c r="A30" s="758" t="s">
        <v>306</v>
      </c>
      <c r="B30" s="737" t="s">
        <v>363</v>
      </c>
      <c r="C30" s="740"/>
      <c r="D30" s="741"/>
      <c r="E30" s="741"/>
      <c r="F30" s="742"/>
    </row>
    <row r="31" spans="1:6" x14ac:dyDescent="0.2">
      <c r="A31" s="736"/>
      <c r="B31" s="737"/>
      <c r="C31" s="740"/>
      <c r="D31" s="741"/>
      <c r="E31" s="741"/>
      <c r="F31" s="739"/>
    </row>
    <row r="32" spans="1:6" x14ac:dyDescent="0.2">
      <c r="A32" s="759" t="s">
        <v>132</v>
      </c>
      <c r="B32" s="760" t="s">
        <v>688</v>
      </c>
      <c r="C32" s="762">
        <f>SUM(C34:C37)</f>
        <v>158695</v>
      </c>
      <c r="D32" s="761">
        <f>SUM(D34:D37)</f>
        <v>70000</v>
      </c>
      <c r="E32" s="761">
        <f>SUM(E34:E37)</f>
        <v>122565.88400000001</v>
      </c>
      <c r="F32" s="763">
        <f>SUM(F34:F37)</f>
        <v>106129.11599999999</v>
      </c>
    </row>
    <row r="33" spans="1:8" x14ac:dyDescent="0.2">
      <c r="A33" s="736"/>
      <c r="B33" s="737"/>
      <c r="C33" s="740"/>
      <c r="D33" s="741"/>
      <c r="E33" s="741"/>
      <c r="F33" s="739"/>
    </row>
    <row r="34" spans="1:8" x14ac:dyDescent="0.2">
      <c r="A34" s="736">
        <v>1</v>
      </c>
      <c r="B34" s="746" t="s">
        <v>308</v>
      </c>
      <c r="C34" s="764">
        <v>9500</v>
      </c>
      <c r="D34" s="765"/>
      <c r="E34" s="765">
        <v>8500</v>
      </c>
      <c r="F34" s="742">
        <f>C34+D34-E34</f>
        <v>1000</v>
      </c>
    </row>
    <row r="35" spans="1:8" x14ac:dyDescent="0.2">
      <c r="A35" s="736">
        <v>2</v>
      </c>
      <c r="B35" s="766" t="s">
        <v>72</v>
      </c>
      <c r="C35" s="744">
        <v>100000</v>
      </c>
      <c r="D35" s="745">
        <v>70000</v>
      </c>
      <c r="E35" s="745">
        <v>67865.884000000005</v>
      </c>
      <c r="F35" s="742">
        <f>C35+D35-E35</f>
        <v>102134.11599999999</v>
      </c>
      <c r="G35" s="1807"/>
      <c r="H35" s="1865"/>
    </row>
    <row r="36" spans="1:8" x14ac:dyDescent="0.2">
      <c r="A36" s="736">
        <v>3</v>
      </c>
      <c r="B36" s="766" t="s">
        <v>28</v>
      </c>
      <c r="C36" s="744">
        <v>46200</v>
      </c>
      <c r="D36" s="745"/>
      <c r="E36" s="745">
        <v>46200</v>
      </c>
      <c r="F36" s="742">
        <f>C36+D36-E36</f>
        <v>0</v>
      </c>
      <c r="G36" s="1865"/>
      <c r="H36" s="1865"/>
    </row>
    <row r="37" spans="1:8" x14ac:dyDescent="0.2">
      <c r="A37" s="736">
        <v>4</v>
      </c>
      <c r="B37" s="766" t="s">
        <v>1281</v>
      </c>
      <c r="C37" s="740">
        <v>2995</v>
      </c>
      <c r="D37" s="741"/>
      <c r="E37" s="741">
        <v>0</v>
      </c>
      <c r="F37" s="742">
        <f>C37+D37-E37</f>
        <v>2995</v>
      </c>
    </row>
    <row r="38" spans="1:8" x14ac:dyDescent="0.2">
      <c r="A38" s="736"/>
      <c r="B38" s="766"/>
      <c r="C38" s="767"/>
      <c r="D38" s="768"/>
      <c r="E38" s="768"/>
      <c r="F38" s="769"/>
    </row>
    <row r="39" spans="1:8" x14ac:dyDescent="0.2">
      <c r="A39" s="770" t="s">
        <v>368</v>
      </c>
      <c r="B39" s="760" t="s">
        <v>136</v>
      </c>
      <c r="C39" s="762">
        <f>SUM(C41:C55)</f>
        <v>2088119</v>
      </c>
      <c r="D39" s="761">
        <f>SUM(D41:D55)</f>
        <v>544994</v>
      </c>
      <c r="E39" s="761">
        <f>SUM(E41:E55)</f>
        <v>1851192</v>
      </c>
      <c r="F39" s="763">
        <f>SUM(F41:F55)</f>
        <v>781921</v>
      </c>
    </row>
    <row r="40" spans="1:8" x14ac:dyDescent="0.2">
      <c r="A40" s="771"/>
      <c r="B40" s="772"/>
      <c r="C40" s="761"/>
      <c r="D40" s="773"/>
      <c r="E40" s="773"/>
      <c r="F40" s="774"/>
    </row>
    <row r="41" spans="1:8" x14ac:dyDescent="0.2">
      <c r="A41" s="758">
        <v>1</v>
      </c>
      <c r="B41" s="737" t="s">
        <v>365</v>
      </c>
      <c r="C41" s="740">
        <v>25000</v>
      </c>
      <c r="D41" s="741"/>
      <c r="E41" s="741">
        <v>24268</v>
      </c>
      <c r="F41" s="742">
        <f t="shared" ref="F41:F53" si="1">C41+D41-E41</f>
        <v>732</v>
      </c>
    </row>
    <row r="42" spans="1:8" x14ac:dyDescent="0.2">
      <c r="A42" s="758">
        <v>2</v>
      </c>
      <c r="B42" s="775" t="s">
        <v>192</v>
      </c>
      <c r="C42" s="740">
        <v>50000</v>
      </c>
      <c r="D42" s="741"/>
      <c r="E42" s="741">
        <v>0</v>
      </c>
      <c r="F42" s="742">
        <f t="shared" si="1"/>
        <v>50000</v>
      </c>
    </row>
    <row r="43" spans="1:8" x14ac:dyDescent="0.2">
      <c r="A43" s="758">
        <v>3</v>
      </c>
      <c r="B43" s="746" t="s">
        <v>194</v>
      </c>
      <c r="C43" s="740">
        <v>1500</v>
      </c>
      <c r="D43" s="741"/>
      <c r="E43" s="741">
        <v>0</v>
      </c>
      <c r="F43" s="742">
        <f t="shared" si="1"/>
        <v>1500</v>
      </c>
    </row>
    <row r="44" spans="1:8" x14ac:dyDescent="0.2">
      <c r="A44" s="758">
        <v>4</v>
      </c>
      <c r="B44" s="746" t="s">
        <v>175</v>
      </c>
      <c r="C44" s="740">
        <v>50000</v>
      </c>
      <c r="D44" s="741"/>
      <c r="E44" s="741">
        <v>48240</v>
      </c>
      <c r="F44" s="742">
        <f t="shared" si="1"/>
        <v>1760</v>
      </c>
    </row>
    <row r="45" spans="1:8" x14ac:dyDescent="0.2">
      <c r="A45" s="758">
        <v>5</v>
      </c>
      <c r="B45" s="776" t="s">
        <v>73</v>
      </c>
      <c r="C45" s="740">
        <v>400000</v>
      </c>
      <c r="D45" s="741">
        <v>200000</v>
      </c>
      <c r="E45" s="741">
        <v>351070</v>
      </c>
      <c r="F45" s="742">
        <f t="shared" si="1"/>
        <v>248930</v>
      </c>
      <c r="H45" s="1865"/>
    </row>
    <row r="46" spans="1:8" x14ac:dyDescent="0.2">
      <c r="A46" s="758">
        <v>6</v>
      </c>
      <c r="B46" s="777" t="s">
        <v>195</v>
      </c>
      <c r="C46" s="740">
        <v>12152</v>
      </c>
      <c r="D46" s="741"/>
      <c r="E46" s="741">
        <v>12152</v>
      </c>
      <c r="F46" s="742">
        <f t="shared" si="1"/>
        <v>0</v>
      </c>
    </row>
    <row r="47" spans="1:8" x14ac:dyDescent="0.2">
      <c r="A47" s="758">
        <v>7</v>
      </c>
      <c r="B47" s="743" t="s">
        <v>74</v>
      </c>
      <c r="C47" s="740">
        <v>20000</v>
      </c>
      <c r="D47" s="741"/>
      <c r="E47" s="741">
        <v>20000</v>
      </c>
      <c r="F47" s="742">
        <f t="shared" si="1"/>
        <v>0</v>
      </c>
    </row>
    <row r="48" spans="1:8" x14ac:dyDescent="0.2">
      <c r="A48" s="758">
        <v>8</v>
      </c>
      <c r="B48" s="776" t="s">
        <v>502</v>
      </c>
      <c r="C48" s="740">
        <v>50000</v>
      </c>
      <c r="D48" s="741">
        <v>338894</v>
      </c>
      <c r="E48" s="741"/>
      <c r="F48" s="742">
        <f t="shared" si="1"/>
        <v>388894</v>
      </c>
    </row>
    <row r="49" spans="1:8" x14ac:dyDescent="0.2">
      <c r="A49" s="758">
        <v>9</v>
      </c>
      <c r="B49" s="776" t="s">
        <v>1028</v>
      </c>
      <c r="C49" s="740">
        <v>80000</v>
      </c>
      <c r="D49" s="741"/>
      <c r="E49" s="741">
        <v>80000</v>
      </c>
      <c r="F49" s="742">
        <f t="shared" si="1"/>
        <v>0</v>
      </c>
    </row>
    <row r="50" spans="1:8" x14ac:dyDescent="0.2">
      <c r="A50" s="758">
        <v>10</v>
      </c>
      <c r="B50" s="743" t="s">
        <v>1168</v>
      </c>
      <c r="C50" s="740">
        <v>1279227</v>
      </c>
      <c r="D50" s="741"/>
      <c r="E50" s="741">
        <v>1209397</v>
      </c>
      <c r="F50" s="742">
        <f t="shared" si="1"/>
        <v>69830</v>
      </c>
    </row>
    <row r="51" spans="1:8" x14ac:dyDescent="0.2">
      <c r="A51" s="758">
        <v>11</v>
      </c>
      <c r="B51" s="776" t="s">
        <v>1029</v>
      </c>
      <c r="C51" s="740">
        <v>40000</v>
      </c>
      <c r="D51" s="741"/>
      <c r="E51" s="741">
        <v>28925</v>
      </c>
      <c r="F51" s="742">
        <f t="shared" si="1"/>
        <v>11075</v>
      </c>
    </row>
    <row r="52" spans="1:8" x14ac:dyDescent="0.2">
      <c r="A52" s="758">
        <v>12</v>
      </c>
      <c r="B52" s="746" t="s">
        <v>1169</v>
      </c>
      <c r="C52" s="740">
        <v>77140</v>
      </c>
      <c r="D52" s="741"/>
      <c r="E52" s="741">
        <v>77140</v>
      </c>
      <c r="F52" s="742">
        <f t="shared" si="1"/>
        <v>0</v>
      </c>
    </row>
    <row r="53" spans="1:8" x14ac:dyDescent="0.2">
      <c r="A53" s="758">
        <v>13</v>
      </c>
      <c r="B53" s="746" t="s">
        <v>745</v>
      </c>
      <c r="C53" s="740">
        <v>3100</v>
      </c>
      <c r="D53" s="741">
        <v>6100</v>
      </c>
      <c r="E53" s="741"/>
      <c r="F53" s="742">
        <f t="shared" si="1"/>
        <v>9200</v>
      </c>
    </row>
    <row r="54" spans="1:8" x14ac:dyDescent="0.2">
      <c r="A54" s="771"/>
      <c r="B54" s="772"/>
      <c r="C54" s="761"/>
      <c r="D54" s="773"/>
      <c r="E54" s="773"/>
      <c r="F54" s="774"/>
    </row>
    <row r="55" spans="1:8" x14ac:dyDescent="0.2">
      <c r="A55" s="771"/>
      <c r="B55" s="772"/>
      <c r="C55" s="761"/>
      <c r="D55" s="773"/>
      <c r="E55" s="773"/>
      <c r="F55" s="774"/>
    </row>
    <row r="56" spans="1:8" x14ac:dyDescent="0.2">
      <c r="A56" s="758"/>
      <c r="B56" s="737"/>
      <c r="C56" s="740"/>
      <c r="D56" s="741"/>
      <c r="E56" s="741"/>
      <c r="F56" s="739"/>
    </row>
    <row r="57" spans="1:8" ht="13.5" x14ac:dyDescent="0.2">
      <c r="A57" s="748" t="s">
        <v>306</v>
      </c>
      <c r="B57" s="749" t="s">
        <v>75</v>
      </c>
      <c r="C57" s="750">
        <f>C32+C39</f>
        <v>2246814</v>
      </c>
      <c r="D57" s="751">
        <f>D32+D39</f>
        <v>614994</v>
      </c>
      <c r="E57" s="751">
        <f>E32+E39</f>
        <v>1973757.8840000001</v>
      </c>
      <c r="F57" s="752">
        <f>F32+F39</f>
        <v>888050.11600000004</v>
      </c>
    </row>
    <row r="58" spans="1:8" x14ac:dyDescent="0.2">
      <c r="A58" s="779"/>
      <c r="B58" s="780"/>
      <c r="C58" s="778"/>
      <c r="D58" s="781"/>
      <c r="E58" s="781"/>
      <c r="F58" s="782"/>
    </row>
    <row r="59" spans="1:8" ht="15.75" thickBot="1" x14ac:dyDescent="0.25">
      <c r="A59" s="783"/>
      <c r="B59" s="784" t="s">
        <v>329</v>
      </c>
      <c r="C59" s="785">
        <f>SUM(C57+C28)</f>
        <v>2321814</v>
      </c>
      <c r="D59" s="786">
        <f>SUM(D57+D28)</f>
        <v>873428.00799999991</v>
      </c>
      <c r="E59" s="786">
        <f>SUM(E57+E28)</f>
        <v>2020061.145</v>
      </c>
      <c r="F59" s="787">
        <f>SUM(F57+F28)</f>
        <v>1175180.8629999999</v>
      </c>
      <c r="G59" s="1807"/>
      <c r="H59" s="1807"/>
    </row>
  </sheetData>
  <mergeCells count="5">
    <mergeCell ref="A11:A13"/>
    <mergeCell ref="B11:B13"/>
    <mergeCell ref="A6:F6"/>
    <mergeCell ref="A7:F7"/>
    <mergeCell ref="A8:F8"/>
  </mergeCells>
  <phoneticPr fontId="84" type="noConversion"/>
  <printOptions horizontalCentered="1"/>
  <pageMargins left="0.35433070866141736" right="0.35433070866141736" top="0.62" bottom="0.59055118110236227" header="0.31496062992125984" footer="0.23622047244094491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F2" sqref="F2"/>
    </sheetView>
  </sheetViews>
  <sheetFormatPr defaultRowHeight="12.75" x14ac:dyDescent="0.2"/>
  <cols>
    <col min="1" max="1" width="4.7109375" customWidth="1"/>
    <col min="2" max="2" width="27.85546875" customWidth="1"/>
    <col min="3" max="6" width="15.28515625" customWidth="1"/>
  </cols>
  <sheetData>
    <row r="2" spans="1:6" x14ac:dyDescent="0.2">
      <c r="F2" s="530" t="s">
        <v>1343</v>
      </c>
    </row>
    <row r="3" spans="1:6" x14ac:dyDescent="0.2">
      <c r="F3" s="531" t="s">
        <v>57</v>
      </c>
    </row>
    <row r="4" spans="1:6" ht="20.100000000000001" customHeight="1" x14ac:dyDescent="0.2"/>
    <row r="5" spans="1:6" ht="20.100000000000001" customHeight="1" x14ac:dyDescent="0.2">
      <c r="A5" s="2362" t="s">
        <v>1188</v>
      </c>
      <c r="B5" s="2362"/>
      <c r="C5" s="2362"/>
      <c r="D5" s="2362"/>
      <c r="E5" s="2362"/>
      <c r="F5" s="2362"/>
    </row>
    <row r="6" spans="1:6" x14ac:dyDescent="0.2">
      <c r="A6" s="2363" t="s">
        <v>58</v>
      </c>
      <c r="B6" s="2363"/>
      <c r="C6" s="2363"/>
      <c r="D6" s="2363"/>
      <c r="E6" s="2363"/>
      <c r="F6" s="2363"/>
    </row>
    <row r="7" spans="1:6" ht="20.25" customHeight="1" x14ac:dyDescent="0.2"/>
    <row r="8" spans="1:6" ht="13.5" thickBot="1" x14ac:dyDescent="0.25"/>
    <row r="9" spans="1:6" ht="31.5" customHeight="1" x14ac:dyDescent="0.2">
      <c r="A9" s="1871" t="s">
        <v>369</v>
      </c>
      <c r="B9" s="1056" t="s">
        <v>33</v>
      </c>
      <c r="C9" s="1056" t="s">
        <v>255</v>
      </c>
      <c r="D9" s="1056" t="s">
        <v>1063</v>
      </c>
      <c r="E9" s="1056" t="s">
        <v>385</v>
      </c>
      <c r="F9" s="1025" t="s">
        <v>1070</v>
      </c>
    </row>
    <row r="10" spans="1:6" ht="41.25" customHeight="1" x14ac:dyDescent="0.2">
      <c r="A10" s="199"/>
      <c r="B10" s="200"/>
      <c r="C10" s="1874" t="s">
        <v>1062</v>
      </c>
      <c r="D10" s="1874" t="s">
        <v>164</v>
      </c>
      <c r="E10" s="200"/>
      <c r="F10" s="1061"/>
    </row>
    <row r="11" spans="1:6" x14ac:dyDescent="0.2">
      <c r="A11" s="1872">
        <v>1</v>
      </c>
      <c r="B11" s="1873">
        <v>2</v>
      </c>
      <c r="C11" s="1882">
        <v>3</v>
      </c>
      <c r="D11" s="1882">
        <v>4</v>
      </c>
      <c r="E11" s="1882">
        <v>5</v>
      </c>
      <c r="F11" s="1883">
        <v>6</v>
      </c>
    </row>
    <row r="12" spans="1:6" ht="39.950000000000003" customHeight="1" x14ac:dyDescent="0.2">
      <c r="A12" s="480">
        <v>1</v>
      </c>
      <c r="B12" s="1875" t="s">
        <v>1064</v>
      </c>
      <c r="C12" s="471">
        <v>14993993.563999999</v>
      </c>
      <c r="D12" s="471">
        <v>27773.047999999999</v>
      </c>
      <c r="E12" s="471">
        <f>136903.715+1445131.55</f>
        <v>1582035.2650000001</v>
      </c>
      <c r="F12" s="1886">
        <f>SUM(C12:E12)</f>
        <v>16603801.877</v>
      </c>
    </row>
    <row r="13" spans="1:6" ht="39.950000000000003" customHeight="1" x14ac:dyDescent="0.2">
      <c r="A13" s="480">
        <v>2</v>
      </c>
      <c r="B13" s="1876" t="s">
        <v>1065</v>
      </c>
      <c r="C13" s="471">
        <v>8342351.3269999996</v>
      </c>
      <c r="D13" s="471">
        <v>2396112.304</v>
      </c>
      <c r="E13" s="471">
        <f>3722469.882+1855670.766</f>
        <v>5578140.648</v>
      </c>
      <c r="F13" s="1886">
        <f>SUM(C13:E13)</f>
        <v>16316604.278999999</v>
      </c>
    </row>
    <row r="14" spans="1:6" ht="39.950000000000003" customHeight="1" x14ac:dyDescent="0.2">
      <c r="A14" s="1877">
        <v>3</v>
      </c>
      <c r="B14" s="1881" t="s">
        <v>1066</v>
      </c>
      <c r="C14" s="475">
        <f>C12-C13</f>
        <v>6651642.2369999997</v>
      </c>
      <c r="D14" s="475">
        <f>D12-D13</f>
        <v>-2368339.2560000001</v>
      </c>
      <c r="E14" s="475">
        <f>E12-E13</f>
        <v>-3996105.3829999999</v>
      </c>
      <c r="F14" s="476">
        <f>F12-F13</f>
        <v>287197.59800000116</v>
      </c>
    </row>
    <row r="15" spans="1:6" ht="39.950000000000003" customHeight="1" x14ac:dyDescent="0.2">
      <c r="A15" s="480">
        <v>4</v>
      </c>
      <c r="B15" s="1875" t="s">
        <v>1067</v>
      </c>
      <c r="C15" s="471">
        <v>11790757.658</v>
      </c>
      <c r="D15" s="471">
        <v>2628967.0950000002</v>
      </c>
      <c r="E15" s="471">
        <f>3628503.585+496354.945</f>
        <v>4124858.53</v>
      </c>
      <c r="F15" s="1886">
        <f>SUM(C15:E15)</f>
        <v>18544583.283</v>
      </c>
    </row>
    <row r="16" spans="1:6" ht="39.950000000000003" customHeight="1" x14ac:dyDescent="0.2">
      <c r="A16" s="480">
        <v>5</v>
      </c>
      <c r="B16" s="1876" t="s">
        <v>1068</v>
      </c>
      <c r="C16" s="471">
        <v>14418802.68</v>
      </c>
      <c r="D16" s="471"/>
      <c r="E16" s="471"/>
      <c r="F16" s="1886">
        <f>SUM(C16:E16)</f>
        <v>14418802.68</v>
      </c>
    </row>
    <row r="17" spans="1:6" ht="39.950000000000003" customHeight="1" x14ac:dyDescent="0.2">
      <c r="A17" s="1877">
        <v>6</v>
      </c>
      <c r="B17" s="1881" t="s">
        <v>1069</v>
      </c>
      <c r="C17" s="475">
        <f>C15-C16</f>
        <v>-2628045.0219999999</v>
      </c>
      <c r="D17" s="475">
        <f>D15-D16</f>
        <v>2628967.0950000002</v>
      </c>
      <c r="E17" s="475">
        <f>E15-E16</f>
        <v>4124858.53</v>
      </c>
      <c r="F17" s="476">
        <f>F15-F16</f>
        <v>4125780.6030000001</v>
      </c>
    </row>
    <row r="18" spans="1:6" ht="39.950000000000003" customHeight="1" x14ac:dyDescent="0.2">
      <c r="A18" s="1878">
        <v>7</v>
      </c>
      <c r="B18" s="1879" t="s">
        <v>1134</v>
      </c>
      <c r="C18" s="1885">
        <f>C14+C17</f>
        <v>4023597.2149999999</v>
      </c>
      <c r="D18" s="1885">
        <f>D14+D17</f>
        <v>260627.83900000015</v>
      </c>
      <c r="E18" s="1885">
        <f>E14+E17</f>
        <v>128753.14699999988</v>
      </c>
      <c r="F18" s="1887">
        <f>F14+F17</f>
        <v>4412978.2010000013</v>
      </c>
    </row>
    <row r="19" spans="1:6" ht="39.950000000000003" customHeight="1" x14ac:dyDescent="0.2">
      <c r="A19" s="1878">
        <v>8</v>
      </c>
      <c r="B19" s="1880" t="s">
        <v>1060</v>
      </c>
      <c r="C19" s="1884">
        <v>1323409.267</v>
      </c>
      <c r="D19" s="1884">
        <v>190961</v>
      </c>
      <c r="E19" s="1884">
        <f>1678+68309</f>
        <v>69987</v>
      </c>
      <c r="F19" s="1887">
        <f>SUM(C19:E19)</f>
        <v>1584357.267</v>
      </c>
    </row>
    <row r="20" spans="1:6" ht="39.950000000000003" customHeight="1" x14ac:dyDescent="0.2">
      <c r="A20" s="1878">
        <v>9</v>
      </c>
      <c r="B20" s="1880" t="s">
        <v>1061</v>
      </c>
      <c r="C20" s="1884">
        <f>C18-C19</f>
        <v>2700187.9479999999</v>
      </c>
      <c r="D20" s="1884">
        <f>D18-D19</f>
        <v>69666.839000000153</v>
      </c>
      <c r="E20" s="1884">
        <f>E18-E19</f>
        <v>58766.146999999881</v>
      </c>
      <c r="F20" s="1887">
        <f>F18-F19</f>
        <v>2828620.9340000013</v>
      </c>
    </row>
    <row r="21" spans="1:6" ht="24.95" customHeight="1" x14ac:dyDescent="0.2"/>
    <row r="24" spans="1:6" x14ac:dyDescent="0.2">
      <c r="F24" s="7"/>
    </row>
  </sheetData>
  <mergeCells count="2">
    <mergeCell ref="A5:F5"/>
    <mergeCell ref="A6:F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4"/>
  <sheetViews>
    <sheetView topLeftCell="D1" zoomScaleNormal="100" workbookViewId="0">
      <selection activeCell="W2" sqref="W2"/>
    </sheetView>
  </sheetViews>
  <sheetFormatPr defaultRowHeight="12.75" x14ac:dyDescent="0.2"/>
  <cols>
    <col min="1" max="1" width="4.7109375" customWidth="1"/>
    <col min="2" max="2" width="27.85546875" customWidth="1"/>
    <col min="3" max="23" width="11.7109375" customWidth="1"/>
  </cols>
  <sheetData>
    <row r="2" spans="1:28" x14ac:dyDescent="0.2">
      <c r="W2" s="530" t="s">
        <v>1351</v>
      </c>
    </row>
    <row r="3" spans="1:28" x14ac:dyDescent="0.2">
      <c r="W3" s="531" t="s">
        <v>57</v>
      </c>
    </row>
    <row r="4" spans="1:28" ht="20.100000000000001" customHeight="1" x14ac:dyDescent="0.2"/>
    <row r="5" spans="1:28" ht="20.100000000000001" customHeight="1" x14ac:dyDescent="0.25">
      <c r="A5" s="2362" t="s">
        <v>1189</v>
      </c>
      <c r="B5" s="2362"/>
      <c r="C5" s="2362"/>
      <c r="D5" s="2362"/>
      <c r="E5" s="2362"/>
      <c r="F5" s="2362"/>
      <c r="G5" s="2362"/>
      <c r="H5" s="2362"/>
      <c r="I5" s="2362"/>
      <c r="J5" s="2362"/>
      <c r="K5" s="2362"/>
      <c r="L5" s="2362"/>
      <c r="M5" s="2362"/>
      <c r="N5" s="2362"/>
      <c r="O5" s="2362"/>
      <c r="P5" s="2362"/>
      <c r="Q5" s="2362"/>
      <c r="R5" s="2362"/>
      <c r="S5" s="2362"/>
      <c r="T5" s="2362"/>
      <c r="U5" s="2362"/>
      <c r="V5" s="2362"/>
      <c r="W5" s="2362"/>
      <c r="X5" s="1023"/>
      <c r="Y5" s="1023"/>
      <c r="Z5" s="1023"/>
      <c r="AA5" s="1023"/>
      <c r="AB5" s="1023"/>
    </row>
    <row r="6" spans="1:28" ht="20.100000000000001" customHeight="1" x14ac:dyDescent="0.25">
      <c r="A6" s="1888"/>
      <c r="B6" s="1888"/>
      <c r="C6" s="1888"/>
      <c r="D6" s="1888"/>
      <c r="E6" s="1888"/>
      <c r="F6" s="1888"/>
      <c r="G6" s="1888"/>
      <c r="H6" s="1888"/>
      <c r="I6" s="1888"/>
      <c r="J6" s="1888"/>
      <c r="K6" s="1888"/>
      <c r="L6" s="1888"/>
      <c r="M6" s="1888"/>
      <c r="N6" s="1888"/>
      <c r="O6" s="1888"/>
      <c r="P6" s="1888"/>
      <c r="Q6" s="1888"/>
      <c r="R6" s="1888"/>
      <c r="S6" s="1888"/>
      <c r="T6" s="1888"/>
      <c r="U6" s="1888"/>
      <c r="V6" s="1888"/>
      <c r="W6" s="1888"/>
      <c r="X6" s="1023"/>
      <c r="Y6" s="1023"/>
      <c r="Z6" s="1023"/>
      <c r="AA6" s="1023"/>
      <c r="AB6" s="1023"/>
    </row>
    <row r="7" spans="1:28" x14ac:dyDescent="0.2">
      <c r="A7" s="2363" t="s">
        <v>58</v>
      </c>
      <c r="B7" s="2363"/>
      <c r="C7" s="2363"/>
      <c r="D7" s="2363"/>
      <c r="E7" s="2363"/>
      <c r="F7" s="2363"/>
      <c r="G7" s="2363"/>
      <c r="H7" s="2363"/>
      <c r="I7" s="2363"/>
      <c r="J7" s="2363"/>
      <c r="K7" s="2363"/>
      <c r="L7" s="2363"/>
      <c r="M7" s="2363"/>
      <c r="N7" s="2363"/>
      <c r="O7" s="2363"/>
      <c r="P7" s="2363"/>
      <c r="Q7" s="2363"/>
      <c r="R7" s="2363"/>
      <c r="S7" s="2363"/>
      <c r="T7" s="2363"/>
      <c r="U7" s="2363"/>
      <c r="V7" s="2363"/>
      <c r="W7" s="2363"/>
      <c r="X7" s="1024"/>
      <c r="Y7" s="1024"/>
      <c r="Z7" s="1024"/>
      <c r="AA7" s="1024"/>
      <c r="AB7" s="1024"/>
    </row>
    <row r="8" spans="1:28" ht="20.25" customHeight="1" x14ac:dyDescent="0.2"/>
    <row r="9" spans="1:28" ht="13.5" thickBot="1" x14ac:dyDescent="0.25"/>
    <row r="10" spans="1:28" ht="31.5" customHeight="1" x14ac:dyDescent="0.2">
      <c r="A10" s="1871" t="s">
        <v>369</v>
      </c>
      <c r="B10" s="1056" t="s">
        <v>33</v>
      </c>
      <c r="C10" s="1056" t="s">
        <v>1087</v>
      </c>
      <c r="D10" s="1056" t="s">
        <v>793</v>
      </c>
      <c r="E10" s="1056" t="s">
        <v>1071</v>
      </c>
      <c r="F10" s="1056" t="s">
        <v>1072</v>
      </c>
      <c r="G10" s="1056" t="s">
        <v>1073</v>
      </c>
      <c r="H10" s="1056" t="s">
        <v>1074</v>
      </c>
      <c r="I10" s="1056" t="s">
        <v>797</v>
      </c>
      <c r="J10" s="1056" t="s">
        <v>798</v>
      </c>
      <c r="K10" s="1056" t="s">
        <v>1076</v>
      </c>
      <c r="L10" s="1056" t="s">
        <v>800</v>
      </c>
      <c r="M10" s="1056" t="s">
        <v>1077</v>
      </c>
      <c r="N10" s="1056" t="s">
        <v>1078</v>
      </c>
      <c r="O10" s="1056" t="s">
        <v>1079</v>
      </c>
      <c r="P10" s="1056" t="s">
        <v>1080</v>
      </c>
      <c r="Q10" s="1056" t="s">
        <v>150</v>
      </c>
      <c r="R10" s="1056" t="s">
        <v>1081</v>
      </c>
      <c r="S10" s="1056" t="s">
        <v>1082</v>
      </c>
      <c r="T10" s="1056" t="s">
        <v>1083</v>
      </c>
      <c r="U10" s="1056" t="s">
        <v>1084</v>
      </c>
      <c r="V10" s="1056" t="s">
        <v>1085</v>
      </c>
      <c r="W10" s="1025" t="s">
        <v>1070</v>
      </c>
    </row>
    <row r="11" spans="1:28" ht="41.25" customHeight="1" x14ac:dyDescent="0.2">
      <c r="A11" s="199"/>
      <c r="B11" s="200"/>
      <c r="C11" s="1874" t="s">
        <v>388</v>
      </c>
      <c r="D11" s="1874" t="s">
        <v>815</v>
      </c>
      <c r="E11" s="1874" t="s">
        <v>816</v>
      </c>
      <c r="F11" s="1874" t="s">
        <v>816</v>
      </c>
      <c r="G11" s="1874" t="s">
        <v>816</v>
      </c>
      <c r="H11" s="1874" t="s">
        <v>1075</v>
      </c>
      <c r="I11" s="1874" t="s">
        <v>1075</v>
      </c>
      <c r="J11" s="1874" t="s">
        <v>1075</v>
      </c>
      <c r="K11" s="1874" t="s">
        <v>816</v>
      </c>
      <c r="L11" s="1874" t="s">
        <v>816</v>
      </c>
      <c r="M11" s="1874" t="s">
        <v>1075</v>
      </c>
      <c r="N11" s="1874" t="s">
        <v>816</v>
      </c>
      <c r="O11" s="1874" t="s">
        <v>816</v>
      </c>
      <c r="P11" s="1874" t="s">
        <v>816</v>
      </c>
      <c r="Q11" s="1874"/>
      <c r="R11" s="1874" t="s">
        <v>674</v>
      </c>
      <c r="S11" s="1874" t="s">
        <v>674</v>
      </c>
      <c r="T11" s="1874" t="s">
        <v>674</v>
      </c>
      <c r="U11" s="1874" t="s">
        <v>674</v>
      </c>
      <c r="V11" s="1874" t="s">
        <v>1086</v>
      </c>
      <c r="W11" s="1061"/>
    </row>
    <row r="12" spans="1:28" x14ac:dyDescent="0.2">
      <c r="A12" s="1872">
        <v>1</v>
      </c>
      <c r="B12" s="1873">
        <v>2</v>
      </c>
      <c r="C12" s="1873">
        <v>3</v>
      </c>
      <c r="D12" s="1882">
        <v>4</v>
      </c>
      <c r="E12" s="1882">
        <v>5</v>
      </c>
      <c r="F12" s="1882">
        <v>6</v>
      </c>
      <c r="G12" s="1882">
        <v>7</v>
      </c>
      <c r="H12" s="1882">
        <v>8</v>
      </c>
      <c r="I12" s="1882">
        <v>9</v>
      </c>
      <c r="J12" s="1882">
        <v>10</v>
      </c>
      <c r="K12" s="1882">
        <v>11</v>
      </c>
      <c r="L12" s="1882">
        <v>12</v>
      </c>
      <c r="M12" s="1882">
        <v>13</v>
      </c>
      <c r="N12" s="1882">
        <v>14</v>
      </c>
      <c r="O12" s="1882">
        <v>15</v>
      </c>
      <c r="P12" s="1882">
        <v>16</v>
      </c>
      <c r="Q12" s="1882">
        <v>17</v>
      </c>
      <c r="R12" s="1882">
        <v>18</v>
      </c>
      <c r="S12" s="1882">
        <v>19</v>
      </c>
      <c r="T12" s="1882">
        <v>20</v>
      </c>
      <c r="U12" s="1882">
        <v>21</v>
      </c>
      <c r="V12" s="1882">
        <v>22</v>
      </c>
      <c r="W12" s="1883">
        <v>23</v>
      </c>
    </row>
    <row r="13" spans="1:28" ht="39.950000000000003" customHeight="1" x14ac:dyDescent="0.2">
      <c r="A13" s="480">
        <v>1</v>
      </c>
      <c r="B13" s="1875" t="s">
        <v>1064</v>
      </c>
      <c r="C13" s="1875">
        <v>1445131.55</v>
      </c>
      <c r="D13" s="471">
        <v>61797.95</v>
      </c>
      <c r="E13" s="471">
        <v>2969.8389999999999</v>
      </c>
      <c r="F13" s="471">
        <v>2.2200000000000002</v>
      </c>
      <c r="G13" s="471">
        <v>103.54</v>
      </c>
      <c r="H13" s="471">
        <v>175.66499999999999</v>
      </c>
      <c r="I13" s="471">
        <v>1092.1199999999999</v>
      </c>
      <c r="J13" s="471">
        <v>44.499000000000002</v>
      </c>
      <c r="K13" s="471">
        <v>71.682000000000002</v>
      </c>
      <c r="L13" s="471">
        <v>1347.8530000000001</v>
      </c>
      <c r="M13" s="471">
        <v>746.10199999999998</v>
      </c>
      <c r="N13" s="471">
        <v>376.13099999999997</v>
      </c>
      <c r="O13" s="471">
        <v>183.37799999999999</v>
      </c>
      <c r="P13" s="471">
        <v>18.707000000000001</v>
      </c>
      <c r="Q13" s="471">
        <v>2530.6689999999999</v>
      </c>
      <c r="R13" s="471">
        <v>26332.322</v>
      </c>
      <c r="S13" s="471">
        <v>21532.985000000001</v>
      </c>
      <c r="T13" s="471">
        <v>13993.29</v>
      </c>
      <c r="U13" s="471">
        <v>2952.3820000000001</v>
      </c>
      <c r="V13" s="471">
        <v>632.37900000000002</v>
      </c>
      <c r="W13" s="1886">
        <f>SUM(C13:V13)</f>
        <v>1582035.263</v>
      </c>
    </row>
    <row r="14" spans="1:28" ht="39.950000000000003" customHeight="1" x14ac:dyDescent="0.2">
      <c r="A14" s="480">
        <v>2</v>
      </c>
      <c r="B14" s="1876" t="s">
        <v>1065</v>
      </c>
      <c r="C14" s="1875">
        <v>1855670.7660000001</v>
      </c>
      <c r="D14" s="471">
        <v>634482.30200000003</v>
      </c>
      <c r="E14" s="471">
        <v>137127.092</v>
      </c>
      <c r="F14" s="471">
        <v>170039.03899999999</v>
      </c>
      <c r="G14" s="597">
        <v>118139.065</v>
      </c>
      <c r="H14" s="471">
        <v>111958.118</v>
      </c>
      <c r="I14" s="471">
        <v>239430.603</v>
      </c>
      <c r="J14" s="471">
        <v>135312.46900000001</v>
      </c>
      <c r="K14" s="471">
        <v>115471.742</v>
      </c>
      <c r="L14" s="471">
        <v>263511.766</v>
      </c>
      <c r="M14" s="471">
        <v>190615.71900000001</v>
      </c>
      <c r="N14" s="471">
        <v>120133.08900000001</v>
      </c>
      <c r="O14" s="471">
        <v>188136.14199999999</v>
      </c>
      <c r="P14" s="471">
        <v>199963.79</v>
      </c>
      <c r="Q14" s="471">
        <v>67938.051999999996</v>
      </c>
      <c r="R14" s="471">
        <v>170401.25599999999</v>
      </c>
      <c r="S14" s="471">
        <v>151894.359</v>
      </c>
      <c r="T14" s="471">
        <v>105680.39200000001</v>
      </c>
      <c r="U14" s="471">
        <v>200908.66099999999</v>
      </c>
      <c r="V14" s="471">
        <v>401326.22600000002</v>
      </c>
      <c r="W14" s="1886">
        <f>SUM(C14:V14)</f>
        <v>5578140.648000001</v>
      </c>
    </row>
    <row r="15" spans="1:28" ht="39.950000000000003" customHeight="1" x14ac:dyDescent="0.2">
      <c r="A15" s="1877">
        <v>3</v>
      </c>
      <c r="B15" s="1881" t="s">
        <v>1066</v>
      </c>
      <c r="C15" s="1890">
        <f>C13-C14</f>
        <v>-410539.21600000001</v>
      </c>
      <c r="D15" s="1890">
        <f>D13-D14</f>
        <v>-572684.35200000007</v>
      </c>
      <c r="E15" s="475">
        <f>E13-E14</f>
        <v>-134157.253</v>
      </c>
      <c r="F15" s="475">
        <f t="shared" ref="F15:L15" si="0">F13-F14</f>
        <v>-170036.81899999999</v>
      </c>
      <c r="G15" s="475">
        <f t="shared" si="0"/>
        <v>-118035.52500000001</v>
      </c>
      <c r="H15" s="475">
        <f t="shared" si="0"/>
        <v>-111782.45300000001</v>
      </c>
      <c r="I15" s="475">
        <f t="shared" si="0"/>
        <v>-238338.48300000001</v>
      </c>
      <c r="J15" s="475">
        <f t="shared" si="0"/>
        <v>-135267.97</v>
      </c>
      <c r="K15" s="475">
        <f t="shared" si="0"/>
        <v>-115400.06</v>
      </c>
      <c r="L15" s="475">
        <f t="shared" si="0"/>
        <v>-262163.913</v>
      </c>
      <c r="M15" s="475">
        <f t="shared" ref="M15:W15" si="1">M13-M14</f>
        <v>-189869.617</v>
      </c>
      <c r="N15" s="475">
        <f t="shared" si="1"/>
        <v>-119756.95800000001</v>
      </c>
      <c r="O15" s="475">
        <f t="shared" si="1"/>
        <v>-187952.764</v>
      </c>
      <c r="P15" s="475">
        <f t="shared" si="1"/>
        <v>-199945.08300000001</v>
      </c>
      <c r="Q15" s="475">
        <f t="shared" si="1"/>
        <v>-65407.382999999994</v>
      </c>
      <c r="R15" s="475">
        <f t="shared" si="1"/>
        <v>-144068.93400000001</v>
      </c>
      <c r="S15" s="475">
        <f t="shared" si="1"/>
        <v>-130361.374</v>
      </c>
      <c r="T15" s="475">
        <f t="shared" si="1"/>
        <v>-91687.102000000014</v>
      </c>
      <c r="U15" s="475">
        <f t="shared" si="1"/>
        <v>-197956.27899999998</v>
      </c>
      <c r="V15" s="475">
        <f t="shared" si="1"/>
        <v>-400693.84700000001</v>
      </c>
      <c r="W15" s="476">
        <f t="shared" si="1"/>
        <v>-3996105.3850000007</v>
      </c>
    </row>
    <row r="16" spans="1:28" ht="39.950000000000003" customHeight="1" x14ac:dyDescent="0.2">
      <c r="A16" s="480">
        <v>4</v>
      </c>
      <c r="B16" s="1875" t="s">
        <v>1067</v>
      </c>
      <c r="C16" s="1875">
        <v>496354.94500000001</v>
      </c>
      <c r="D16" s="471">
        <v>581689.35900000005</v>
      </c>
      <c r="E16" s="471">
        <v>136246.76300000001</v>
      </c>
      <c r="F16" s="471">
        <v>170356.97399999999</v>
      </c>
      <c r="G16" s="471">
        <v>120436.932</v>
      </c>
      <c r="H16" s="471">
        <v>112431.235</v>
      </c>
      <c r="I16" s="597">
        <v>238778.8</v>
      </c>
      <c r="J16" s="471">
        <v>136348.36799999999</v>
      </c>
      <c r="K16" s="471">
        <v>117813.79399999999</v>
      </c>
      <c r="L16" s="471">
        <v>263898.07400000002</v>
      </c>
      <c r="M16" s="471">
        <v>191107.823</v>
      </c>
      <c r="N16" s="471">
        <v>121875.515</v>
      </c>
      <c r="O16" s="471">
        <v>188819.77499999999</v>
      </c>
      <c r="P16" s="471">
        <v>201579.77</v>
      </c>
      <c r="Q16" s="471">
        <v>67333.926000000007</v>
      </c>
      <c r="R16" s="471">
        <v>150755.39300000001</v>
      </c>
      <c r="S16" s="471">
        <v>132812.53899999999</v>
      </c>
      <c r="T16" s="471">
        <v>91813.566000000006</v>
      </c>
      <c r="U16" s="471">
        <v>202400.897</v>
      </c>
      <c r="V16" s="471">
        <v>402004.08199999999</v>
      </c>
      <c r="W16" s="1886">
        <f>SUM(C16:V16)</f>
        <v>4124858.53</v>
      </c>
    </row>
    <row r="17" spans="1:23" ht="39.950000000000003" customHeight="1" x14ac:dyDescent="0.2">
      <c r="A17" s="480">
        <v>5</v>
      </c>
      <c r="B17" s="1876" t="s">
        <v>1068</v>
      </c>
      <c r="C17" s="1876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1886"/>
    </row>
    <row r="18" spans="1:23" ht="39.950000000000003" customHeight="1" x14ac:dyDescent="0.2">
      <c r="A18" s="1877">
        <v>6</v>
      </c>
      <c r="B18" s="1881" t="s">
        <v>1069</v>
      </c>
      <c r="C18" s="1890">
        <f>C16-C17</f>
        <v>496354.94500000001</v>
      </c>
      <c r="D18" s="475">
        <f>D16-D17</f>
        <v>581689.35900000005</v>
      </c>
      <c r="E18" s="475">
        <f>E16-E17</f>
        <v>136246.76300000001</v>
      </c>
      <c r="F18" s="475">
        <f t="shared" ref="F18:L18" si="2">F16-F17</f>
        <v>170356.97399999999</v>
      </c>
      <c r="G18" s="475">
        <f t="shared" si="2"/>
        <v>120436.932</v>
      </c>
      <c r="H18" s="475">
        <f t="shared" si="2"/>
        <v>112431.235</v>
      </c>
      <c r="I18" s="475">
        <f t="shared" si="2"/>
        <v>238778.8</v>
      </c>
      <c r="J18" s="475">
        <f t="shared" si="2"/>
        <v>136348.36799999999</v>
      </c>
      <c r="K18" s="475">
        <f t="shared" si="2"/>
        <v>117813.79399999999</v>
      </c>
      <c r="L18" s="475">
        <f t="shared" si="2"/>
        <v>263898.07400000002</v>
      </c>
      <c r="M18" s="475">
        <f t="shared" ref="M18:W18" si="3">M16-M17</f>
        <v>191107.823</v>
      </c>
      <c r="N18" s="475">
        <f t="shared" si="3"/>
        <v>121875.515</v>
      </c>
      <c r="O18" s="475">
        <f t="shared" si="3"/>
        <v>188819.77499999999</v>
      </c>
      <c r="P18" s="475">
        <f t="shared" si="3"/>
        <v>201579.77</v>
      </c>
      <c r="Q18" s="475">
        <f t="shared" si="3"/>
        <v>67333.926000000007</v>
      </c>
      <c r="R18" s="475">
        <f t="shared" si="3"/>
        <v>150755.39300000001</v>
      </c>
      <c r="S18" s="475">
        <f t="shared" si="3"/>
        <v>132812.53899999999</v>
      </c>
      <c r="T18" s="475">
        <f t="shared" si="3"/>
        <v>91813.566000000006</v>
      </c>
      <c r="U18" s="475">
        <f t="shared" si="3"/>
        <v>202400.897</v>
      </c>
      <c r="V18" s="475">
        <f t="shared" si="3"/>
        <v>402004.08199999999</v>
      </c>
      <c r="W18" s="476">
        <f t="shared" si="3"/>
        <v>4124858.53</v>
      </c>
    </row>
    <row r="19" spans="1:23" ht="39.950000000000003" customHeight="1" x14ac:dyDescent="0.2">
      <c r="A19" s="1878">
        <v>7</v>
      </c>
      <c r="B19" s="1879" t="s">
        <v>1134</v>
      </c>
      <c r="C19" s="1885">
        <f>C15+C18</f>
        <v>85815.728999999992</v>
      </c>
      <c r="D19" s="1885">
        <f>D15+D18</f>
        <v>9005.0069999999832</v>
      </c>
      <c r="E19" s="1885">
        <f t="shared" ref="E19:I19" si="4">E15+E18</f>
        <v>2089.5100000000093</v>
      </c>
      <c r="F19" s="1885">
        <f t="shared" si="4"/>
        <v>320.15499999999884</v>
      </c>
      <c r="G19" s="1885">
        <f t="shared" si="4"/>
        <v>2401.406999999992</v>
      </c>
      <c r="H19" s="1885">
        <f t="shared" si="4"/>
        <v>648.78199999999197</v>
      </c>
      <c r="I19" s="1885">
        <f t="shared" si="4"/>
        <v>440.31699999998091</v>
      </c>
      <c r="J19" s="1885">
        <f t="shared" ref="J19:V19" si="5">J15+J18</f>
        <v>1080.3979999999865</v>
      </c>
      <c r="K19" s="1885">
        <f t="shared" si="5"/>
        <v>2413.7339999999967</v>
      </c>
      <c r="L19" s="1885">
        <f t="shared" si="5"/>
        <v>1734.1610000000219</v>
      </c>
      <c r="M19" s="1885">
        <f t="shared" si="5"/>
        <v>1238.2060000000056</v>
      </c>
      <c r="N19" s="1885">
        <f t="shared" si="5"/>
        <v>2118.5569999999861</v>
      </c>
      <c r="O19" s="1885">
        <f t="shared" si="5"/>
        <v>867.0109999999986</v>
      </c>
      <c r="P19" s="1885">
        <f t="shared" si="5"/>
        <v>1634.6869999999763</v>
      </c>
      <c r="Q19" s="1885">
        <f t="shared" si="5"/>
        <v>1926.5430000000124</v>
      </c>
      <c r="R19" s="1885">
        <f t="shared" si="5"/>
        <v>6686.4590000000026</v>
      </c>
      <c r="S19" s="1885">
        <f t="shared" si="5"/>
        <v>2451.1649999999936</v>
      </c>
      <c r="T19" s="1885">
        <f t="shared" si="5"/>
        <v>126.46399999999267</v>
      </c>
      <c r="U19" s="1885">
        <f t="shared" si="5"/>
        <v>4444.6180000000168</v>
      </c>
      <c r="V19" s="1885">
        <f t="shared" si="5"/>
        <v>1310.234999999986</v>
      </c>
      <c r="W19" s="1887">
        <f>W15+W18</f>
        <v>128753.14499999909</v>
      </c>
    </row>
    <row r="20" spans="1:23" ht="39.950000000000003" customHeight="1" x14ac:dyDescent="0.2">
      <c r="A20" s="1878">
        <v>8</v>
      </c>
      <c r="B20" s="1880" t="s">
        <v>1060</v>
      </c>
      <c r="C20" s="1880">
        <v>68309</v>
      </c>
      <c r="D20" s="1884">
        <v>168</v>
      </c>
      <c r="E20" s="1884"/>
      <c r="F20" s="1884"/>
      <c r="G20" s="1884"/>
      <c r="H20" s="1884"/>
      <c r="I20" s="1884"/>
      <c r="J20" s="1884"/>
      <c r="K20" s="1884"/>
      <c r="L20" s="1884"/>
      <c r="M20" s="1884">
        <v>600</v>
      </c>
      <c r="N20" s="1884"/>
      <c r="O20" s="1884"/>
      <c r="P20" s="1884"/>
      <c r="Q20" s="1884"/>
      <c r="R20" s="1884"/>
      <c r="S20" s="1884"/>
      <c r="T20" s="1884"/>
      <c r="U20" s="1884">
        <v>910</v>
      </c>
      <c r="V20" s="1884"/>
      <c r="W20" s="1887">
        <f>SUM(C20:V20)</f>
        <v>69987</v>
      </c>
    </row>
    <row r="21" spans="1:23" ht="39.950000000000003" customHeight="1" x14ac:dyDescent="0.2">
      <c r="A21" s="1878">
        <v>9</v>
      </c>
      <c r="B21" s="1880" t="s">
        <v>1061</v>
      </c>
      <c r="C21" s="1884">
        <f>C19-C20</f>
        <v>17506.728999999992</v>
      </c>
      <c r="D21" s="1884">
        <f t="shared" ref="D21:H21" si="6">D19-D20</f>
        <v>8837.0069999999832</v>
      </c>
      <c r="E21" s="1884">
        <f t="shared" si="6"/>
        <v>2089.5100000000093</v>
      </c>
      <c r="F21" s="1884">
        <f t="shared" si="6"/>
        <v>320.15499999999884</v>
      </c>
      <c r="G21" s="1884">
        <f t="shared" si="6"/>
        <v>2401.406999999992</v>
      </c>
      <c r="H21" s="1884">
        <f t="shared" si="6"/>
        <v>648.78199999999197</v>
      </c>
      <c r="I21" s="1884">
        <f t="shared" ref="I21" si="7">I19-I20</f>
        <v>440.31699999998091</v>
      </c>
      <c r="J21" s="1884">
        <f t="shared" ref="J21" si="8">J19-J20</f>
        <v>1080.3979999999865</v>
      </c>
      <c r="K21" s="1884">
        <f t="shared" ref="K21" si="9">K19-K20</f>
        <v>2413.7339999999967</v>
      </c>
      <c r="L21" s="1884">
        <f t="shared" ref="L21" si="10">L19-L20</f>
        <v>1734.1610000000219</v>
      </c>
      <c r="M21" s="1884">
        <f t="shared" ref="M21" si="11">M19-M20</f>
        <v>638.20600000000559</v>
      </c>
      <c r="N21" s="1884">
        <f t="shared" ref="N21" si="12">N19-N20</f>
        <v>2118.5569999999861</v>
      </c>
      <c r="O21" s="1884">
        <f t="shared" ref="O21" si="13">O19-O20</f>
        <v>867.0109999999986</v>
      </c>
      <c r="P21" s="1884">
        <f t="shared" ref="P21" si="14">P19-P20</f>
        <v>1634.6869999999763</v>
      </c>
      <c r="Q21" s="1884">
        <f t="shared" ref="Q21" si="15">Q19-Q20</f>
        <v>1926.5430000000124</v>
      </c>
      <c r="R21" s="1884">
        <f t="shared" ref="R21" si="16">R19-R20</f>
        <v>6686.4590000000026</v>
      </c>
      <c r="S21" s="1884">
        <f t="shared" ref="S21" si="17">S19-S20</f>
        <v>2451.1649999999936</v>
      </c>
      <c r="T21" s="1884">
        <f t="shared" ref="T21" si="18">T19-T20</f>
        <v>126.46399999999267</v>
      </c>
      <c r="U21" s="1884">
        <f t="shared" ref="U21" si="19">U19-U20</f>
        <v>3534.6180000000168</v>
      </c>
      <c r="V21" s="1884">
        <f t="shared" ref="V21" si="20">V19-V20</f>
        <v>1310.234999999986</v>
      </c>
      <c r="W21" s="1887">
        <f>SUM(C21:V21)</f>
        <v>58766.144999999924</v>
      </c>
    </row>
    <row r="22" spans="1:23" ht="24.95" customHeight="1" x14ac:dyDescent="0.2"/>
    <row r="24" spans="1:23" x14ac:dyDescent="0.2">
      <c r="W24" s="7"/>
    </row>
  </sheetData>
  <mergeCells count="2">
    <mergeCell ref="A5:W5"/>
    <mergeCell ref="A7:W7"/>
  </mergeCells>
  <printOptions horizontalCentered="1"/>
  <pageMargins left="0.31496062992125984" right="0.31496062992125984" top="0.98" bottom="0.74803149606299213" header="0.31496062992125984" footer="0.31496062992125984"/>
  <pageSetup paperSize="9" scale="51" orientation="landscape" r:id="rId1"/>
  <colBreaks count="1" manualBreakCount="1">
    <brk id="23" max="2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C1" workbookViewId="0">
      <selection activeCell="L45" sqref="L45"/>
    </sheetView>
  </sheetViews>
  <sheetFormatPr defaultRowHeight="12.75" x14ac:dyDescent="0.2"/>
  <cols>
    <col min="1" max="1" width="35.7109375" style="85" customWidth="1"/>
    <col min="2" max="2" width="9.7109375" style="85" customWidth="1"/>
    <col min="3" max="3" width="9.140625" style="85"/>
    <col min="4" max="4" width="9.7109375" style="85" customWidth="1"/>
    <col min="5" max="7" width="9.140625" style="85"/>
    <col min="8" max="8" width="26.7109375" style="85" customWidth="1"/>
    <col min="9" max="9" width="9.85546875" style="85" customWidth="1"/>
    <col min="10" max="10" width="9.28515625" style="85" bestFit="1" customWidth="1"/>
    <col min="11" max="11" width="9.7109375" style="85" customWidth="1"/>
    <col min="12" max="16384" width="9.140625" style="85"/>
  </cols>
  <sheetData>
    <row r="1" spans="1:14" x14ac:dyDescent="0.2">
      <c r="A1" s="169"/>
      <c r="B1" s="169"/>
      <c r="C1" s="169"/>
      <c r="D1" s="169"/>
      <c r="E1" s="169"/>
      <c r="F1" s="169"/>
      <c r="G1" s="169"/>
      <c r="H1" s="170"/>
      <c r="I1" s="169"/>
      <c r="J1" s="169"/>
      <c r="K1" s="169"/>
      <c r="L1" s="170"/>
      <c r="M1" s="169"/>
      <c r="N1" s="322" t="s">
        <v>709</v>
      </c>
    </row>
    <row r="2" spans="1:14" x14ac:dyDescent="0.2">
      <c r="A2" s="169"/>
      <c r="B2" s="169"/>
      <c r="C2" s="169"/>
      <c r="D2" s="169"/>
      <c r="E2" s="169"/>
      <c r="F2" s="169"/>
      <c r="G2" s="169"/>
      <c r="H2" s="170"/>
      <c r="I2" s="169"/>
      <c r="J2" s="169"/>
      <c r="K2" s="169"/>
      <c r="L2" s="171"/>
      <c r="M2" s="169"/>
      <c r="N2" s="323" t="s">
        <v>57</v>
      </c>
    </row>
    <row r="3" spans="1:14" x14ac:dyDescent="0.2">
      <c r="A3" s="169"/>
      <c r="B3" s="169"/>
      <c r="C3" s="169"/>
      <c r="D3" s="169"/>
      <c r="E3" s="169"/>
      <c r="F3" s="169"/>
      <c r="G3" s="169"/>
      <c r="H3" s="170"/>
      <c r="I3" s="169"/>
      <c r="J3" s="169"/>
      <c r="K3" s="169"/>
      <c r="L3" s="170"/>
      <c r="M3" s="169"/>
      <c r="N3" s="169"/>
    </row>
    <row r="4" spans="1:14" ht="15.75" x14ac:dyDescent="0.25">
      <c r="A4" s="2364" t="s">
        <v>711</v>
      </c>
      <c r="B4" s="2364"/>
      <c r="C4" s="2364"/>
      <c r="D4" s="2364"/>
      <c r="E4" s="2364"/>
      <c r="F4" s="2364"/>
      <c r="G4" s="2364"/>
      <c r="H4" s="2364"/>
      <c r="I4" s="2364"/>
      <c r="J4" s="2364"/>
      <c r="K4" s="2364"/>
      <c r="L4" s="2364"/>
      <c r="M4" s="2364"/>
      <c r="N4" s="2364"/>
    </row>
    <row r="5" spans="1:14" x14ac:dyDescent="0.2">
      <c r="A5" s="2365" t="s">
        <v>58</v>
      </c>
      <c r="B5" s="2365"/>
      <c r="C5" s="2365"/>
      <c r="D5" s="2365"/>
      <c r="E5" s="2365"/>
      <c r="F5" s="2365"/>
      <c r="G5" s="2365"/>
      <c r="H5" s="2365"/>
      <c r="I5" s="2365"/>
      <c r="J5" s="2365"/>
      <c r="K5" s="2365"/>
      <c r="L5" s="2365"/>
      <c r="M5" s="2365"/>
      <c r="N5" s="2365"/>
    </row>
    <row r="6" spans="1:14" ht="13.5" thickBot="1" x14ac:dyDescent="0.25">
      <c r="A6" s="170"/>
      <c r="B6" s="172"/>
      <c r="C6" s="172"/>
      <c r="D6" s="172"/>
      <c r="E6" s="172"/>
      <c r="F6" s="172"/>
      <c r="G6" s="172"/>
      <c r="H6" s="172"/>
      <c r="I6" s="170"/>
      <c r="J6" s="170"/>
      <c r="K6" s="170"/>
      <c r="L6" s="170"/>
      <c r="M6" s="170"/>
      <c r="N6" s="170"/>
    </row>
    <row r="7" spans="1:14" x14ac:dyDescent="0.2">
      <c r="A7" s="960"/>
      <c r="B7" s="961"/>
      <c r="C7" s="961"/>
      <c r="D7" s="961"/>
      <c r="E7" s="961"/>
      <c r="F7" s="961"/>
      <c r="G7" s="962"/>
      <c r="H7" s="960"/>
      <c r="I7" s="961"/>
      <c r="J7" s="961"/>
      <c r="K7" s="961"/>
      <c r="L7" s="961"/>
      <c r="M7" s="961"/>
      <c r="N7" s="963"/>
    </row>
    <row r="8" spans="1:14" x14ac:dyDescent="0.2">
      <c r="A8" s="964"/>
      <c r="B8" s="965"/>
      <c r="C8" s="965"/>
      <c r="D8" s="966" t="s">
        <v>340</v>
      </c>
      <c r="E8" s="965"/>
      <c r="F8" s="965"/>
      <c r="G8" s="967" t="s">
        <v>341</v>
      </c>
      <c r="H8" s="964"/>
      <c r="I8" s="965"/>
      <c r="J8" s="965"/>
      <c r="K8" s="966" t="s">
        <v>340</v>
      </c>
      <c r="L8" s="968"/>
      <c r="M8" s="965"/>
      <c r="N8" s="969" t="s">
        <v>341</v>
      </c>
    </row>
    <row r="9" spans="1:14" x14ac:dyDescent="0.2">
      <c r="A9" s="964"/>
      <c r="B9" s="966" t="s">
        <v>340</v>
      </c>
      <c r="C9" s="965"/>
      <c r="D9" s="966" t="s">
        <v>342</v>
      </c>
      <c r="E9" s="966" t="s">
        <v>341</v>
      </c>
      <c r="F9" s="965"/>
      <c r="G9" s="967" t="s">
        <v>342</v>
      </c>
      <c r="H9" s="970"/>
      <c r="I9" s="966" t="s">
        <v>340</v>
      </c>
      <c r="J9" s="965"/>
      <c r="K9" s="966" t="s">
        <v>342</v>
      </c>
      <c r="L9" s="966" t="s">
        <v>341</v>
      </c>
      <c r="M9" s="965"/>
      <c r="N9" s="969" t="s">
        <v>342</v>
      </c>
    </row>
    <row r="10" spans="1:14" x14ac:dyDescent="0.2">
      <c r="A10" s="971" t="s">
        <v>343</v>
      </c>
      <c r="B10" s="966" t="s">
        <v>342</v>
      </c>
      <c r="C10" s="965"/>
      <c r="D10" s="966" t="s">
        <v>344</v>
      </c>
      <c r="E10" s="966" t="s">
        <v>342</v>
      </c>
      <c r="F10" s="965"/>
      <c r="G10" s="967" t="s">
        <v>344</v>
      </c>
      <c r="H10" s="971" t="s">
        <v>345</v>
      </c>
      <c r="I10" s="966" t="s">
        <v>342</v>
      </c>
      <c r="J10" s="965"/>
      <c r="K10" s="966" t="s">
        <v>344</v>
      </c>
      <c r="L10" s="966" t="s">
        <v>342</v>
      </c>
      <c r="M10" s="965"/>
      <c r="N10" s="969" t="s">
        <v>344</v>
      </c>
    </row>
    <row r="11" spans="1:14" x14ac:dyDescent="0.2">
      <c r="A11" s="971"/>
      <c r="B11" s="966" t="s">
        <v>346</v>
      </c>
      <c r="C11" s="966" t="s">
        <v>347</v>
      </c>
      <c r="D11" s="966" t="s">
        <v>348</v>
      </c>
      <c r="E11" s="966" t="s">
        <v>346</v>
      </c>
      <c r="F11" s="966" t="s">
        <v>347</v>
      </c>
      <c r="G11" s="967" t="s">
        <v>348</v>
      </c>
      <c r="H11" s="971"/>
      <c r="I11" s="966" t="s">
        <v>346</v>
      </c>
      <c r="J11" s="966" t="s">
        <v>347</v>
      </c>
      <c r="K11" s="966" t="s">
        <v>348</v>
      </c>
      <c r="L11" s="966" t="s">
        <v>346</v>
      </c>
      <c r="M11" s="966" t="s">
        <v>347</v>
      </c>
      <c r="N11" s="969" t="s">
        <v>348</v>
      </c>
    </row>
    <row r="12" spans="1:14" x14ac:dyDescent="0.2">
      <c r="A12" s="971"/>
      <c r="B12" s="966" t="s">
        <v>349</v>
      </c>
      <c r="C12" s="966" t="s">
        <v>350</v>
      </c>
      <c r="D12" s="966" t="s">
        <v>351</v>
      </c>
      <c r="E12" s="966" t="s">
        <v>349</v>
      </c>
      <c r="F12" s="966" t="s">
        <v>350</v>
      </c>
      <c r="G12" s="967" t="s">
        <v>351</v>
      </c>
      <c r="H12" s="971"/>
      <c r="I12" s="966" t="s">
        <v>349</v>
      </c>
      <c r="J12" s="966" t="s">
        <v>350</v>
      </c>
      <c r="K12" s="966" t="s">
        <v>351</v>
      </c>
      <c r="L12" s="966" t="s">
        <v>349</v>
      </c>
      <c r="M12" s="966" t="s">
        <v>350</v>
      </c>
      <c r="N12" s="969" t="s">
        <v>351</v>
      </c>
    </row>
    <row r="13" spans="1:14" x14ac:dyDescent="0.2">
      <c r="A13" s="971"/>
      <c r="B13" s="966" t="s">
        <v>352</v>
      </c>
      <c r="C13" s="966" t="s">
        <v>353</v>
      </c>
      <c r="D13" s="966" t="s">
        <v>352</v>
      </c>
      <c r="E13" s="966" t="s">
        <v>352</v>
      </c>
      <c r="F13" s="966" t="s">
        <v>353</v>
      </c>
      <c r="G13" s="967" t="s">
        <v>352</v>
      </c>
      <c r="H13" s="970"/>
      <c r="I13" s="966" t="s">
        <v>352</v>
      </c>
      <c r="J13" s="966" t="s">
        <v>353</v>
      </c>
      <c r="K13" s="966" t="s">
        <v>352</v>
      </c>
      <c r="L13" s="966" t="s">
        <v>352</v>
      </c>
      <c r="M13" s="966" t="s">
        <v>353</v>
      </c>
      <c r="N13" s="969" t="s">
        <v>352</v>
      </c>
    </row>
    <row r="14" spans="1:14" x14ac:dyDescent="0.2">
      <c r="A14" s="971"/>
      <c r="B14" s="966" t="s">
        <v>354</v>
      </c>
      <c r="C14" s="966" t="s">
        <v>509</v>
      </c>
      <c r="D14" s="966" t="s">
        <v>354</v>
      </c>
      <c r="E14" s="966" t="s">
        <v>354</v>
      </c>
      <c r="F14" s="966" t="s">
        <v>509</v>
      </c>
      <c r="G14" s="967" t="s">
        <v>354</v>
      </c>
      <c r="H14" s="970"/>
      <c r="I14" s="966" t="s">
        <v>354</v>
      </c>
      <c r="J14" s="966" t="s">
        <v>509</v>
      </c>
      <c r="K14" s="966" t="s">
        <v>354</v>
      </c>
      <c r="L14" s="966" t="s">
        <v>354</v>
      </c>
      <c r="M14" s="966" t="s">
        <v>509</v>
      </c>
      <c r="N14" s="969" t="s">
        <v>354</v>
      </c>
    </row>
    <row r="15" spans="1:14" x14ac:dyDescent="0.2">
      <c r="A15" s="971"/>
      <c r="B15" s="966" t="s">
        <v>357</v>
      </c>
      <c r="C15" s="966" t="s">
        <v>358</v>
      </c>
      <c r="D15" s="966" t="s">
        <v>357</v>
      </c>
      <c r="E15" s="966" t="s">
        <v>357</v>
      </c>
      <c r="F15" s="966" t="s">
        <v>358</v>
      </c>
      <c r="G15" s="967" t="s">
        <v>357</v>
      </c>
      <c r="H15" s="970"/>
      <c r="I15" s="966" t="s">
        <v>357</v>
      </c>
      <c r="J15" s="966" t="s">
        <v>358</v>
      </c>
      <c r="K15" s="966" t="s">
        <v>357</v>
      </c>
      <c r="L15" s="966" t="s">
        <v>357</v>
      </c>
      <c r="M15" s="966" t="s">
        <v>358</v>
      </c>
      <c r="N15" s="969" t="s">
        <v>357</v>
      </c>
    </row>
    <row r="16" spans="1:14" x14ac:dyDescent="0.2">
      <c r="A16" s="972"/>
      <c r="B16" s="973" t="s">
        <v>359</v>
      </c>
      <c r="C16" s="974"/>
      <c r="D16" s="973" t="s">
        <v>359</v>
      </c>
      <c r="E16" s="973" t="s">
        <v>359</v>
      </c>
      <c r="F16" s="974"/>
      <c r="G16" s="975" t="s">
        <v>359</v>
      </c>
      <c r="H16" s="976"/>
      <c r="I16" s="973" t="s">
        <v>359</v>
      </c>
      <c r="J16" s="974"/>
      <c r="K16" s="973" t="s">
        <v>359</v>
      </c>
      <c r="L16" s="973" t="s">
        <v>359</v>
      </c>
      <c r="M16" s="974"/>
      <c r="N16" s="977" t="s">
        <v>359</v>
      </c>
    </row>
    <row r="17" spans="1:14" x14ac:dyDescent="0.2">
      <c r="A17" s="978">
        <v>1</v>
      </c>
      <c r="B17" s="979">
        <v>2</v>
      </c>
      <c r="C17" s="979">
        <v>3</v>
      </c>
      <c r="D17" s="979">
        <v>4</v>
      </c>
      <c r="E17" s="979">
        <v>5</v>
      </c>
      <c r="F17" s="979">
        <v>6</v>
      </c>
      <c r="G17" s="980">
        <v>7</v>
      </c>
      <c r="H17" s="978">
        <v>8</v>
      </c>
      <c r="I17" s="979">
        <v>9</v>
      </c>
      <c r="J17" s="979">
        <v>10</v>
      </c>
      <c r="K17" s="979">
        <v>11</v>
      </c>
      <c r="L17" s="979">
        <v>12</v>
      </c>
      <c r="M17" s="979">
        <v>13</v>
      </c>
      <c r="N17" s="981">
        <v>14</v>
      </c>
    </row>
    <row r="18" spans="1:14" x14ac:dyDescent="0.2">
      <c r="A18" s="971"/>
      <c r="B18" s="968"/>
      <c r="C18" s="968"/>
      <c r="D18" s="968"/>
      <c r="E18" s="968"/>
      <c r="F18" s="968"/>
      <c r="G18" s="982"/>
      <c r="H18" s="971"/>
      <c r="I18" s="968"/>
      <c r="J18" s="968"/>
      <c r="K18" s="968"/>
      <c r="L18" s="968"/>
      <c r="M18" s="966"/>
      <c r="N18" s="969"/>
    </row>
    <row r="19" spans="1:14" x14ac:dyDescent="0.2">
      <c r="A19" s="983" t="s">
        <v>753</v>
      </c>
      <c r="B19" s="984"/>
      <c r="C19" s="968"/>
      <c r="D19" s="968"/>
      <c r="E19" s="984"/>
      <c r="F19" s="968"/>
      <c r="G19" s="982"/>
      <c r="H19" s="983" t="s">
        <v>360</v>
      </c>
      <c r="I19" s="968"/>
      <c r="J19" s="968"/>
      <c r="K19" s="968"/>
      <c r="L19" s="968"/>
      <c r="M19" s="966"/>
      <c r="N19" s="969"/>
    </row>
    <row r="20" spans="1:14" x14ac:dyDescent="0.2">
      <c r="A20" s="964"/>
      <c r="B20" s="965"/>
      <c r="C20" s="965"/>
      <c r="D20" s="965"/>
      <c r="E20" s="965"/>
      <c r="F20" s="965"/>
      <c r="G20" s="985"/>
      <c r="H20" s="971"/>
      <c r="I20" s="968"/>
      <c r="J20" s="968"/>
      <c r="K20" s="968"/>
      <c r="L20" s="968"/>
      <c r="M20" s="966"/>
      <c r="N20" s="969"/>
    </row>
    <row r="21" spans="1:14" x14ac:dyDescent="0.2">
      <c r="A21" s="964" t="s">
        <v>697</v>
      </c>
      <c r="B21" s="965">
        <v>152222</v>
      </c>
      <c r="C21" s="965"/>
      <c r="D21" s="985">
        <f>SUM(B21:C21)</f>
        <v>152222</v>
      </c>
      <c r="E21" s="965">
        <v>140507</v>
      </c>
      <c r="F21" s="965"/>
      <c r="G21" s="985">
        <f>SUM(E21:F21)</f>
        <v>140507</v>
      </c>
      <c r="H21" s="964" t="s">
        <v>754</v>
      </c>
      <c r="I21" s="965">
        <v>85835489</v>
      </c>
      <c r="J21" s="965"/>
      <c r="K21" s="965">
        <f>SUM(I21:J21)</f>
        <v>85835489</v>
      </c>
      <c r="L21" s="965">
        <v>84359431</v>
      </c>
      <c r="M21" s="965"/>
      <c r="N21" s="987">
        <f>SUM(L21:M21)</f>
        <v>84359431</v>
      </c>
    </row>
    <row r="22" spans="1:14" x14ac:dyDescent="0.2">
      <c r="A22" s="964"/>
      <c r="B22" s="965"/>
      <c r="C22" s="965"/>
      <c r="D22" s="985"/>
      <c r="E22" s="965"/>
      <c r="F22" s="965"/>
      <c r="G22" s="985"/>
      <c r="H22" s="964"/>
      <c r="I22" s="965"/>
      <c r="J22" s="965"/>
      <c r="K22" s="965"/>
      <c r="L22" s="965"/>
      <c r="M22" s="965"/>
      <c r="N22" s="987"/>
    </row>
    <row r="23" spans="1:14" x14ac:dyDescent="0.2">
      <c r="A23" s="964" t="s">
        <v>698</v>
      </c>
      <c r="B23" s="965">
        <v>84452997</v>
      </c>
      <c r="C23" s="965"/>
      <c r="D23" s="985">
        <f>SUM(B23:C23)</f>
        <v>84452997</v>
      </c>
      <c r="E23" s="965">
        <v>82498138</v>
      </c>
      <c r="F23" s="965"/>
      <c r="G23" s="985">
        <f>SUM(E23:F23)</f>
        <v>82498138</v>
      </c>
      <c r="H23" s="964" t="s">
        <v>755</v>
      </c>
      <c r="I23" s="965">
        <v>2226709</v>
      </c>
      <c r="J23" s="965"/>
      <c r="K23" s="965">
        <f>SUM(I23:J23)</f>
        <v>2226709</v>
      </c>
      <c r="L23" s="965">
        <v>2374180</v>
      </c>
      <c r="M23" s="965"/>
      <c r="N23" s="987">
        <f>SUM(L23:M23)</f>
        <v>2374180</v>
      </c>
    </row>
    <row r="24" spans="1:14" x14ac:dyDescent="0.2">
      <c r="A24" s="964"/>
      <c r="B24" s="965"/>
      <c r="C24" s="965"/>
      <c r="D24" s="985"/>
      <c r="E24" s="965"/>
      <c r="F24" s="965"/>
      <c r="G24" s="985"/>
      <c r="H24" s="964"/>
      <c r="I24" s="965"/>
      <c r="J24" s="965"/>
      <c r="K24" s="965"/>
      <c r="L24" s="965"/>
      <c r="M24" s="965"/>
      <c r="N24" s="987"/>
    </row>
    <row r="25" spans="1:14" x14ac:dyDescent="0.2">
      <c r="A25" s="964" t="s">
        <v>699</v>
      </c>
      <c r="B25" s="965">
        <v>1906615</v>
      </c>
      <c r="C25" s="965"/>
      <c r="D25" s="985">
        <f>SUM(B25:C25)</f>
        <v>1906615</v>
      </c>
      <c r="E25" s="965">
        <v>2280100</v>
      </c>
      <c r="F25" s="965"/>
      <c r="G25" s="985">
        <f>SUM(E25:F25)</f>
        <v>2280100</v>
      </c>
      <c r="H25" s="964" t="s">
        <v>756</v>
      </c>
      <c r="I25" s="965">
        <v>22297</v>
      </c>
      <c r="J25" s="965"/>
      <c r="K25" s="965">
        <f>SUM(I25:J25)</f>
        <v>22297</v>
      </c>
      <c r="L25" s="965">
        <v>22297</v>
      </c>
      <c r="M25" s="965"/>
      <c r="N25" s="987">
        <f>SUM(L25:M25)</f>
        <v>22297</v>
      </c>
    </row>
    <row r="26" spans="1:14" x14ac:dyDescent="0.2">
      <c r="A26" s="964"/>
      <c r="B26" s="965"/>
      <c r="C26" s="965"/>
      <c r="D26" s="985"/>
      <c r="E26" s="965"/>
      <c r="F26" s="965"/>
      <c r="G26" s="985"/>
      <c r="H26" s="964"/>
      <c r="I26" s="965"/>
      <c r="J26" s="974"/>
      <c r="K26" s="974"/>
      <c r="L26" s="986"/>
      <c r="M26" s="974"/>
      <c r="N26" s="988"/>
    </row>
    <row r="27" spans="1:14" x14ac:dyDescent="0.2">
      <c r="A27" s="964" t="s">
        <v>559</v>
      </c>
      <c r="B27" s="965">
        <v>4441962</v>
      </c>
      <c r="C27" s="965"/>
      <c r="D27" s="985">
        <f>SUM(B27:C27)</f>
        <v>4441962</v>
      </c>
      <c r="E27" s="965">
        <v>4381549</v>
      </c>
      <c r="F27" s="965"/>
      <c r="G27" s="985">
        <f>SUM(E27:F27)</f>
        <v>4381549</v>
      </c>
      <c r="H27" s="989" t="s">
        <v>361</v>
      </c>
      <c r="I27" s="990">
        <f>SUM(I21:I25)</f>
        <v>88084495</v>
      </c>
      <c r="J27" s="990">
        <f>SUM(J21:J25)</f>
        <v>0</v>
      </c>
      <c r="K27" s="990">
        <f>SUM(K21:K25)</f>
        <v>88084495</v>
      </c>
      <c r="L27" s="990">
        <f>SUM(L21:L25)</f>
        <v>86755908</v>
      </c>
      <c r="M27" s="990">
        <f>SUM(M21:M25)</f>
        <v>0</v>
      </c>
      <c r="N27" s="991">
        <f>SUM(N21:N26)</f>
        <v>86755908</v>
      </c>
    </row>
    <row r="28" spans="1:14" x14ac:dyDescent="0.2">
      <c r="A28" s="964" t="s">
        <v>561</v>
      </c>
      <c r="B28" s="965"/>
      <c r="C28" s="965"/>
      <c r="D28" s="985"/>
      <c r="E28" s="965"/>
      <c r="F28" s="965"/>
      <c r="G28" s="985"/>
      <c r="H28" s="992"/>
      <c r="I28" s="993"/>
      <c r="J28" s="965"/>
      <c r="K28" s="965"/>
      <c r="L28" s="994"/>
      <c r="M28" s="965"/>
      <c r="N28" s="987"/>
    </row>
    <row r="29" spans="1:14" x14ac:dyDescent="0.2">
      <c r="A29" s="964" t="s">
        <v>560</v>
      </c>
      <c r="B29" s="965"/>
      <c r="C29" s="965"/>
      <c r="D29" s="985"/>
      <c r="E29" s="965"/>
      <c r="F29" s="965"/>
      <c r="G29" s="985"/>
      <c r="H29" s="992"/>
      <c r="I29" s="993"/>
      <c r="J29" s="965"/>
      <c r="K29" s="965"/>
      <c r="L29" s="994"/>
      <c r="M29" s="965"/>
      <c r="N29" s="987"/>
    </row>
    <row r="30" spans="1:14" x14ac:dyDescent="0.2">
      <c r="A30" s="976"/>
      <c r="B30" s="974"/>
      <c r="C30" s="974"/>
      <c r="D30" s="995"/>
      <c r="E30" s="974"/>
      <c r="F30" s="974"/>
      <c r="G30" s="995"/>
      <c r="H30" s="992" t="s">
        <v>45</v>
      </c>
      <c r="I30" s="993"/>
      <c r="J30" s="965"/>
      <c r="K30" s="965"/>
      <c r="L30" s="994"/>
      <c r="M30" s="965"/>
      <c r="N30" s="987"/>
    </row>
    <row r="31" spans="1:14" x14ac:dyDescent="0.2">
      <c r="A31" s="972" t="s">
        <v>336</v>
      </c>
      <c r="B31" s="990">
        <f t="shared" ref="B31:G31" si="0">SUM(B21:B30)</f>
        <v>90953796</v>
      </c>
      <c r="C31" s="990">
        <f t="shared" si="0"/>
        <v>0</v>
      </c>
      <c r="D31" s="990">
        <f t="shared" si="0"/>
        <v>90953796</v>
      </c>
      <c r="E31" s="990">
        <f t="shared" si="0"/>
        <v>89300294</v>
      </c>
      <c r="F31" s="990">
        <f t="shared" si="0"/>
        <v>0</v>
      </c>
      <c r="G31" s="990">
        <f t="shared" si="0"/>
        <v>89300294</v>
      </c>
      <c r="H31" s="992"/>
      <c r="I31" s="993"/>
      <c r="J31" s="993"/>
      <c r="K31" s="993"/>
      <c r="L31" s="994"/>
      <c r="M31" s="993"/>
      <c r="N31" s="996"/>
    </row>
    <row r="32" spans="1:14" x14ac:dyDescent="0.2">
      <c r="A32" s="964"/>
      <c r="B32" s="965"/>
      <c r="C32" s="965"/>
      <c r="D32" s="985"/>
      <c r="E32" s="965"/>
      <c r="F32" s="965"/>
      <c r="G32" s="985"/>
      <c r="H32" s="964" t="s">
        <v>700</v>
      </c>
      <c r="I32" s="986">
        <v>4580291</v>
      </c>
      <c r="J32" s="965"/>
      <c r="K32" s="965">
        <f>SUM(I32:J32)</f>
        <v>4580291</v>
      </c>
      <c r="L32" s="986">
        <v>4943491</v>
      </c>
      <c r="M32" s="965"/>
      <c r="N32" s="987">
        <f>SUM(L32:M32)</f>
        <v>4943491</v>
      </c>
    </row>
    <row r="33" spans="1:14" x14ac:dyDescent="0.2">
      <c r="A33" s="964"/>
      <c r="B33" s="965"/>
      <c r="C33" s="965"/>
      <c r="D33" s="985"/>
      <c r="E33" s="965"/>
      <c r="F33" s="965"/>
      <c r="G33" s="985"/>
      <c r="H33" s="964"/>
      <c r="I33" s="965"/>
      <c r="J33" s="965"/>
      <c r="K33" s="965"/>
      <c r="L33" s="986"/>
      <c r="M33" s="965"/>
      <c r="N33" s="987"/>
    </row>
    <row r="34" spans="1:14" x14ac:dyDescent="0.2">
      <c r="A34" s="992" t="s">
        <v>337</v>
      </c>
      <c r="B34" s="965"/>
      <c r="C34" s="965"/>
      <c r="D34" s="985"/>
      <c r="E34" s="965"/>
      <c r="F34" s="965"/>
      <c r="G34" s="985"/>
      <c r="H34" s="964" t="s">
        <v>701</v>
      </c>
      <c r="I34" s="965">
        <v>0</v>
      </c>
      <c r="J34" s="965"/>
      <c r="K34" s="965">
        <f>SUM(I34:J34)</f>
        <v>0</v>
      </c>
      <c r="L34" s="986">
        <v>0</v>
      </c>
      <c r="M34" s="965"/>
      <c r="N34" s="987">
        <f>SUM(L34:M34)</f>
        <v>0</v>
      </c>
    </row>
    <row r="35" spans="1:14" x14ac:dyDescent="0.2">
      <c r="A35" s="964"/>
      <c r="B35" s="965"/>
      <c r="C35" s="965"/>
      <c r="D35" s="985"/>
      <c r="E35" s="965"/>
      <c r="F35" s="965"/>
      <c r="G35" s="985"/>
      <c r="H35" s="976"/>
      <c r="I35" s="974"/>
      <c r="J35" s="974"/>
      <c r="K35" s="974"/>
      <c r="L35" s="997"/>
      <c r="M35" s="974"/>
      <c r="N35" s="988"/>
    </row>
    <row r="36" spans="1:14" x14ac:dyDescent="0.2">
      <c r="A36" s="964"/>
      <c r="B36" s="965"/>
      <c r="C36" s="965"/>
      <c r="D36" s="985"/>
      <c r="E36" s="965"/>
      <c r="F36" s="965"/>
      <c r="G36" s="985"/>
      <c r="H36" s="972" t="s">
        <v>338</v>
      </c>
      <c r="I36" s="990">
        <f t="shared" ref="I36:N36" si="1">SUM(I32:I35)</f>
        <v>4580291</v>
      </c>
      <c r="J36" s="990">
        <f t="shared" si="1"/>
        <v>0</v>
      </c>
      <c r="K36" s="990">
        <f t="shared" si="1"/>
        <v>4580291</v>
      </c>
      <c r="L36" s="990">
        <f t="shared" si="1"/>
        <v>4943491</v>
      </c>
      <c r="M36" s="990">
        <f t="shared" si="1"/>
        <v>0</v>
      </c>
      <c r="N36" s="991">
        <f t="shared" si="1"/>
        <v>4943491</v>
      </c>
    </row>
    <row r="37" spans="1:14" x14ac:dyDescent="0.2">
      <c r="A37" s="964" t="s">
        <v>702</v>
      </c>
      <c r="B37" s="965">
        <v>11376</v>
      </c>
      <c r="C37" s="965"/>
      <c r="D37" s="985">
        <f>SUM(B37:C37)</f>
        <v>11376</v>
      </c>
      <c r="E37" s="965">
        <v>18715</v>
      </c>
      <c r="F37" s="965"/>
      <c r="G37" s="985">
        <f>SUM(E37:F37)</f>
        <v>18715</v>
      </c>
      <c r="H37" s="964"/>
      <c r="I37" s="965"/>
      <c r="J37" s="965"/>
      <c r="K37" s="965"/>
      <c r="L37" s="986"/>
      <c r="M37" s="965"/>
      <c r="N37" s="987"/>
    </row>
    <row r="38" spans="1:14" x14ac:dyDescent="0.2">
      <c r="A38" s="964"/>
      <c r="B38" s="965"/>
      <c r="C38" s="965"/>
      <c r="D38" s="985"/>
      <c r="E38" s="965"/>
      <c r="F38" s="965"/>
      <c r="G38" s="985"/>
      <c r="H38" s="964"/>
      <c r="I38" s="965"/>
      <c r="J38" s="965"/>
      <c r="K38" s="965"/>
      <c r="L38" s="986"/>
      <c r="M38" s="965"/>
      <c r="N38" s="987"/>
    </row>
    <row r="39" spans="1:14" x14ac:dyDescent="0.2">
      <c r="A39" s="964" t="s">
        <v>703</v>
      </c>
      <c r="B39" s="965">
        <v>1001774</v>
      </c>
      <c r="C39" s="965"/>
      <c r="D39" s="985">
        <f>SUM(B39:C39)</f>
        <v>1001774</v>
      </c>
      <c r="E39" s="965">
        <v>1101525</v>
      </c>
      <c r="F39" s="965"/>
      <c r="G39" s="985">
        <f>SUM(E39:F39)</f>
        <v>1101525</v>
      </c>
      <c r="H39" s="992" t="s">
        <v>339</v>
      </c>
      <c r="I39" s="965"/>
      <c r="J39" s="965"/>
      <c r="K39" s="965"/>
      <c r="L39" s="986"/>
      <c r="M39" s="965"/>
      <c r="N39" s="987"/>
    </row>
    <row r="40" spans="1:14" x14ac:dyDescent="0.2">
      <c r="A40" s="964"/>
      <c r="B40" s="965"/>
      <c r="C40" s="965"/>
      <c r="D40" s="985"/>
      <c r="E40" s="965"/>
      <c r="F40" s="965"/>
      <c r="G40" s="985"/>
      <c r="H40" s="964"/>
      <c r="I40" s="965"/>
      <c r="J40" s="965"/>
      <c r="K40" s="965"/>
      <c r="L40" s="986"/>
      <c r="M40" s="965"/>
      <c r="N40" s="987"/>
    </row>
    <row r="41" spans="1:14" x14ac:dyDescent="0.2">
      <c r="A41" s="964" t="s">
        <v>704</v>
      </c>
      <c r="B41" s="965">
        <v>0</v>
      </c>
      <c r="C41" s="965"/>
      <c r="D41" s="985">
        <f>SUM(B41:C41)</f>
        <v>0</v>
      </c>
      <c r="E41" s="965">
        <v>0</v>
      </c>
      <c r="F41" s="965"/>
      <c r="G41" s="985">
        <f>SUM(E41:F41)</f>
        <v>0</v>
      </c>
      <c r="H41" s="964" t="s">
        <v>705</v>
      </c>
      <c r="I41" s="986">
        <v>1129562</v>
      </c>
      <c r="J41" s="965"/>
      <c r="K41" s="965">
        <f>SUM(I41:J41)</f>
        <v>1129562</v>
      </c>
      <c r="L41" s="986">
        <v>982145</v>
      </c>
      <c r="M41" s="965"/>
      <c r="N41" s="987">
        <f>SUM(L41:M41)</f>
        <v>982145</v>
      </c>
    </row>
    <row r="42" spans="1:14" x14ac:dyDescent="0.2">
      <c r="A42" s="964"/>
      <c r="B42" s="965"/>
      <c r="C42" s="965"/>
      <c r="D42" s="985"/>
      <c r="E42" s="965"/>
      <c r="F42" s="965"/>
      <c r="G42" s="985"/>
      <c r="H42" s="964"/>
      <c r="I42" s="986"/>
      <c r="J42" s="965"/>
      <c r="K42" s="965"/>
      <c r="L42" s="986"/>
      <c r="M42" s="965"/>
      <c r="N42" s="987"/>
    </row>
    <row r="43" spans="1:14" x14ac:dyDescent="0.2">
      <c r="A43" s="964" t="s">
        <v>706</v>
      </c>
      <c r="B43" s="965">
        <v>4530837</v>
      </c>
      <c r="C43" s="965"/>
      <c r="D43" s="985">
        <f>SUM(B43:C43)</f>
        <v>4530837</v>
      </c>
      <c r="E43" s="965">
        <v>4912072</v>
      </c>
      <c r="F43" s="965"/>
      <c r="G43" s="985">
        <f>SUM(E43:F43)</f>
        <v>4912072</v>
      </c>
      <c r="H43" s="964" t="s">
        <v>707</v>
      </c>
      <c r="I43" s="986">
        <v>2752889</v>
      </c>
      <c r="J43" s="965"/>
      <c r="K43" s="965">
        <f>SUM(I43:J43)</f>
        <v>2752889</v>
      </c>
      <c r="L43" s="986">
        <v>2682481</v>
      </c>
      <c r="M43" s="965"/>
      <c r="N43" s="987">
        <f>SUM(L43:M43)</f>
        <v>2682481</v>
      </c>
    </row>
    <row r="44" spans="1:14" x14ac:dyDescent="0.2">
      <c r="A44" s="964"/>
      <c r="B44" s="965"/>
      <c r="C44" s="965"/>
      <c r="D44" s="985"/>
      <c r="E44" s="965"/>
      <c r="F44" s="965"/>
      <c r="G44" s="985"/>
      <c r="H44" s="964"/>
      <c r="I44" s="986"/>
      <c r="J44" s="965"/>
      <c r="K44" s="965"/>
      <c r="L44" s="986"/>
      <c r="M44" s="965"/>
      <c r="N44" s="987"/>
    </row>
    <row r="45" spans="1:14" x14ac:dyDescent="0.2">
      <c r="A45" s="964" t="s">
        <v>752</v>
      </c>
      <c r="B45" s="965">
        <v>152684</v>
      </c>
      <c r="C45" s="965"/>
      <c r="D45" s="985">
        <f>SUM(B45:C45)</f>
        <v>152684</v>
      </c>
      <c r="E45" s="965">
        <v>166909</v>
      </c>
      <c r="F45" s="965"/>
      <c r="G45" s="985">
        <f>SUM(E45:F45)</f>
        <v>166909</v>
      </c>
      <c r="H45" s="964" t="s">
        <v>708</v>
      </c>
      <c r="I45" s="986">
        <v>103230</v>
      </c>
      <c r="J45" s="965"/>
      <c r="K45" s="965">
        <f>SUM(I45:J45)</f>
        <v>103230</v>
      </c>
      <c r="L45" s="986">
        <v>135490</v>
      </c>
      <c r="M45" s="965"/>
      <c r="N45" s="987">
        <f>SUM(L45:M45)</f>
        <v>135490</v>
      </c>
    </row>
    <row r="46" spans="1:14" x14ac:dyDescent="0.2">
      <c r="A46" s="964"/>
      <c r="B46" s="965"/>
      <c r="C46" s="965"/>
      <c r="D46" s="985"/>
      <c r="E46" s="965"/>
      <c r="F46" s="965"/>
      <c r="G46" s="985"/>
      <c r="H46" s="992"/>
      <c r="I46" s="993"/>
      <c r="J46" s="998"/>
      <c r="K46" s="998"/>
      <c r="L46" s="994"/>
      <c r="M46" s="998"/>
      <c r="N46" s="999"/>
    </row>
    <row r="47" spans="1:14" x14ac:dyDescent="0.2">
      <c r="A47" s="989" t="s">
        <v>676</v>
      </c>
      <c r="B47" s="990">
        <f t="shared" ref="B47:G47" si="2">SUM(B37:B45)</f>
        <v>5696671</v>
      </c>
      <c r="C47" s="990">
        <f t="shared" si="2"/>
        <v>0</v>
      </c>
      <c r="D47" s="990">
        <f t="shared" si="2"/>
        <v>5696671</v>
      </c>
      <c r="E47" s="990">
        <f t="shared" si="2"/>
        <v>6199221</v>
      </c>
      <c r="F47" s="990">
        <f t="shared" si="2"/>
        <v>0</v>
      </c>
      <c r="G47" s="990">
        <f t="shared" si="2"/>
        <v>6199221</v>
      </c>
      <c r="H47" s="989" t="s">
        <v>677</v>
      </c>
      <c r="I47" s="990">
        <f t="shared" ref="I47:N47" si="3">SUM(I41:I46)</f>
        <v>3985681</v>
      </c>
      <c r="J47" s="990">
        <f t="shared" si="3"/>
        <v>0</v>
      </c>
      <c r="K47" s="990">
        <f t="shared" si="3"/>
        <v>3985681</v>
      </c>
      <c r="L47" s="990">
        <f t="shared" si="3"/>
        <v>3800116</v>
      </c>
      <c r="M47" s="990">
        <f t="shared" si="3"/>
        <v>0</v>
      </c>
      <c r="N47" s="991">
        <f t="shared" si="3"/>
        <v>3800116</v>
      </c>
    </row>
    <row r="48" spans="1:14" x14ac:dyDescent="0.2">
      <c r="A48" s="964"/>
      <c r="B48" s="965"/>
      <c r="C48" s="965"/>
      <c r="D48" s="985"/>
      <c r="E48" s="965"/>
      <c r="F48" s="965"/>
      <c r="G48" s="985"/>
      <c r="H48" s="992"/>
      <c r="I48" s="1000"/>
      <c r="J48" s="965"/>
      <c r="K48" s="965"/>
      <c r="L48" s="1001"/>
      <c r="M48" s="965"/>
      <c r="N48" s="987"/>
    </row>
    <row r="49" spans="1:14" ht="13.5" thickBot="1" x14ac:dyDescent="0.25">
      <c r="A49" s="1002" t="s">
        <v>678</v>
      </c>
      <c r="B49" s="1003">
        <f t="shared" ref="B49:G49" si="4">B31+B47</f>
        <v>96650467</v>
      </c>
      <c r="C49" s="1003">
        <f t="shared" si="4"/>
        <v>0</v>
      </c>
      <c r="D49" s="1003">
        <f t="shared" si="4"/>
        <v>96650467</v>
      </c>
      <c r="E49" s="1003">
        <f t="shared" si="4"/>
        <v>95499515</v>
      </c>
      <c r="F49" s="1003">
        <f t="shared" si="4"/>
        <v>0</v>
      </c>
      <c r="G49" s="1003">
        <f t="shared" si="4"/>
        <v>95499515</v>
      </c>
      <c r="H49" s="1002" t="s">
        <v>679</v>
      </c>
      <c r="I49" s="1003">
        <f t="shared" ref="I49:N49" si="5">I27+I36+I47</f>
        <v>96650467</v>
      </c>
      <c r="J49" s="1003">
        <f t="shared" si="5"/>
        <v>0</v>
      </c>
      <c r="K49" s="1003">
        <f t="shared" si="5"/>
        <v>96650467</v>
      </c>
      <c r="L49" s="1004">
        <f t="shared" si="5"/>
        <v>95499515</v>
      </c>
      <c r="M49" s="1003">
        <f t="shared" si="5"/>
        <v>0</v>
      </c>
      <c r="N49" s="1005">
        <f t="shared" si="5"/>
        <v>95499515</v>
      </c>
    </row>
  </sheetData>
  <mergeCells count="2">
    <mergeCell ref="A4:N4"/>
    <mergeCell ref="A5:N5"/>
  </mergeCells>
  <phoneticPr fontId="0" type="noConversion"/>
  <printOptions horizontalCentered="1" verticalCentered="1"/>
  <pageMargins left="0" right="0" top="0" bottom="0" header="0.51181102362204722" footer="0.51181102362204722"/>
  <pageSetup paperSize="9" scale="80" orientation="landscape" horizontalDpi="4294967292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60"/>
  <sheetViews>
    <sheetView topLeftCell="A4" zoomScale="90" workbookViewId="0">
      <selection activeCell="D14" sqref="D14"/>
    </sheetView>
  </sheetViews>
  <sheetFormatPr defaultRowHeight="15" x14ac:dyDescent="0.2"/>
  <cols>
    <col min="1" max="1" width="5.5703125" style="86" customWidth="1"/>
    <col min="2" max="2" width="68.5703125" style="86" customWidth="1"/>
    <col min="3" max="5" width="14.7109375" style="86" customWidth="1"/>
    <col min="6" max="16384" width="9.140625" style="86"/>
  </cols>
  <sheetData>
    <row r="2" spans="1:46" ht="15.75" hidden="1" x14ac:dyDescent="0.25">
      <c r="C2" s="14"/>
      <c r="D2" s="14"/>
      <c r="E2" s="324" t="s">
        <v>710</v>
      </c>
    </row>
    <row r="3" spans="1:46" ht="15.75" hidden="1" x14ac:dyDescent="0.25">
      <c r="C3" s="14"/>
      <c r="D3" s="14"/>
      <c r="E3" s="324" t="s">
        <v>57</v>
      </c>
    </row>
    <row r="4" spans="1:46" ht="15.75" x14ac:dyDescent="0.25">
      <c r="C4" s="14"/>
      <c r="D4" s="14"/>
      <c r="E4" s="324" t="s">
        <v>670</v>
      </c>
    </row>
    <row r="5" spans="1:46" ht="9.9499999999999993" customHeight="1" x14ac:dyDescent="0.25">
      <c r="A5" s="2339" t="s">
        <v>281</v>
      </c>
      <c r="B5" s="2339"/>
      <c r="C5" s="2339"/>
      <c r="D5" s="2339"/>
      <c r="E5" s="2339"/>
    </row>
    <row r="6" spans="1:46" ht="15.75" x14ac:dyDescent="0.25">
      <c r="A6" s="2372" t="s">
        <v>542</v>
      </c>
      <c r="B6" s="2372"/>
      <c r="C6" s="2372"/>
      <c r="D6" s="2372"/>
      <c r="E6" s="2372"/>
    </row>
    <row r="7" spans="1:46" ht="13.5" customHeight="1" x14ac:dyDescent="0.2">
      <c r="A7" s="2363" t="s">
        <v>58</v>
      </c>
      <c r="B7" s="2363"/>
      <c r="C7" s="2363"/>
      <c r="D7" s="2363"/>
      <c r="E7" s="2363"/>
    </row>
    <row r="8" spans="1:46" ht="16.5" thickBot="1" x14ac:dyDescent="0.3">
      <c r="A8" s="47"/>
      <c r="B8" s="14"/>
      <c r="C8" s="14"/>
      <c r="D8" s="14"/>
      <c r="E8" s="14"/>
    </row>
    <row r="9" spans="1:46" ht="16.5" thickBot="1" x14ac:dyDescent="0.3">
      <c r="A9" s="444" t="s">
        <v>680</v>
      </c>
      <c r="B9" s="2368" t="s">
        <v>681</v>
      </c>
      <c r="C9" s="445" t="s">
        <v>158</v>
      </c>
      <c r="D9" s="445" t="s">
        <v>161</v>
      </c>
      <c r="E9" s="2370" t="s">
        <v>196</v>
      </c>
    </row>
    <row r="10" spans="1:46" ht="16.5" thickBot="1" x14ac:dyDescent="0.3">
      <c r="A10" s="446" t="s">
        <v>208</v>
      </c>
      <c r="B10" s="2369"/>
      <c r="C10" s="2366" t="s">
        <v>8</v>
      </c>
      <c r="D10" s="2367"/>
      <c r="E10" s="2371"/>
    </row>
    <row r="11" spans="1:46" ht="15.75" customHeight="1" x14ac:dyDescent="0.2">
      <c r="A11" s="420">
        <v>1</v>
      </c>
      <c r="B11" s="421" t="s">
        <v>328</v>
      </c>
      <c r="C11" s="447">
        <f>T_2_kiadás!C15</f>
        <v>5234900.07</v>
      </c>
      <c r="D11" s="447">
        <f>T_2_kiadás!D15</f>
        <v>5458128.6389999995</v>
      </c>
      <c r="E11" s="448">
        <f>T_2_kiadás!E15</f>
        <v>5116507.5469999993</v>
      </c>
    </row>
    <row r="12" spans="1:46" ht="15.75" customHeight="1" x14ac:dyDescent="0.2">
      <c r="A12" s="420">
        <v>2</v>
      </c>
      <c r="B12" s="421" t="s">
        <v>160</v>
      </c>
      <c r="C12" s="447">
        <f>T_2_kiadás!C16</f>
        <v>1270201.9180000001</v>
      </c>
      <c r="D12" s="447">
        <f>T_2_kiadás!D16</f>
        <v>1382043.0759999999</v>
      </c>
      <c r="E12" s="448">
        <f>T_2_kiadás!E16</f>
        <v>1237823.5890000002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</row>
    <row r="13" spans="1:46" ht="15.75" customHeight="1" x14ac:dyDescent="0.2">
      <c r="A13" s="420">
        <v>3</v>
      </c>
      <c r="B13" s="421" t="s">
        <v>682</v>
      </c>
      <c r="C13" s="447">
        <f>T_2_kiadás!C17</f>
        <v>5762906.352</v>
      </c>
      <c r="D13" s="447">
        <f>T_2_kiadás!D17</f>
        <v>6358452.8029999994</v>
      </c>
      <c r="E13" s="448">
        <f>T_2_kiadás!E17</f>
        <v>5247222.2570000002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</row>
    <row r="14" spans="1:46" ht="15.75" customHeight="1" x14ac:dyDescent="0.2">
      <c r="A14" s="420">
        <v>4</v>
      </c>
      <c r="B14" s="421" t="s">
        <v>219</v>
      </c>
      <c r="C14" s="447">
        <f>T_2_kiadás!C20+T_2_kiadás!C25</f>
        <v>3196249</v>
      </c>
      <c r="D14" s="447">
        <f>T_2_kiadás!D20+T_2_kiadás!D25</f>
        <v>2166748.5359999998</v>
      </c>
      <c r="E14" s="448">
        <f>T_2_kiadás!E20+T_2_kiadás!E25</f>
        <v>947175.48199999996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</row>
    <row r="15" spans="1:46" ht="15.75" customHeight="1" x14ac:dyDescent="0.2">
      <c r="A15" s="420">
        <v>5</v>
      </c>
      <c r="B15" s="421" t="s">
        <v>220</v>
      </c>
      <c r="C15" s="447">
        <f>T_2_kiadás!C23</f>
        <v>0</v>
      </c>
      <c r="D15" s="447">
        <f>T_2_kiadás!D23</f>
        <v>0</v>
      </c>
      <c r="E15" s="448">
        <f>T_2_kiadás!E23</f>
        <v>0</v>
      </c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</row>
    <row r="16" spans="1:46" ht="15.75" customHeight="1" x14ac:dyDescent="0.2">
      <c r="A16" s="420">
        <v>6</v>
      </c>
      <c r="B16" s="421" t="s">
        <v>221</v>
      </c>
      <c r="C16" s="447">
        <f>T_2_kiadás!C26</f>
        <v>54512</v>
      </c>
      <c r="D16" s="447">
        <f>T_2_kiadás!D26</f>
        <v>70493</v>
      </c>
      <c r="E16" s="448">
        <f>T_2_kiadás!E26</f>
        <v>63321.834999999999</v>
      </c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</row>
    <row r="17" spans="1:45" ht="15.75" customHeight="1" x14ac:dyDescent="0.2">
      <c r="A17" s="420">
        <v>7</v>
      </c>
      <c r="B17" s="421" t="s">
        <v>10</v>
      </c>
      <c r="C17" s="447">
        <f>T_2_kiadás!C31</f>
        <v>2588905</v>
      </c>
      <c r="D17" s="447">
        <f>T_2_kiadás!D31</f>
        <v>5978740.3319999995</v>
      </c>
      <c r="E17" s="448">
        <f>T_2_kiadás!E31</f>
        <v>3613134.8929999992</v>
      </c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</row>
    <row r="18" spans="1:45" ht="15.75" customHeight="1" x14ac:dyDescent="0.2">
      <c r="A18" s="420">
        <v>8</v>
      </c>
      <c r="B18" s="421" t="s">
        <v>242</v>
      </c>
      <c r="C18" s="447">
        <f>T_2_kiadás!C32</f>
        <v>2099857</v>
      </c>
      <c r="D18" s="447">
        <f>T_2_kiadás!D32+T_2_kiadás!D37</f>
        <v>5140973.6999999993</v>
      </c>
      <c r="E18" s="448">
        <f>T_2_kiadás!E32+T_2_kiadás!E37</f>
        <v>3313894.1099999994</v>
      </c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</row>
    <row r="19" spans="1:45" ht="15.75" customHeight="1" x14ac:dyDescent="0.2">
      <c r="A19" s="420">
        <v>9</v>
      </c>
      <c r="B19" s="421" t="s">
        <v>222</v>
      </c>
      <c r="C19" s="447">
        <f>T_2_kiadás!C21+T_2_kiadás!C37</f>
        <v>0</v>
      </c>
      <c r="D19" s="447">
        <f>T_2_kiadás!D21</f>
        <v>0</v>
      </c>
      <c r="E19" s="448">
        <f>T_2_kiadás!E21</f>
        <v>0</v>
      </c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</row>
    <row r="20" spans="1:45" ht="15.75" customHeight="1" x14ac:dyDescent="0.2">
      <c r="A20" s="420">
        <v>10</v>
      </c>
      <c r="B20" s="421" t="s">
        <v>260</v>
      </c>
      <c r="C20" s="447">
        <f>T_2_kiadás!C24</f>
        <v>0</v>
      </c>
      <c r="D20" s="447">
        <f>T_2_kiadás!D24</f>
        <v>0</v>
      </c>
      <c r="E20" s="448">
        <f>T_2_kiadás!E24</f>
        <v>0</v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</row>
    <row r="21" spans="1:45" ht="15.75" customHeight="1" x14ac:dyDescent="0.2">
      <c r="A21" s="420">
        <v>11</v>
      </c>
      <c r="B21" s="421" t="s">
        <v>261</v>
      </c>
      <c r="C21" s="447">
        <f>T_2_kiadás!C35</f>
        <v>0</v>
      </c>
      <c r="D21" s="447">
        <f>T_2_kiadás!D35</f>
        <v>0</v>
      </c>
      <c r="E21" s="448">
        <f>T_2_kiadás!E35</f>
        <v>0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</row>
    <row r="22" spans="1:45" ht="15.75" customHeight="1" x14ac:dyDescent="0.2">
      <c r="A22" s="420">
        <v>12</v>
      </c>
      <c r="B22" s="421" t="s">
        <v>262</v>
      </c>
      <c r="C22" s="447">
        <f>T_2_kiadás!C34</f>
        <v>456228</v>
      </c>
      <c r="D22" s="447">
        <f>T_2_kiadás!D34</f>
        <v>771857</v>
      </c>
      <c r="E22" s="448">
        <f>T_2_kiadás!E34</f>
        <v>248763.402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</row>
    <row r="23" spans="1:45" ht="15.75" customHeight="1" x14ac:dyDescent="0.2">
      <c r="A23" s="422">
        <v>13</v>
      </c>
      <c r="B23" s="423" t="s">
        <v>263</v>
      </c>
      <c r="C23" s="449">
        <f>SUM(C11:C22)</f>
        <v>20663759.34</v>
      </c>
      <c r="D23" s="449">
        <f>SUM(D11:D22)</f>
        <v>27327437.085999999</v>
      </c>
      <c r="E23" s="450">
        <f>SUM(E11:E22)</f>
        <v>19787843.114999998</v>
      </c>
    </row>
    <row r="24" spans="1:45" ht="15.75" customHeight="1" x14ac:dyDescent="0.2">
      <c r="A24" s="424">
        <v>14</v>
      </c>
      <c r="B24" s="425" t="s">
        <v>757</v>
      </c>
      <c r="C24" s="532">
        <f>T_2_kiadás!C38</f>
        <v>600</v>
      </c>
      <c r="D24" s="532">
        <f>T_2_kiadás!D38</f>
        <v>58478</v>
      </c>
      <c r="E24" s="536">
        <f>T_2_kiadás!E38</f>
        <v>57243.025000000001</v>
      </c>
    </row>
    <row r="25" spans="1:45" ht="15.75" customHeight="1" x14ac:dyDescent="0.2">
      <c r="A25" s="420">
        <v>15</v>
      </c>
      <c r="B25" s="425" t="s">
        <v>758</v>
      </c>
      <c r="C25" s="458"/>
      <c r="D25" s="458"/>
      <c r="E25" s="459"/>
    </row>
    <row r="26" spans="1:45" ht="15.75" customHeight="1" x14ac:dyDescent="0.2">
      <c r="A26" s="420">
        <v>16</v>
      </c>
      <c r="B26" s="425" t="s">
        <v>759</v>
      </c>
      <c r="C26" s="458"/>
      <c r="D26" s="458"/>
      <c r="E26" s="459"/>
    </row>
    <row r="27" spans="1:45" ht="15.75" customHeight="1" x14ac:dyDescent="0.2">
      <c r="A27" s="420">
        <v>17</v>
      </c>
      <c r="B27" s="425" t="s">
        <v>264</v>
      </c>
      <c r="C27" s="451"/>
      <c r="D27" s="447"/>
      <c r="E27" s="448"/>
    </row>
    <row r="28" spans="1:45" ht="15.75" customHeight="1" x14ac:dyDescent="0.2">
      <c r="A28" s="420">
        <v>18</v>
      </c>
      <c r="B28" s="425" t="s">
        <v>265</v>
      </c>
      <c r="C28" s="451"/>
      <c r="D28" s="451"/>
      <c r="E28" s="1399"/>
    </row>
    <row r="29" spans="1:45" ht="15.75" customHeight="1" x14ac:dyDescent="0.2">
      <c r="A29" s="420">
        <v>19</v>
      </c>
      <c r="B29" s="1398" t="s">
        <v>243</v>
      </c>
      <c r="C29" s="451"/>
      <c r="D29" s="451"/>
      <c r="E29" s="1399"/>
    </row>
    <row r="30" spans="1:45" ht="15.75" customHeight="1" x14ac:dyDescent="0.2">
      <c r="A30" s="422">
        <v>20</v>
      </c>
      <c r="B30" s="426" t="s">
        <v>245</v>
      </c>
      <c r="C30" s="452">
        <f>SUM(C24:C28)</f>
        <v>600</v>
      </c>
      <c r="D30" s="452">
        <f>SUM(D24:D28)</f>
        <v>58478</v>
      </c>
      <c r="E30" s="537">
        <f>SUM(E24:E28)</f>
        <v>57243.025000000001</v>
      </c>
    </row>
    <row r="31" spans="1:45" ht="15.75" customHeight="1" x14ac:dyDescent="0.2">
      <c r="A31" s="422">
        <v>21</v>
      </c>
      <c r="B31" s="426" t="s">
        <v>244</v>
      </c>
      <c r="C31" s="452">
        <f>C23+C30</f>
        <v>20664359.34</v>
      </c>
      <c r="D31" s="452">
        <f>D23+D30</f>
        <v>27385915.085999999</v>
      </c>
      <c r="E31" s="537">
        <f>E23+E30</f>
        <v>19845086.139999997</v>
      </c>
    </row>
    <row r="32" spans="1:45" ht="15.75" customHeight="1" x14ac:dyDescent="0.2">
      <c r="A32" s="420">
        <v>22</v>
      </c>
      <c r="B32" s="421" t="s">
        <v>48</v>
      </c>
      <c r="C32" s="533">
        <f>T_2_kiadás!C27</f>
        <v>0</v>
      </c>
      <c r="D32" s="533">
        <f>T_2_kiadás!D27</f>
        <v>0</v>
      </c>
      <c r="E32" s="538">
        <f>T_2_kiadás!E27</f>
        <v>0</v>
      </c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</row>
    <row r="33" spans="1:45" ht="15.75" customHeight="1" x14ac:dyDescent="0.2">
      <c r="A33" s="427">
        <v>23</v>
      </c>
      <c r="B33" s="428" t="s">
        <v>266</v>
      </c>
      <c r="C33" s="453"/>
      <c r="D33" s="453"/>
      <c r="E33" s="454">
        <f>T_2_kiadás!E40</f>
        <v>4053.596</v>
      </c>
    </row>
    <row r="34" spans="1:45" ht="15.75" customHeight="1" x14ac:dyDescent="0.2">
      <c r="A34" s="422">
        <v>24</v>
      </c>
      <c r="B34" s="429" t="s">
        <v>246</v>
      </c>
      <c r="C34" s="449">
        <f>SUM(C31:C33)</f>
        <v>20664359.34</v>
      </c>
      <c r="D34" s="449">
        <f>SUM(D31:D33)</f>
        <v>27385915.085999999</v>
      </c>
      <c r="E34" s="450">
        <f>SUM(E31:E33)</f>
        <v>19849139.735999998</v>
      </c>
    </row>
    <row r="35" spans="1:45" ht="15.75" customHeight="1" x14ac:dyDescent="0.2">
      <c r="A35" s="424">
        <v>25</v>
      </c>
      <c r="B35" s="430" t="s">
        <v>251</v>
      </c>
      <c r="C35" s="533">
        <f>T_3_bevétel!C13</f>
        <v>14801572.34</v>
      </c>
      <c r="D35" s="533">
        <f>T_3_bevétel!D13</f>
        <v>15099487.318</v>
      </c>
      <c r="E35" s="538">
        <f>T_3_bevétel!E13</f>
        <v>15422064.206999999</v>
      </c>
    </row>
    <row r="36" spans="1:45" ht="15.75" customHeight="1" x14ac:dyDescent="0.2">
      <c r="A36" s="420">
        <v>26</v>
      </c>
      <c r="B36" s="421" t="s">
        <v>267</v>
      </c>
      <c r="C36" s="447">
        <f>T_3_bevétel!C54</f>
        <v>558366.446</v>
      </c>
      <c r="D36" s="447">
        <f>T_3_bevétel!D54+T_3_bevétel!D91</f>
        <v>9174721.7219999991</v>
      </c>
      <c r="E36" s="448">
        <f>T_3_bevétel!E54</f>
        <v>487627.54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</row>
    <row r="37" spans="1:45" ht="15.75" customHeight="1" x14ac:dyDescent="0.2">
      <c r="A37" s="420">
        <v>27</v>
      </c>
      <c r="B37" s="421" t="s">
        <v>268</v>
      </c>
      <c r="C37" s="447">
        <f>T_3_bevétel!C88</f>
        <v>1916557</v>
      </c>
      <c r="D37" s="447">
        <f>T_3_bevétel!D88</f>
        <v>12591119.504999999</v>
      </c>
      <c r="E37" s="448">
        <f>T_3_bevétel!E88</f>
        <v>12195560.194999998</v>
      </c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</row>
    <row r="38" spans="1:45" ht="15.75" customHeight="1" x14ac:dyDescent="0.2">
      <c r="A38" s="431">
        <v>28</v>
      </c>
      <c r="B38" s="432" t="s">
        <v>49</v>
      </c>
      <c r="C38" s="447">
        <f>T_3_bevétel!C59-C44</f>
        <v>-3881.9790000000012</v>
      </c>
      <c r="D38" s="447">
        <f>T_3_bevétel!D59-D44</f>
        <v>-16363.714000000007</v>
      </c>
      <c r="E38" s="448">
        <f>T_3_bevétel!E59-E44</f>
        <v>1698.0209999999934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</row>
    <row r="39" spans="1:45" s="175" customFormat="1" ht="15.75" customHeight="1" x14ac:dyDescent="0.2">
      <c r="A39" s="433">
        <v>29</v>
      </c>
      <c r="B39" s="434" t="s">
        <v>443</v>
      </c>
      <c r="C39" s="455">
        <f>T_3_bevétel!C60+T_3_bevétel!C69</f>
        <v>0</v>
      </c>
      <c r="D39" s="455">
        <f>T_3_bevétel!D60+T_3_bevétel!D69-T_3_bevétel!D68</f>
        <v>-1363107</v>
      </c>
      <c r="E39" s="1012">
        <f>T_3_bevétel!E60+T_3_bevétel!E69-T_3_bevétel!E68</f>
        <v>-828495.41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</row>
    <row r="40" spans="1:45" s="175" customFormat="1" ht="15.75" customHeight="1" x14ac:dyDescent="0.2">
      <c r="A40" s="435">
        <v>30</v>
      </c>
      <c r="B40" s="421" t="s">
        <v>269</v>
      </c>
      <c r="C40" s="458">
        <f>T_3_bevétel!C56</f>
        <v>115930</v>
      </c>
      <c r="D40" s="458">
        <f>T_3_bevétel!D56+T_3_bevétel!D92</f>
        <v>4058541.2379999999</v>
      </c>
      <c r="E40" s="459">
        <f>T_3_bevétel!E56</f>
        <v>148458.864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</row>
    <row r="41" spans="1:45" s="175" customFormat="1" ht="15.75" customHeight="1" x14ac:dyDescent="0.2">
      <c r="A41" s="435">
        <v>31</v>
      </c>
      <c r="B41" s="421" t="s">
        <v>270</v>
      </c>
      <c r="C41" s="458">
        <f>T_3_bevétel!C89</f>
        <v>1916557</v>
      </c>
      <c r="D41" s="458">
        <f>T_3_bevétel!D89</f>
        <v>12591119.504999999</v>
      </c>
      <c r="E41" s="459">
        <f>T_3_bevétel!E89</f>
        <v>12195560.194999998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</row>
    <row r="42" spans="1:45" ht="15.75" customHeight="1" x14ac:dyDescent="0.2">
      <c r="A42" s="431">
        <v>32</v>
      </c>
      <c r="B42" s="432" t="s">
        <v>271</v>
      </c>
      <c r="C42" s="447">
        <f>T_3_bevétel!C49+T_3_bevétel!C50</f>
        <v>1359375.1980000001</v>
      </c>
      <c r="D42" s="447">
        <f>T_3_bevétel!D49+T_3_bevétel!D50</f>
        <v>1421063.598</v>
      </c>
      <c r="E42" s="448">
        <f>T_3_bevétel!E49+T_3_bevétel!E50</f>
        <v>1399760.3149999999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</row>
    <row r="43" spans="1:45" s="175" customFormat="1" ht="15.75" customHeight="1" x14ac:dyDescent="0.2">
      <c r="A43" s="433">
        <v>33</v>
      </c>
      <c r="B43" s="436" t="s">
        <v>272</v>
      </c>
      <c r="C43" s="456">
        <f>C42</f>
        <v>1359375.1980000001</v>
      </c>
      <c r="D43" s="456">
        <f>D42</f>
        <v>1421063.598</v>
      </c>
      <c r="E43" s="539">
        <f>E42</f>
        <v>1399760.3149999999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</row>
    <row r="44" spans="1:45" ht="15.75" customHeight="1" x14ac:dyDescent="0.2">
      <c r="A44" s="420">
        <v>34</v>
      </c>
      <c r="B44" s="421" t="s">
        <v>273</v>
      </c>
      <c r="C44" s="447">
        <f>T_3_bevétel!C83</f>
        <v>19000</v>
      </c>
      <c r="D44" s="447">
        <f>T_3_bevétel!D83</f>
        <v>50876.55</v>
      </c>
      <c r="E44" s="448">
        <f>T_3_bevétel!E83</f>
        <v>45515.555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</row>
    <row r="45" spans="1:45" ht="15.75" customHeight="1" x14ac:dyDescent="0.2">
      <c r="A45" s="427">
        <v>35</v>
      </c>
      <c r="B45" s="428" t="s">
        <v>274</v>
      </c>
      <c r="C45" s="453">
        <f>T_3_bevétel!C44</f>
        <v>600</v>
      </c>
      <c r="D45" s="453">
        <f>T_3_bevétel!D44</f>
        <v>5</v>
      </c>
      <c r="E45" s="1411">
        <f>T_3_bevétel!E44</f>
        <v>5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</row>
    <row r="46" spans="1:45" ht="32.25" customHeight="1" x14ac:dyDescent="0.2">
      <c r="A46" s="437">
        <v>36</v>
      </c>
      <c r="B46" s="438" t="s">
        <v>247</v>
      </c>
      <c r="C46" s="457">
        <f>SUM(C35:C45)-C39-C43</f>
        <v>20684076.004999999</v>
      </c>
      <c r="D46" s="457">
        <f>SUM(D35:D45)-D39-D43</f>
        <v>54970570.721999995</v>
      </c>
      <c r="E46" s="540">
        <f>SUM(E35:E45)-E39-E43</f>
        <v>41896249.89199999</v>
      </c>
    </row>
    <row r="47" spans="1:45" ht="15.75" customHeight="1" x14ac:dyDescent="0.2">
      <c r="A47" s="439">
        <v>37</v>
      </c>
      <c r="B47" s="440" t="s">
        <v>275</v>
      </c>
      <c r="C47" s="458"/>
      <c r="D47" s="458"/>
      <c r="E47" s="459"/>
    </row>
    <row r="48" spans="1:45" ht="15.75" customHeight="1" x14ac:dyDescent="0.2">
      <c r="A48" s="439">
        <v>38</v>
      </c>
      <c r="B48" s="440" t="s">
        <v>276</v>
      </c>
      <c r="C48" s="458"/>
      <c r="D48" s="458"/>
      <c r="E48" s="459"/>
    </row>
    <row r="49" spans="1:45" ht="15.75" customHeight="1" x14ac:dyDescent="0.2">
      <c r="A49" s="439">
        <v>39</v>
      </c>
      <c r="B49" s="440" t="s">
        <v>760</v>
      </c>
      <c r="C49" s="458"/>
      <c r="D49" s="458"/>
      <c r="E49" s="459"/>
    </row>
    <row r="50" spans="1:45" ht="15.75" customHeight="1" x14ac:dyDescent="0.2">
      <c r="A50" s="439">
        <v>40</v>
      </c>
      <c r="B50" s="440" t="s">
        <v>278</v>
      </c>
      <c r="C50" s="458"/>
      <c r="D50" s="458"/>
      <c r="E50" s="459"/>
    </row>
    <row r="51" spans="1:45" ht="15.75" customHeight="1" x14ac:dyDescent="0.2">
      <c r="A51" s="439">
        <v>41</v>
      </c>
      <c r="B51" s="440" t="s">
        <v>279</v>
      </c>
      <c r="C51" s="458"/>
      <c r="D51" s="458"/>
      <c r="E51" s="459"/>
    </row>
    <row r="52" spans="1:45" ht="15.75" customHeight="1" x14ac:dyDescent="0.2">
      <c r="A52" s="422">
        <v>42</v>
      </c>
      <c r="B52" s="426" t="s">
        <v>761</v>
      </c>
      <c r="C52" s="460">
        <f>SUM(C47:C51)</f>
        <v>0</v>
      </c>
      <c r="D52" s="460">
        <f>SUM(D47:D51)</f>
        <v>0</v>
      </c>
      <c r="E52" s="541">
        <f>SUM(E47:E51)</f>
        <v>0</v>
      </c>
    </row>
    <row r="53" spans="1:45" ht="15.75" customHeight="1" x14ac:dyDescent="0.2">
      <c r="A53" s="422">
        <v>43</v>
      </c>
      <c r="B53" s="426" t="s">
        <v>762</v>
      </c>
      <c r="C53" s="460">
        <f>C46+C52</f>
        <v>20684076.004999999</v>
      </c>
      <c r="D53" s="460">
        <f>D46+D52</f>
        <v>54970570.721999995</v>
      </c>
      <c r="E53" s="541">
        <f>E46+E52</f>
        <v>41896249.89199999</v>
      </c>
    </row>
    <row r="54" spans="1:45" ht="15.75" customHeight="1" x14ac:dyDescent="0.2">
      <c r="A54" s="420">
        <v>44</v>
      </c>
      <c r="B54" s="441" t="s">
        <v>581</v>
      </c>
      <c r="C54" s="447" t="e">
        <f>T_3_bevétel!#REF!</f>
        <v>#REF!</v>
      </c>
      <c r="D54" s="447" t="e">
        <f>T_3_bevétel!#REF!</f>
        <v>#REF!</v>
      </c>
      <c r="E54" s="448" t="e">
        <f>T_3_bevétel!#REF!</f>
        <v>#REF!</v>
      </c>
    </row>
    <row r="55" spans="1:45" ht="15.75" customHeight="1" thickBot="1" x14ac:dyDescent="0.25">
      <c r="A55" s="420">
        <v>45</v>
      </c>
      <c r="B55" s="441" t="s">
        <v>280</v>
      </c>
      <c r="C55" s="453"/>
      <c r="D55" s="447"/>
      <c r="E55" s="448" t="e">
        <f>T_3_bevétel!#REF!</f>
        <v>#REF!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</row>
    <row r="56" spans="1:45" ht="15.75" customHeight="1" x14ac:dyDescent="0.2">
      <c r="A56" s="422">
        <v>46</v>
      </c>
      <c r="B56" s="442" t="s">
        <v>248</v>
      </c>
      <c r="C56" s="449" t="e">
        <f>SUM(C53:C55)</f>
        <v>#REF!</v>
      </c>
      <c r="D56" s="449" t="e">
        <f>SUM(D53:D55)</f>
        <v>#REF!</v>
      </c>
      <c r="E56" s="450" t="e">
        <f>SUM(E53:E55)</f>
        <v>#REF!</v>
      </c>
    </row>
    <row r="57" spans="1:45" ht="31.5" customHeight="1" x14ac:dyDescent="0.2">
      <c r="A57" s="422">
        <v>47</v>
      </c>
      <c r="B57" s="438" t="s">
        <v>6</v>
      </c>
      <c r="C57" s="457">
        <f>C46-C23</f>
        <v>20316.664999999106</v>
      </c>
      <c r="D57" s="457">
        <f>D46-D23</f>
        <v>27643133.635999996</v>
      </c>
      <c r="E57" s="540">
        <f>E46-E23</f>
        <v>22108406.776999991</v>
      </c>
    </row>
    <row r="58" spans="1:45" ht="48" customHeight="1" x14ac:dyDescent="0.2">
      <c r="A58" s="422">
        <v>48</v>
      </c>
      <c r="B58" s="438" t="s">
        <v>252</v>
      </c>
      <c r="C58" s="457" t="e">
        <f>C57+C54-C32</f>
        <v>#REF!</v>
      </c>
      <c r="D58" s="457" t="e">
        <f>D57+D54-D32</f>
        <v>#REF!</v>
      </c>
      <c r="E58" s="540" t="e">
        <f>E57+E54-E32</f>
        <v>#REF!</v>
      </c>
    </row>
    <row r="59" spans="1:45" ht="15.75" customHeight="1" x14ac:dyDescent="0.2">
      <c r="A59" s="422">
        <v>49</v>
      </c>
      <c r="B59" s="442" t="s">
        <v>249</v>
      </c>
      <c r="C59" s="449">
        <f>C52-C30</f>
        <v>-600</v>
      </c>
      <c r="D59" s="449">
        <f>D52-D30</f>
        <v>-58478</v>
      </c>
      <c r="E59" s="450">
        <f>E52-E30</f>
        <v>-57243.025000000001</v>
      </c>
    </row>
    <row r="60" spans="1:45" ht="15.75" customHeight="1" thickBot="1" x14ac:dyDescent="0.25">
      <c r="A60" s="1400">
        <v>50</v>
      </c>
      <c r="B60" s="443" t="s">
        <v>250</v>
      </c>
      <c r="C60" s="461">
        <f>C55-C33</f>
        <v>0</v>
      </c>
      <c r="D60" s="461">
        <f>D55-D33</f>
        <v>0</v>
      </c>
      <c r="E60" s="1412" t="e">
        <f>E55-E33</f>
        <v>#REF!</v>
      </c>
    </row>
    <row r="61" spans="1:45" ht="15.75" customHeight="1" x14ac:dyDescent="0.2"/>
    <row r="62" spans="1:45" ht="15.75" customHeight="1" x14ac:dyDescent="0.2"/>
    <row r="63" spans="1:45" ht="15.75" customHeight="1" x14ac:dyDescent="0.2"/>
    <row r="64" spans="1:4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</sheetData>
  <mergeCells count="6">
    <mergeCell ref="A5:E5"/>
    <mergeCell ref="A7:E7"/>
    <mergeCell ref="C10:D10"/>
    <mergeCell ref="B9:B10"/>
    <mergeCell ref="E9:E10"/>
    <mergeCell ref="A6:E6"/>
  </mergeCells>
  <phoneticPr fontId="0" type="noConversion"/>
  <printOptions horizontalCentered="1" verticalCentered="1"/>
  <pageMargins left="0" right="0" top="0.39370078740157483" bottom="0.31" header="0.11811023622047245" footer="0.11811023622047245"/>
  <pageSetup paperSize="9" scale="84" orientation="portrait" horizontalDpi="4294967292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F24" sqref="F24"/>
    </sheetView>
  </sheetViews>
  <sheetFormatPr defaultRowHeight="12.75" x14ac:dyDescent="0.2"/>
  <cols>
    <col min="1" max="1" width="4" style="177" customWidth="1"/>
    <col min="2" max="2" width="43.42578125" style="177" customWidth="1"/>
    <col min="3" max="3" width="11.7109375" style="177" customWidth="1"/>
    <col min="4" max="4" width="11.42578125" style="177" customWidth="1"/>
    <col min="5" max="5" width="10.42578125" style="177" customWidth="1"/>
    <col min="6" max="7" width="10.85546875" style="177" customWidth="1"/>
    <col min="8" max="16384" width="9.140625" style="177"/>
  </cols>
  <sheetData>
    <row r="1" spans="1:8" x14ac:dyDescent="0.2">
      <c r="B1" s="57"/>
      <c r="C1" s="57"/>
      <c r="D1" s="57"/>
      <c r="E1" s="57"/>
      <c r="F1" s="57"/>
      <c r="H1" s="319" t="s">
        <v>696</v>
      </c>
    </row>
    <row r="2" spans="1:8" x14ac:dyDescent="0.2">
      <c r="B2" s="57"/>
      <c r="C2" s="57"/>
      <c r="D2" s="57"/>
      <c r="E2" s="57"/>
      <c r="F2" s="57"/>
      <c r="H2" s="319" t="s">
        <v>57</v>
      </c>
    </row>
    <row r="3" spans="1:8" x14ac:dyDescent="0.2">
      <c r="B3" s="57"/>
      <c r="C3" s="57"/>
      <c r="D3" s="57"/>
      <c r="E3" s="57"/>
      <c r="G3" s="178"/>
      <c r="H3" s="178"/>
    </row>
    <row r="4" spans="1:8" x14ac:dyDescent="0.2">
      <c r="B4" s="57"/>
      <c r="C4" s="57"/>
      <c r="D4" s="57"/>
      <c r="E4" s="57"/>
      <c r="F4" s="57"/>
      <c r="G4" s="57"/>
      <c r="H4" s="57"/>
    </row>
    <row r="5" spans="1:8" x14ac:dyDescent="0.2">
      <c r="B5" s="57"/>
      <c r="C5" s="57"/>
      <c r="D5" s="57"/>
      <c r="E5" s="57"/>
      <c r="F5" s="57"/>
      <c r="G5" s="57"/>
      <c r="H5" s="57"/>
    </row>
    <row r="6" spans="1:8" x14ac:dyDescent="0.2">
      <c r="B6" s="2373" t="s">
        <v>7</v>
      </c>
      <c r="C6" s="2373"/>
      <c r="D6" s="2373"/>
      <c r="E6" s="2373"/>
      <c r="F6" s="2373"/>
      <c r="G6" s="2373"/>
      <c r="H6" s="2373"/>
    </row>
    <row r="7" spans="1:8" x14ac:dyDescent="0.2">
      <c r="B7" s="2374" t="s">
        <v>58</v>
      </c>
      <c r="C7" s="2374"/>
      <c r="D7" s="2374"/>
      <c r="E7" s="2374"/>
      <c r="F7" s="2374"/>
      <c r="G7" s="2374"/>
      <c r="H7" s="2374"/>
    </row>
    <row r="8" spans="1:8" x14ac:dyDescent="0.2">
      <c r="B8" s="33"/>
      <c r="C8" s="33"/>
      <c r="D8" s="33"/>
      <c r="E8" s="33"/>
      <c r="F8" s="33"/>
      <c r="G8" s="33"/>
      <c r="H8" s="33"/>
    </row>
    <row r="9" spans="1:8" ht="13.5" thickBot="1" x14ac:dyDescent="0.25">
      <c r="B9" s="179"/>
      <c r="C9" s="179"/>
      <c r="D9" s="179"/>
      <c r="E9" s="179"/>
      <c r="F9" s="179"/>
      <c r="G9" s="179"/>
      <c r="H9" s="180"/>
    </row>
    <row r="10" spans="1:8" x14ac:dyDescent="0.2">
      <c r="A10" s="463"/>
      <c r="B10" s="2375" t="s">
        <v>33</v>
      </c>
      <c r="C10" s="152" t="s">
        <v>206</v>
      </c>
      <c r="D10" s="152"/>
      <c r="E10" s="152" t="s">
        <v>370</v>
      </c>
      <c r="F10" s="152" t="s">
        <v>312</v>
      </c>
      <c r="G10" s="152"/>
      <c r="H10" s="151" t="s">
        <v>312</v>
      </c>
    </row>
    <row r="11" spans="1:8" x14ac:dyDescent="0.2">
      <c r="A11" s="464"/>
      <c r="B11" s="2376"/>
      <c r="C11" s="152" t="s">
        <v>371</v>
      </c>
      <c r="D11" s="152" t="s">
        <v>372</v>
      </c>
      <c r="E11" s="152" t="s">
        <v>344</v>
      </c>
      <c r="F11" s="152" t="s">
        <v>371</v>
      </c>
      <c r="G11" s="152" t="s">
        <v>372</v>
      </c>
      <c r="H11" s="154" t="s">
        <v>344</v>
      </c>
    </row>
    <row r="12" spans="1:8" x14ac:dyDescent="0.2">
      <c r="A12" s="29" t="s">
        <v>207</v>
      </c>
      <c r="B12" s="2376"/>
      <c r="C12" s="152" t="s">
        <v>373</v>
      </c>
      <c r="D12" s="152" t="s">
        <v>374</v>
      </c>
      <c r="E12" s="152" t="s">
        <v>375</v>
      </c>
      <c r="F12" s="152" t="s">
        <v>373</v>
      </c>
      <c r="G12" s="152" t="s">
        <v>374</v>
      </c>
      <c r="H12" s="154" t="s">
        <v>375</v>
      </c>
    </row>
    <row r="13" spans="1:8" x14ac:dyDescent="0.2">
      <c r="A13" s="29" t="s">
        <v>208</v>
      </c>
      <c r="B13" s="2376"/>
      <c r="C13" s="152" t="s">
        <v>376</v>
      </c>
      <c r="D13" s="152" t="s">
        <v>355</v>
      </c>
      <c r="E13" s="152" t="s">
        <v>377</v>
      </c>
      <c r="F13" s="152" t="s">
        <v>376</v>
      </c>
      <c r="G13" s="152" t="s">
        <v>356</v>
      </c>
      <c r="H13" s="154" t="s">
        <v>377</v>
      </c>
    </row>
    <row r="14" spans="1:8" x14ac:dyDescent="0.2">
      <c r="A14" s="464"/>
      <c r="B14" s="2376"/>
      <c r="C14" s="152" t="s">
        <v>359</v>
      </c>
      <c r="D14" s="152" t="s">
        <v>59</v>
      </c>
      <c r="E14" s="152" t="s">
        <v>376</v>
      </c>
      <c r="F14" s="152" t="s">
        <v>359</v>
      </c>
      <c r="G14" s="152" t="s">
        <v>59</v>
      </c>
      <c r="H14" s="154" t="s">
        <v>376</v>
      </c>
    </row>
    <row r="15" spans="1:8" x14ac:dyDescent="0.2">
      <c r="A15" s="465"/>
      <c r="B15" s="2377"/>
      <c r="C15" s="181"/>
      <c r="D15" s="181"/>
      <c r="E15" s="155" t="s">
        <v>359</v>
      </c>
      <c r="F15" s="181"/>
      <c r="G15" s="181"/>
      <c r="H15" s="182" t="s">
        <v>359</v>
      </c>
    </row>
    <row r="16" spans="1:8" ht="24.95" customHeight="1" x14ac:dyDescent="0.2">
      <c r="A16" s="466" t="s">
        <v>327</v>
      </c>
      <c r="B16" s="467" t="s">
        <v>675</v>
      </c>
      <c r="C16" s="468">
        <v>4474250</v>
      </c>
      <c r="D16" s="468"/>
      <c r="E16" s="468">
        <f t="shared" ref="E16:E27" si="0">SUM(C16:D16)</f>
        <v>4474250</v>
      </c>
      <c r="F16" s="468">
        <v>4856650</v>
      </c>
      <c r="G16" s="468"/>
      <c r="H16" s="469">
        <f t="shared" ref="H16:H27" si="1">SUM(F16:G16)</f>
        <v>4856650</v>
      </c>
    </row>
    <row r="17" spans="1:9" ht="24.95" customHeight="1" x14ac:dyDescent="0.2">
      <c r="A17" s="466" t="s">
        <v>116</v>
      </c>
      <c r="B17" s="473" t="s">
        <v>287</v>
      </c>
      <c r="C17" s="471">
        <v>0</v>
      </c>
      <c r="D17" s="471"/>
      <c r="E17" s="468">
        <f t="shared" si="0"/>
        <v>0</v>
      </c>
      <c r="F17" s="471">
        <v>0</v>
      </c>
      <c r="G17" s="471"/>
      <c r="H17" s="469">
        <f t="shared" si="1"/>
        <v>0</v>
      </c>
    </row>
    <row r="18" spans="1:9" ht="24.95" customHeight="1" x14ac:dyDescent="0.2">
      <c r="A18" s="466" t="s">
        <v>117</v>
      </c>
      <c r="B18" s="470" t="s">
        <v>60</v>
      </c>
      <c r="C18" s="471">
        <v>106041</v>
      </c>
      <c r="D18" s="471"/>
      <c r="E18" s="471">
        <f t="shared" si="0"/>
        <v>106041</v>
      </c>
      <c r="F18" s="471">
        <v>86841</v>
      </c>
      <c r="G18" s="471"/>
      <c r="H18" s="472">
        <f t="shared" si="1"/>
        <v>86841</v>
      </c>
    </row>
    <row r="19" spans="1:9" ht="24.95" customHeight="1" x14ac:dyDescent="0.2">
      <c r="A19" s="466" t="s">
        <v>118</v>
      </c>
      <c r="B19" s="473" t="s">
        <v>61</v>
      </c>
      <c r="C19" s="471">
        <v>2524415</v>
      </c>
      <c r="D19" s="471"/>
      <c r="E19" s="471">
        <f t="shared" si="0"/>
        <v>2524415</v>
      </c>
      <c r="F19" s="471">
        <v>0</v>
      </c>
      <c r="G19" s="471"/>
      <c r="H19" s="472">
        <f t="shared" si="1"/>
        <v>0</v>
      </c>
    </row>
    <row r="20" spans="1:9" ht="24.95" customHeight="1" x14ac:dyDescent="0.2">
      <c r="A20" s="466" t="s">
        <v>119</v>
      </c>
      <c r="B20" s="470" t="s">
        <v>288</v>
      </c>
      <c r="C20" s="471">
        <v>0</v>
      </c>
      <c r="D20" s="471"/>
      <c r="E20" s="471">
        <f t="shared" si="0"/>
        <v>0</v>
      </c>
      <c r="F20" s="471">
        <v>0</v>
      </c>
      <c r="G20" s="471"/>
      <c r="H20" s="472">
        <f t="shared" si="1"/>
        <v>0</v>
      </c>
    </row>
    <row r="21" spans="1:9" ht="24.95" customHeight="1" x14ac:dyDescent="0.2">
      <c r="A21" s="466" t="s">
        <v>120</v>
      </c>
      <c r="B21" s="473" t="s">
        <v>289</v>
      </c>
      <c r="C21" s="597">
        <f>C16+C17+C18-C19-C20</f>
        <v>2055876</v>
      </c>
      <c r="D21" s="597"/>
      <c r="E21" s="597">
        <f>E16+E17+E18-E19-E20</f>
        <v>2055876</v>
      </c>
      <c r="F21" s="597">
        <f>F16+F17+F18-F19-F20</f>
        <v>4943491</v>
      </c>
      <c r="G21" s="597"/>
      <c r="H21" s="678">
        <f>H16+H17+H18-H19-H20</f>
        <v>4943491</v>
      </c>
    </row>
    <row r="22" spans="1:9" ht="24.95" customHeight="1" x14ac:dyDescent="0.2">
      <c r="A22" s="466" t="s">
        <v>121</v>
      </c>
      <c r="B22" s="473" t="s">
        <v>290</v>
      </c>
      <c r="C22" s="471">
        <v>2616</v>
      </c>
      <c r="D22" s="471"/>
      <c r="E22" s="471">
        <f t="shared" si="0"/>
        <v>2616</v>
      </c>
      <c r="F22" s="471">
        <v>15606</v>
      </c>
      <c r="G22" s="471"/>
      <c r="H22" s="472">
        <f t="shared" si="1"/>
        <v>15606</v>
      </c>
    </row>
    <row r="23" spans="1:9" ht="24.95" customHeight="1" x14ac:dyDescent="0.2">
      <c r="A23" s="466" t="s">
        <v>122</v>
      </c>
      <c r="B23" s="473" t="s">
        <v>69</v>
      </c>
      <c r="C23" s="471">
        <v>0</v>
      </c>
      <c r="D23" s="471"/>
      <c r="E23" s="471">
        <f t="shared" si="0"/>
        <v>0</v>
      </c>
      <c r="F23" s="471">
        <v>0</v>
      </c>
      <c r="G23" s="471"/>
      <c r="H23" s="472">
        <f t="shared" si="1"/>
        <v>0</v>
      </c>
    </row>
    <row r="24" spans="1:9" ht="24.95" customHeight="1" x14ac:dyDescent="0.2">
      <c r="A24" s="466" t="s">
        <v>123</v>
      </c>
      <c r="B24" s="473" t="s">
        <v>291</v>
      </c>
      <c r="C24" s="471">
        <f>C21+C22+C23</f>
        <v>2058492</v>
      </c>
      <c r="D24" s="471"/>
      <c r="E24" s="471">
        <f t="shared" si="0"/>
        <v>2058492</v>
      </c>
      <c r="F24" s="471">
        <f>F21+F22+F23</f>
        <v>4959097</v>
      </c>
      <c r="G24" s="471"/>
      <c r="H24" s="472">
        <f t="shared" si="1"/>
        <v>4959097</v>
      </c>
    </row>
    <row r="25" spans="1:9" ht="24.95" customHeight="1" x14ac:dyDescent="0.2">
      <c r="A25" s="466" t="s">
        <v>124</v>
      </c>
      <c r="B25" s="470" t="s">
        <v>292</v>
      </c>
      <c r="C25" s="471">
        <v>0</v>
      </c>
      <c r="D25" s="471"/>
      <c r="E25" s="471">
        <f t="shared" si="0"/>
        <v>0</v>
      </c>
      <c r="F25" s="471">
        <v>0</v>
      </c>
      <c r="G25" s="471"/>
      <c r="H25" s="472">
        <f t="shared" si="1"/>
        <v>0</v>
      </c>
    </row>
    <row r="26" spans="1:9" ht="24.95" customHeight="1" x14ac:dyDescent="0.2">
      <c r="A26" s="466" t="s">
        <v>125</v>
      </c>
      <c r="B26" s="470" t="s">
        <v>596</v>
      </c>
      <c r="C26" s="471">
        <v>0</v>
      </c>
      <c r="D26" s="471"/>
      <c r="E26" s="471">
        <f t="shared" si="0"/>
        <v>0</v>
      </c>
      <c r="F26" s="471">
        <v>0</v>
      </c>
      <c r="G26" s="471"/>
      <c r="H26" s="472">
        <f t="shared" si="1"/>
        <v>0</v>
      </c>
    </row>
    <row r="27" spans="1:9" ht="24.95" customHeight="1" x14ac:dyDescent="0.2">
      <c r="A27" s="466" t="s">
        <v>126</v>
      </c>
      <c r="B27" s="474" t="s">
        <v>293</v>
      </c>
      <c r="C27" s="475">
        <f>C21+C22+C23+C25+C26</f>
        <v>2058492</v>
      </c>
      <c r="D27" s="475"/>
      <c r="E27" s="475">
        <f t="shared" si="0"/>
        <v>2058492</v>
      </c>
      <c r="F27" s="475">
        <f>F21+F22+F23+F25+F26</f>
        <v>4959097</v>
      </c>
      <c r="G27" s="475"/>
      <c r="H27" s="476">
        <f t="shared" si="1"/>
        <v>4959097</v>
      </c>
    </row>
    <row r="28" spans="1:9" ht="19.5" customHeight="1" x14ac:dyDescent="0.2">
      <c r="A28" s="477" t="s">
        <v>127</v>
      </c>
      <c r="B28" s="478" t="s">
        <v>294</v>
      </c>
      <c r="C28" s="402"/>
      <c r="D28" s="402"/>
      <c r="E28" s="402"/>
      <c r="F28" s="402"/>
      <c r="G28" s="402"/>
      <c r="H28" s="479"/>
    </row>
    <row r="29" spans="1:9" ht="17.25" customHeight="1" x14ac:dyDescent="0.2">
      <c r="A29" s="480"/>
      <c r="B29" s="481" t="s">
        <v>597</v>
      </c>
      <c r="C29" s="471">
        <v>0</v>
      </c>
      <c r="D29" s="471"/>
      <c r="E29" s="471">
        <f>SUM(C29:D29)</f>
        <v>0</v>
      </c>
      <c r="F29" s="471">
        <v>0</v>
      </c>
      <c r="G29" s="471"/>
      <c r="H29" s="472">
        <f>SUM(F29:G29)</f>
        <v>0</v>
      </c>
    </row>
    <row r="30" spans="1:9" ht="24.95" customHeight="1" x14ac:dyDescent="0.2">
      <c r="A30" s="466" t="s">
        <v>295</v>
      </c>
      <c r="B30" s="482" t="s">
        <v>296</v>
      </c>
      <c r="C30" s="534">
        <v>1526367</v>
      </c>
      <c r="D30" s="468"/>
      <c r="E30" s="468">
        <f>SUM(C30:D30)</f>
        <v>1526367</v>
      </c>
      <c r="F30" s="468">
        <v>4795907</v>
      </c>
      <c r="G30" s="468"/>
      <c r="H30" s="469">
        <f>SUM(F30:G30)</f>
        <v>4795907</v>
      </c>
      <c r="I30" s="520"/>
    </row>
    <row r="31" spans="1:9" ht="24.95" customHeight="1" thickBot="1" x14ac:dyDescent="0.25">
      <c r="A31" s="483" t="s">
        <v>297</v>
      </c>
      <c r="B31" s="484" t="s">
        <v>598</v>
      </c>
      <c r="C31" s="535">
        <v>532125</v>
      </c>
      <c r="D31" s="485"/>
      <c r="E31" s="485">
        <f>SUM(C31:D31)</f>
        <v>532125</v>
      </c>
      <c r="F31" s="485">
        <v>163190</v>
      </c>
      <c r="G31" s="485"/>
      <c r="H31" s="486">
        <f>SUM(F31:G31)</f>
        <v>163190</v>
      </c>
      <c r="I31" s="520"/>
    </row>
    <row r="32" spans="1:9" x14ac:dyDescent="0.2">
      <c r="B32" s="57"/>
      <c r="C32" s="57"/>
      <c r="D32" s="57"/>
      <c r="E32" s="57"/>
      <c r="F32" s="57"/>
      <c r="G32" s="57"/>
      <c r="H32" s="57"/>
    </row>
    <row r="33" spans="2:8" x14ac:dyDescent="0.2">
      <c r="B33" s="681" t="s">
        <v>50</v>
      </c>
      <c r="C33" s="681"/>
      <c r="D33" s="57"/>
      <c r="E33" s="57"/>
      <c r="F33" s="57"/>
      <c r="G33" s="57"/>
      <c r="H33" s="57"/>
    </row>
    <row r="34" spans="2:8" x14ac:dyDescent="0.2">
      <c r="B34" s="681" t="s">
        <v>51</v>
      </c>
      <c r="C34" s="681"/>
      <c r="D34" s="57"/>
      <c r="E34" s="57"/>
      <c r="F34" s="57"/>
      <c r="G34" s="57"/>
      <c r="H34" s="57"/>
    </row>
    <row r="35" spans="2:8" x14ac:dyDescent="0.2">
      <c r="B35" s="15"/>
      <c r="C35" s="15"/>
      <c r="D35" s="15"/>
      <c r="E35" s="15"/>
      <c r="F35" s="15"/>
      <c r="G35" s="15"/>
      <c r="H35" s="15"/>
    </row>
  </sheetData>
  <mergeCells count="3">
    <mergeCell ref="B6:H6"/>
    <mergeCell ref="B7:H7"/>
    <mergeCell ref="B10:B15"/>
  </mergeCells>
  <phoneticPr fontId="0" type="noConversion"/>
  <printOptions horizontalCentered="1" verticalCentered="1"/>
  <pageMargins left="0" right="0" top="0" bottom="0" header="0.51181102362204722" footer="0.51181102362204722"/>
  <pageSetup paperSize="9" scale="85" orientation="portrait" horizontalDpi="4294967292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"/>
  <sheetViews>
    <sheetView workbookViewId="0">
      <selection activeCell="A6" sqref="A6:K6"/>
    </sheetView>
  </sheetViews>
  <sheetFormatPr defaultRowHeight="12.75" x14ac:dyDescent="0.2"/>
  <cols>
    <col min="1" max="1" width="6.42578125" style="144" customWidth="1"/>
    <col min="2" max="2" width="28.28515625" style="144" customWidth="1"/>
    <col min="3" max="7" width="10.7109375" style="144" customWidth="1"/>
    <col min="8" max="8" width="10.85546875" style="144" customWidth="1"/>
    <col min="9" max="10" width="10.7109375" style="144" customWidth="1"/>
    <col min="11" max="11" width="10.140625" style="144" customWidth="1"/>
    <col min="12" max="30" width="9.140625" style="184"/>
    <col min="31" max="16384" width="9.140625" style="144"/>
  </cols>
  <sheetData>
    <row r="1" spans="1:12" x14ac:dyDescent="0.2">
      <c r="I1" s="183"/>
      <c r="J1" s="183"/>
      <c r="K1" s="325" t="s">
        <v>580</v>
      </c>
    </row>
    <row r="2" spans="1:12" x14ac:dyDescent="0.2">
      <c r="I2" s="180"/>
      <c r="J2" s="180"/>
      <c r="K2" s="325" t="s">
        <v>57</v>
      </c>
    </row>
    <row r="3" spans="1:12" ht="30.75" customHeight="1" x14ac:dyDescent="0.2"/>
    <row r="4" spans="1:12" x14ac:dyDescent="0.2">
      <c r="A4" s="180"/>
      <c r="B4" s="180"/>
      <c r="C4" s="180"/>
      <c r="D4" s="180"/>
      <c r="E4" s="180"/>
      <c r="F4" s="180"/>
      <c r="G4" s="180"/>
      <c r="H4" s="180"/>
      <c r="K4" s="183"/>
      <c r="L4" s="185"/>
    </row>
    <row r="5" spans="1:12" ht="15.75" x14ac:dyDescent="0.25">
      <c r="A5" s="2372" t="s">
        <v>573</v>
      </c>
      <c r="B5" s="2372"/>
      <c r="C5" s="2372"/>
      <c r="D5" s="2372"/>
      <c r="E5" s="2372"/>
      <c r="F5" s="2372"/>
      <c r="G5" s="2372"/>
      <c r="H5" s="2372"/>
      <c r="I5" s="2372"/>
      <c r="J5" s="2372"/>
      <c r="K5" s="2372"/>
      <c r="L5" s="186"/>
    </row>
    <row r="6" spans="1:12" ht="11.25" customHeight="1" x14ac:dyDescent="0.2">
      <c r="A6" s="2363" t="s">
        <v>58</v>
      </c>
      <c r="B6" s="2363"/>
      <c r="C6" s="2363"/>
      <c r="D6" s="2363"/>
      <c r="E6" s="2363"/>
      <c r="F6" s="2363"/>
      <c r="G6" s="2363"/>
      <c r="H6" s="2363"/>
      <c r="I6" s="2363"/>
      <c r="J6" s="2363"/>
      <c r="K6" s="2363"/>
      <c r="L6" s="187"/>
    </row>
    <row r="7" spans="1:12" ht="11.25" customHeight="1" x14ac:dyDescent="0.2">
      <c r="A7" s="462"/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187"/>
    </row>
    <row r="8" spans="1:12" ht="30.75" customHeight="1" thickBot="1" x14ac:dyDescent="0.25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</row>
    <row r="9" spans="1:12" ht="12.75" customHeight="1" x14ac:dyDescent="0.2">
      <c r="A9" s="188"/>
      <c r="B9" s="189"/>
      <c r="C9" s="190"/>
      <c r="D9" s="189"/>
      <c r="E9" s="190"/>
      <c r="F9" s="190"/>
      <c r="G9" s="487"/>
      <c r="H9" s="189"/>
      <c r="I9" s="190"/>
      <c r="J9" s="190"/>
      <c r="K9" s="191"/>
    </row>
    <row r="10" spans="1:12" x14ac:dyDescent="0.2">
      <c r="A10" s="192" t="s">
        <v>369</v>
      </c>
      <c r="B10" s="193" t="s">
        <v>33</v>
      </c>
      <c r="C10" s="194" t="s">
        <v>382</v>
      </c>
      <c r="D10" s="193" t="s">
        <v>383</v>
      </c>
      <c r="E10" s="194" t="s">
        <v>384</v>
      </c>
      <c r="F10" s="194" t="s">
        <v>579</v>
      </c>
      <c r="G10" s="194" t="s">
        <v>781</v>
      </c>
      <c r="H10" s="195" t="s">
        <v>385</v>
      </c>
      <c r="I10" s="196" t="s">
        <v>574</v>
      </c>
      <c r="J10" s="196" t="s">
        <v>576</v>
      </c>
      <c r="K10" s="197" t="s">
        <v>386</v>
      </c>
    </row>
    <row r="11" spans="1:12" x14ac:dyDescent="0.2">
      <c r="A11" s="192"/>
      <c r="B11" s="193"/>
      <c r="C11" s="198" t="s">
        <v>139</v>
      </c>
      <c r="D11" s="2378" t="s">
        <v>387</v>
      </c>
      <c r="E11" s="2379"/>
      <c r="F11" s="194" t="s">
        <v>578</v>
      </c>
      <c r="G11" s="194" t="s">
        <v>782</v>
      </c>
      <c r="H11" s="195" t="s">
        <v>572</v>
      </c>
      <c r="I11" s="196" t="s">
        <v>575</v>
      </c>
      <c r="J11" s="196" t="s">
        <v>577</v>
      </c>
      <c r="K11" s="197" t="s">
        <v>673</v>
      </c>
    </row>
    <row r="12" spans="1:12" x14ac:dyDescent="0.2">
      <c r="A12" s="199"/>
      <c r="B12" s="200"/>
      <c r="C12" s="202" t="s">
        <v>140</v>
      </c>
      <c r="D12" s="203"/>
      <c r="E12" s="201"/>
      <c r="F12" s="201" t="s">
        <v>388</v>
      </c>
      <c r="G12" s="194" t="s">
        <v>783</v>
      </c>
      <c r="H12" s="204"/>
      <c r="I12" s="205"/>
      <c r="J12" s="205" t="s">
        <v>164</v>
      </c>
      <c r="K12" s="206"/>
    </row>
    <row r="13" spans="1:12" ht="12.75" customHeight="1" x14ac:dyDescent="0.2">
      <c r="A13" s="207">
        <v>1</v>
      </c>
      <c r="B13" s="208">
        <v>2</v>
      </c>
      <c r="C13" s="1057">
        <v>3</v>
      </c>
      <c r="D13" s="1058">
        <v>4</v>
      </c>
      <c r="E13" s="1058">
        <v>5</v>
      </c>
      <c r="F13" s="1057">
        <v>6</v>
      </c>
      <c r="G13" s="1057">
        <v>7</v>
      </c>
      <c r="H13" s="1059">
        <v>8</v>
      </c>
      <c r="I13" s="1059">
        <v>9</v>
      </c>
      <c r="J13" s="1060">
        <v>10</v>
      </c>
      <c r="K13" s="209">
        <v>11</v>
      </c>
      <c r="L13" s="210"/>
    </row>
    <row r="14" spans="1:12" ht="24.95" customHeight="1" x14ac:dyDescent="0.2">
      <c r="A14" s="488">
        <v>1</v>
      </c>
      <c r="B14" s="489" t="s">
        <v>601</v>
      </c>
      <c r="C14" s="490"/>
      <c r="D14" s="490"/>
      <c r="E14" s="490"/>
      <c r="F14" s="490">
        <v>40439</v>
      </c>
      <c r="G14" s="490">
        <f>pm.ÖM!AH15</f>
        <v>37833</v>
      </c>
      <c r="H14" s="491">
        <f t="shared" ref="H14:H35" si="0">SUM(C14:G14)</f>
        <v>78272</v>
      </c>
      <c r="I14" s="518">
        <v>4762127</v>
      </c>
      <c r="J14" s="1013">
        <v>14506</v>
      </c>
      <c r="K14" s="492">
        <f>SUM(H14:J14)</f>
        <v>4854905</v>
      </c>
      <c r="L14" s="211"/>
    </row>
    <row r="15" spans="1:12" ht="24.95" customHeight="1" x14ac:dyDescent="0.2">
      <c r="A15" s="488">
        <v>2</v>
      </c>
      <c r="B15" s="493" t="s">
        <v>602</v>
      </c>
      <c r="C15" s="490"/>
      <c r="D15" s="490"/>
      <c r="E15" s="490"/>
      <c r="F15" s="490">
        <v>544</v>
      </c>
      <c r="G15" s="490">
        <f>pm.ÖM!AH16</f>
        <v>0</v>
      </c>
      <c r="H15" s="491">
        <f t="shared" si="0"/>
        <v>544</v>
      </c>
      <c r="I15" s="518">
        <v>155</v>
      </c>
      <c r="J15" s="1013">
        <v>1046</v>
      </c>
      <c r="K15" s="492">
        <f>SUM(H15:J15)</f>
        <v>1745</v>
      </c>
      <c r="L15" s="211"/>
    </row>
    <row r="16" spans="1:12" ht="24.95" customHeight="1" x14ac:dyDescent="0.2">
      <c r="A16" s="494">
        <v>3</v>
      </c>
      <c r="B16" s="495" t="s">
        <v>603</v>
      </c>
      <c r="C16" s="496">
        <f>SUM(C14:C15)</f>
        <v>0</v>
      </c>
      <c r="D16" s="496">
        <f>SUM(D14:D15)</f>
        <v>0</v>
      </c>
      <c r="E16" s="496">
        <f>SUM(E14:E15)</f>
        <v>0</v>
      </c>
      <c r="F16" s="496">
        <f>SUM(F14:F15)</f>
        <v>40983</v>
      </c>
      <c r="G16" s="496">
        <f>SUM(G14:G15)</f>
        <v>37833</v>
      </c>
      <c r="H16" s="491">
        <f t="shared" si="0"/>
        <v>78816</v>
      </c>
      <c r="I16" s="491">
        <f>SUM(I14:I15)</f>
        <v>4762282</v>
      </c>
      <c r="J16" s="491">
        <f>SUM(J14:J15)</f>
        <v>15552</v>
      </c>
      <c r="K16" s="492">
        <f>SUM(H16:J16)</f>
        <v>4856650</v>
      </c>
      <c r="L16" s="211"/>
    </row>
    <row r="17" spans="1:47" ht="24.95" customHeight="1" x14ac:dyDescent="0.2">
      <c r="A17" s="488">
        <v>4</v>
      </c>
      <c r="B17" s="493" t="s">
        <v>604</v>
      </c>
      <c r="C17" s="490"/>
      <c r="D17" s="490"/>
      <c r="E17" s="490"/>
      <c r="F17" s="490"/>
      <c r="G17" s="490">
        <f>pm.ÖM!AH18</f>
        <v>-68424</v>
      </c>
      <c r="H17" s="497">
        <f t="shared" si="0"/>
        <v>-68424</v>
      </c>
      <c r="I17" s="518"/>
      <c r="J17" s="1013"/>
      <c r="K17" s="492">
        <f t="shared" ref="K17:K39" si="1">SUM(H17:J17)</f>
        <v>-68424</v>
      </c>
      <c r="L17" s="211"/>
    </row>
    <row r="18" spans="1:47" ht="24.95" customHeight="1" x14ac:dyDescent="0.2">
      <c r="A18" s="488">
        <v>5</v>
      </c>
      <c r="B18" s="493" t="s">
        <v>605</v>
      </c>
      <c r="C18" s="490"/>
      <c r="D18" s="490"/>
      <c r="E18" s="490"/>
      <c r="F18" s="490"/>
      <c r="G18" s="490">
        <f>pm.ÖM!AH19</f>
        <v>344</v>
      </c>
      <c r="H18" s="497">
        <f t="shared" si="0"/>
        <v>344</v>
      </c>
      <c r="I18" s="1014"/>
      <c r="J18" s="1015"/>
      <c r="K18" s="492">
        <f t="shared" si="1"/>
        <v>344</v>
      </c>
      <c r="L18" s="211"/>
    </row>
    <row r="19" spans="1:47" ht="24.95" customHeight="1" x14ac:dyDescent="0.2">
      <c r="A19" s="488">
        <v>6</v>
      </c>
      <c r="B19" s="493" t="s">
        <v>606</v>
      </c>
      <c r="C19" s="490">
        <v>5898</v>
      </c>
      <c r="D19" s="490">
        <v>702</v>
      </c>
      <c r="E19" s="490">
        <v>753</v>
      </c>
      <c r="F19" s="490">
        <v>17774</v>
      </c>
      <c r="G19" s="490">
        <f>pm.ÖM!AH20</f>
        <v>31854</v>
      </c>
      <c r="H19" s="497">
        <f t="shared" si="0"/>
        <v>56981</v>
      </c>
      <c r="I19" s="1016">
        <v>98767</v>
      </c>
      <c r="J19" s="1015">
        <v>78030</v>
      </c>
      <c r="K19" s="492">
        <f t="shared" si="1"/>
        <v>233778</v>
      </c>
      <c r="L19" s="211"/>
    </row>
    <row r="20" spans="1:47" ht="24.95" customHeight="1" x14ac:dyDescent="0.2">
      <c r="A20" s="488">
        <v>7</v>
      </c>
      <c r="B20" s="493" t="s">
        <v>613</v>
      </c>
      <c r="C20" s="490"/>
      <c r="D20" s="490"/>
      <c r="E20" s="490"/>
      <c r="F20" s="490"/>
      <c r="G20" s="490">
        <f>pm.ÖM!AH21</f>
        <v>0</v>
      </c>
      <c r="H20" s="497">
        <f t="shared" si="0"/>
        <v>0</v>
      </c>
      <c r="I20" s="1016">
        <v>30655</v>
      </c>
      <c r="J20" s="1015"/>
      <c r="K20" s="492">
        <f t="shared" si="1"/>
        <v>30655</v>
      </c>
      <c r="L20" s="211"/>
    </row>
    <row r="21" spans="1:47" ht="24.95" customHeight="1" x14ac:dyDescent="0.2">
      <c r="A21" s="488">
        <v>8</v>
      </c>
      <c r="B21" s="493" t="s">
        <v>614</v>
      </c>
      <c r="C21" s="490"/>
      <c r="D21" s="490"/>
      <c r="E21" s="490"/>
      <c r="F21" s="490">
        <v>100</v>
      </c>
      <c r="G21" s="490">
        <f>pm.ÖM!AH22</f>
        <v>562</v>
      </c>
      <c r="H21" s="491">
        <f t="shared" si="0"/>
        <v>662</v>
      </c>
      <c r="I21" s="1016">
        <v>893</v>
      </c>
      <c r="J21" s="1015"/>
      <c r="K21" s="492">
        <f t="shared" si="1"/>
        <v>1555</v>
      </c>
      <c r="L21" s="211"/>
    </row>
    <row r="22" spans="1:47" ht="24.95" customHeight="1" x14ac:dyDescent="0.2">
      <c r="A22" s="488">
        <v>9</v>
      </c>
      <c r="B22" s="493" t="s">
        <v>615</v>
      </c>
      <c r="C22" s="490">
        <v>25</v>
      </c>
      <c r="D22" s="490"/>
      <c r="E22" s="490">
        <v>565</v>
      </c>
      <c r="F22" s="490">
        <v>218</v>
      </c>
      <c r="G22" s="490">
        <f>pm.ÖM!AH23</f>
        <v>1738</v>
      </c>
      <c r="H22" s="491">
        <f t="shared" si="0"/>
        <v>2546</v>
      </c>
      <c r="I22" s="1016">
        <v>46139</v>
      </c>
      <c r="J22" s="1015">
        <v>384</v>
      </c>
      <c r="K22" s="685">
        <f t="shared" si="1"/>
        <v>49069</v>
      </c>
      <c r="L22" s="211"/>
    </row>
    <row r="23" spans="1:47" ht="24.95" customHeight="1" x14ac:dyDescent="0.2">
      <c r="A23" s="499">
        <v>10</v>
      </c>
      <c r="B23" s="500" t="s">
        <v>616</v>
      </c>
      <c r="C23" s="496">
        <f>SUM(C17-C18+C19-C20+C21-C22)</f>
        <v>5873</v>
      </c>
      <c r="D23" s="496">
        <f>SUM(D17-D18+D19-D20+D21-D22)</f>
        <v>702</v>
      </c>
      <c r="E23" s="496">
        <f>SUM(E17-E18+E19-E20+E21-E22)</f>
        <v>188</v>
      </c>
      <c r="F23" s="496">
        <f>SUM(F17-F18+F19-F20+F21-F22)</f>
        <v>17656</v>
      </c>
      <c r="G23" s="496">
        <f>SUM(G17-G18+G19-G20+G21-G22)</f>
        <v>-38090</v>
      </c>
      <c r="H23" s="491">
        <f t="shared" si="0"/>
        <v>-13671</v>
      </c>
      <c r="I23" s="491">
        <f>SUM(I17-I18+I19-I20+I21-I22)</f>
        <v>22866</v>
      </c>
      <c r="J23" s="491">
        <f>SUM(J17-J18+J19-J20+J21-J22)</f>
        <v>77646</v>
      </c>
      <c r="K23" s="492">
        <f t="shared" si="1"/>
        <v>86841</v>
      </c>
      <c r="L23" s="211"/>
    </row>
    <row r="24" spans="1:47" ht="24.95" customHeight="1" x14ac:dyDescent="0.2">
      <c r="A24" s="488">
        <v>11</v>
      </c>
      <c r="B24" s="493" t="s">
        <v>617</v>
      </c>
      <c r="C24" s="490"/>
      <c r="D24" s="490"/>
      <c r="E24" s="490"/>
      <c r="F24" s="490"/>
      <c r="G24" s="490">
        <f>pm.ÖM!AH25</f>
        <v>0</v>
      </c>
      <c r="H24" s="497">
        <f t="shared" si="0"/>
        <v>0</v>
      </c>
      <c r="I24" s="501"/>
      <c r="J24" s="501"/>
      <c r="K24" s="492">
        <f t="shared" si="1"/>
        <v>0</v>
      </c>
      <c r="L24" s="210"/>
    </row>
    <row r="25" spans="1:47" ht="24.95" customHeight="1" x14ac:dyDescent="0.2">
      <c r="A25" s="488">
        <v>12</v>
      </c>
      <c r="B25" s="493" t="s">
        <v>618</v>
      </c>
      <c r="C25" s="490"/>
      <c r="D25" s="490"/>
      <c r="E25" s="490"/>
      <c r="F25" s="490"/>
      <c r="G25" s="490">
        <f>pm.ÖM!AH26</f>
        <v>0</v>
      </c>
      <c r="H25" s="491">
        <f t="shared" si="0"/>
        <v>0</v>
      </c>
      <c r="I25" s="501"/>
      <c r="J25" s="501"/>
      <c r="K25" s="492">
        <f t="shared" si="1"/>
        <v>0</v>
      </c>
      <c r="L25" s="210"/>
    </row>
    <row r="26" spans="1:47" ht="24.95" customHeight="1" x14ac:dyDescent="0.2">
      <c r="A26" s="499">
        <v>13</v>
      </c>
      <c r="B26" s="502" t="s">
        <v>619</v>
      </c>
      <c r="C26" s="496">
        <f>SUM(C16+C23-C24-C25)</f>
        <v>5873</v>
      </c>
      <c r="D26" s="496">
        <f>SUM(D16+D23-D24-D25)</f>
        <v>702</v>
      </c>
      <c r="E26" s="496">
        <f>SUM(E16+E23-E24-E25)</f>
        <v>188</v>
      </c>
      <c r="F26" s="496">
        <f>SUM(F16+F23-F24-F25)</f>
        <v>58639</v>
      </c>
      <c r="G26" s="496">
        <f>SUM(G16+G23-G24-G25)</f>
        <v>-257</v>
      </c>
      <c r="H26" s="491">
        <f t="shared" si="0"/>
        <v>65145</v>
      </c>
      <c r="I26" s="491">
        <f>SUM(I16+I23-I24-I25)</f>
        <v>4785148</v>
      </c>
      <c r="J26" s="491">
        <f>SUM(J16+J23-J24-J25)</f>
        <v>93198</v>
      </c>
      <c r="K26" s="492">
        <f t="shared" si="1"/>
        <v>4943491</v>
      </c>
      <c r="L26" s="212"/>
    </row>
    <row r="27" spans="1:47" ht="24.95" customHeight="1" x14ac:dyDescent="0.2">
      <c r="A27" s="488">
        <v>14</v>
      </c>
      <c r="B27" s="493" t="s">
        <v>620</v>
      </c>
      <c r="C27" s="490"/>
      <c r="D27" s="490"/>
      <c r="E27" s="490"/>
      <c r="F27" s="490"/>
      <c r="G27" s="490">
        <f>pm.ÖM!AH28</f>
        <v>0</v>
      </c>
      <c r="H27" s="491">
        <f t="shared" si="0"/>
        <v>0</v>
      </c>
      <c r="I27" s="1013">
        <v>0</v>
      </c>
      <c r="J27" s="1013"/>
      <c r="K27" s="492">
        <f t="shared" si="1"/>
        <v>0</v>
      </c>
      <c r="L27" s="210"/>
    </row>
    <row r="28" spans="1:47" ht="24.95" customHeight="1" x14ac:dyDescent="0.2">
      <c r="A28" s="488">
        <v>15</v>
      </c>
      <c r="B28" s="493" t="s">
        <v>621</v>
      </c>
      <c r="C28" s="490"/>
      <c r="D28" s="490"/>
      <c r="E28" s="490"/>
      <c r="F28" s="490"/>
      <c r="G28" s="490">
        <f>pm.ÖM!AH29</f>
        <v>0</v>
      </c>
      <c r="H28" s="497">
        <f t="shared" si="0"/>
        <v>0</v>
      </c>
      <c r="I28" s="1013">
        <v>-18</v>
      </c>
      <c r="J28" s="1013"/>
      <c r="K28" s="492">
        <f t="shared" si="1"/>
        <v>-18</v>
      </c>
      <c r="L28" s="210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</row>
    <row r="29" spans="1:47" ht="24.95" customHeight="1" x14ac:dyDescent="0.2">
      <c r="A29" s="488">
        <v>16</v>
      </c>
      <c r="B29" s="493" t="s">
        <v>622</v>
      </c>
      <c r="C29" s="490"/>
      <c r="D29" s="490"/>
      <c r="E29" s="490"/>
      <c r="F29" s="490"/>
      <c r="G29" s="490">
        <f>pm.ÖM!AH30</f>
        <v>0</v>
      </c>
      <c r="H29" s="491">
        <f t="shared" si="0"/>
        <v>0</v>
      </c>
      <c r="I29" s="1013">
        <v>-328336</v>
      </c>
      <c r="J29" s="1013">
        <v>328336</v>
      </c>
      <c r="K29" s="492">
        <f t="shared" si="1"/>
        <v>0</v>
      </c>
      <c r="L29" s="210"/>
    </row>
    <row r="30" spans="1:47" ht="24.95" customHeight="1" x14ac:dyDescent="0.2">
      <c r="A30" s="488">
        <v>17</v>
      </c>
      <c r="B30" s="493" t="s">
        <v>623</v>
      </c>
      <c r="C30" s="490"/>
      <c r="D30" s="490"/>
      <c r="E30" s="490"/>
      <c r="F30" s="490"/>
      <c r="G30" s="490">
        <f>pm.ÖM!AH31</f>
        <v>0</v>
      </c>
      <c r="H30" s="497">
        <f t="shared" si="0"/>
        <v>0</v>
      </c>
      <c r="I30" s="1013">
        <v>15624</v>
      </c>
      <c r="J30" s="1013"/>
      <c r="K30" s="492">
        <f t="shared" si="1"/>
        <v>15624</v>
      </c>
      <c r="L30" s="210"/>
    </row>
    <row r="31" spans="1:47" ht="24.95" customHeight="1" x14ac:dyDescent="0.2">
      <c r="A31" s="488">
        <v>18</v>
      </c>
      <c r="B31" s="503" t="s">
        <v>624</v>
      </c>
      <c r="C31" s="490"/>
      <c r="D31" s="490"/>
      <c r="E31" s="490"/>
      <c r="F31" s="504"/>
      <c r="G31" s="490">
        <f>pm.ÖM!AH32</f>
        <v>0</v>
      </c>
      <c r="H31" s="491">
        <f t="shared" si="0"/>
        <v>0</v>
      </c>
      <c r="I31" s="1016">
        <v>0</v>
      </c>
      <c r="J31" s="1016"/>
      <c r="K31" s="492">
        <f t="shared" si="1"/>
        <v>0</v>
      </c>
      <c r="L31" s="210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</row>
    <row r="32" spans="1:47" ht="24.95" customHeight="1" x14ac:dyDescent="0.2">
      <c r="A32" s="499">
        <v>19</v>
      </c>
      <c r="B32" s="502" t="s">
        <v>625</v>
      </c>
      <c r="C32" s="496">
        <f>SUM(C26:C31)</f>
        <v>5873</v>
      </c>
      <c r="D32" s="496">
        <f>SUM(D26:D31)</f>
        <v>702</v>
      </c>
      <c r="E32" s="496">
        <f>SUM(E26:E31)</f>
        <v>188</v>
      </c>
      <c r="F32" s="496">
        <f>SUM(F26:F31)</f>
        <v>58639</v>
      </c>
      <c r="G32" s="496">
        <f>SUM(G26:G31)</f>
        <v>-257</v>
      </c>
      <c r="H32" s="491">
        <f t="shared" si="0"/>
        <v>65145</v>
      </c>
      <c r="I32" s="491">
        <f>SUM(I26:I31)</f>
        <v>4472418</v>
      </c>
      <c r="J32" s="491">
        <f>SUM(J26:J31)</f>
        <v>421534</v>
      </c>
      <c r="K32" s="492">
        <f t="shared" si="1"/>
        <v>4959097</v>
      </c>
    </row>
    <row r="33" spans="1:11" ht="24.95" customHeight="1" x14ac:dyDescent="0.2">
      <c r="A33" s="488">
        <v>20</v>
      </c>
      <c r="B33" s="493" t="s">
        <v>626</v>
      </c>
      <c r="C33" s="490"/>
      <c r="D33" s="490"/>
      <c r="E33" s="490"/>
      <c r="F33" s="490"/>
      <c r="G33" s="490">
        <f>pm.ÖM!AH34</f>
        <v>0</v>
      </c>
      <c r="H33" s="491">
        <f t="shared" si="0"/>
        <v>0</v>
      </c>
      <c r="I33" s="501"/>
      <c r="J33" s="501"/>
      <c r="K33" s="492">
        <f t="shared" si="1"/>
        <v>0</v>
      </c>
    </row>
    <row r="34" spans="1:11" ht="24.95" customHeight="1" x14ac:dyDescent="0.2">
      <c r="A34" s="488">
        <v>21</v>
      </c>
      <c r="B34" s="493" t="s">
        <v>627</v>
      </c>
      <c r="C34" s="490"/>
      <c r="D34" s="490"/>
      <c r="E34" s="490"/>
      <c r="F34" s="490"/>
      <c r="G34" s="490">
        <f>pm.ÖM!AH35</f>
        <v>0</v>
      </c>
      <c r="H34" s="491">
        <f t="shared" si="0"/>
        <v>0</v>
      </c>
      <c r="I34" s="501"/>
      <c r="J34" s="501"/>
      <c r="K34" s="492">
        <f t="shared" si="1"/>
        <v>0</v>
      </c>
    </row>
    <row r="35" spans="1:11" ht="24.95" customHeight="1" x14ac:dyDescent="0.2">
      <c r="A35" s="499">
        <v>22</v>
      </c>
      <c r="B35" s="502" t="s">
        <v>628</v>
      </c>
      <c r="C35" s="496">
        <f>SUM(C32+C33-C34)</f>
        <v>5873</v>
      </c>
      <c r="D35" s="496">
        <f>SUM(D32+D33-D34)</f>
        <v>702</v>
      </c>
      <c r="E35" s="496">
        <f>SUM(E32+E33-E34)</f>
        <v>188</v>
      </c>
      <c r="F35" s="496">
        <f>SUM(F32+F33-F34)</f>
        <v>58639</v>
      </c>
      <c r="G35" s="496">
        <f>SUM(G32+G33-G34)</f>
        <v>-257</v>
      </c>
      <c r="H35" s="491">
        <f t="shared" si="0"/>
        <v>65145</v>
      </c>
      <c r="I35" s="491">
        <f>SUM(I32+I33-I34)</f>
        <v>4472418</v>
      </c>
      <c r="J35" s="491">
        <f>SUM(J32+J33-J34)</f>
        <v>421534</v>
      </c>
      <c r="K35" s="492">
        <f t="shared" si="1"/>
        <v>4959097</v>
      </c>
    </row>
    <row r="36" spans="1:11" ht="24.95" customHeight="1" x14ac:dyDescent="0.2">
      <c r="A36" s="505">
        <v>23</v>
      </c>
      <c r="B36" s="506" t="s">
        <v>629</v>
      </c>
      <c r="C36" s="367"/>
      <c r="D36" s="367"/>
      <c r="E36" s="367"/>
      <c r="F36" s="367"/>
      <c r="G36" s="367"/>
      <c r="H36" s="507"/>
      <c r="I36" s="508"/>
      <c r="J36" s="508"/>
      <c r="K36" s="498"/>
    </row>
    <row r="37" spans="1:11" ht="24.95" customHeight="1" x14ac:dyDescent="0.2">
      <c r="A37" s="505"/>
      <c r="B37" s="509" t="s">
        <v>86</v>
      </c>
      <c r="C37" s="510"/>
      <c r="D37" s="510"/>
      <c r="E37" s="510"/>
      <c r="F37" s="510"/>
      <c r="G37" s="510">
        <f>pm.ÖM!AH38</f>
        <v>0</v>
      </c>
      <c r="H37" s="511">
        <f>SUM(C37:G37)</f>
        <v>0</v>
      </c>
      <c r="I37" s="512">
        <v>0</v>
      </c>
      <c r="J37" s="512"/>
      <c r="K37" s="513">
        <f t="shared" si="1"/>
        <v>0</v>
      </c>
    </row>
    <row r="38" spans="1:11" ht="24.95" customHeight="1" x14ac:dyDescent="0.2">
      <c r="A38" s="514"/>
      <c r="B38" s="515" t="s">
        <v>87</v>
      </c>
      <c r="C38" s="511">
        <v>631</v>
      </c>
      <c r="D38" s="511">
        <v>702</v>
      </c>
      <c r="E38" s="511">
        <v>188</v>
      </c>
      <c r="F38" s="511">
        <v>58639</v>
      </c>
      <c r="G38" s="510">
        <f>pm.ÖM!AH39</f>
        <v>0</v>
      </c>
      <c r="H38" s="529">
        <f>SUM(C38:G38)</f>
        <v>60160</v>
      </c>
      <c r="I38" s="512">
        <v>4319223</v>
      </c>
      <c r="J38" s="512">
        <v>416524</v>
      </c>
      <c r="K38" s="513">
        <f t="shared" si="1"/>
        <v>4795907</v>
      </c>
    </row>
    <row r="39" spans="1:11" ht="24.95" customHeight="1" x14ac:dyDescent="0.2">
      <c r="A39" s="516"/>
      <c r="B39" s="517" t="s">
        <v>88</v>
      </c>
      <c r="C39" s="518">
        <v>5242</v>
      </c>
      <c r="D39" s="518"/>
      <c r="E39" s="518"/>
      <c r="F39" s="518"/>
      <c r="G39" s="1063">
        <f>pm.ÖM!AH40</f>
        <v>-257</v>
      </c>
      <c r="H39" s="686">
        <f>SUM(C39:G39)</f>
        <v>4985</v>
      </c>
      <c r="I39" s="518">
        <v>153195</v>
      </c>
      <c r="J39" s="1013">
        <v>5010</v>
      </c>
      <c r="K39" s="519">
        <f t="shared" si="1"/>
        <v>163190</v>
      </c>
    </row>
    <row r="40" spans="1:11" x14ac:dyDescent="0.2">
      <c r="C40" s="229"/>
      <c r="D40" s="229"/>
      <c r="E40" s="229"/>
      <c r="F40" s="229"/>
      <c r="G40" s="229"/>
      <c r="H40" s="229"/>
      <c r="I40" s="229"/>
      <c r="J40" s="229"/>
      <c r="K40" s="229"/>
    </row>
    <row r="41" spans="1:11" x14ac:dyDescent="0.2">
      <c r="C41" s="229"/>
      <c r="D41" s="229"/>
      <c r="E41" s="229"/>
      <c r="F41" s="229"/>
      <c r="G41" s="229"/>
      <c r="H41" s="229"/>
      <c r="I41" s="229"/>
      <c r="J41" s="229"/>
      <c r="K41" s="229"/>
    </row>
  </sheetData>
  <mergeCells count="3">
    <mergeCell ref="A5:K5"/>
    <mergeCell ref="A6:K6"/>
    <mergeCell ref="D11:E11"/>
  </mergeCells>
  <phoneticPr fontId="0" type="noConversion"/>
  <printOptions horizontalCentered="1"/>
  <pageMargins left="0" right="0" top="1.1811023622047245" bottom="0.78740157480314965" header="0.51181102362204722" footer="0.51181102362204722"/>
  <pageSetup paperSize="9" scale="70" orientation="portrait" horizontalDpi="4294967292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2"/>
  <sheetViews>
    <sheetView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E20" sqref="E20"/>
    </sheetView>
  </sheetViews>
  <sheetFormatPr defaultRowHeight="12.75" x14ac:dyDescent="0.2"/>
  <cols>
    <col min="1" max="1" width="6.42578125" style="144" customWidth="1"/>
    <col min="2" max="2" width="28.28515625" style="144" customWidth="1"/>
    <col min="3" max="10" width="8.7109375" style="144" customWidth="1"/>
    <col min="11" max="11" width="10.5703125" style="144" customWidth="1"/>
    <col min="12" max="18" width="8.7109375" style="144" customWidth="1"/>
    <col min="19" max="19" width="10.28515625" style="144" customWidth="1"/>
    <col min="20" max="20" width="8.7109375" style="144" customWidth="1"/>
    <col min="21" max="21" width="10.85546875" style="144" customWidth="1"/>
    <col min="22" max="31" width="8.7109375" style="144" customWidth="1"/>
    <col min="32" max="32" width="10.42578125" style="144" customWidth="1"/>
    <col min="33" max="33" width="11.140625" style="144" customWidth="1"/>
    <col min="34" max="34" width="10.85546875" style="144" customWidth="1"/>
    <col min="35" max="53" width="9.140625" style="184"/>
    <col min="54" max="16384" width="9.140625" style="144"/>
  </cols>
  <sheetData>
    <row r="1" spans="1:35" x14ac:dyDescent="0.2">
      <c r="M1" s="325" t="s">
        <v>0</v>
      </c>
      <c r="N1" s="325"/>
      <c r="X1" s="325" t="s">
        <v>1</v>
      </c>
      <c r="AH1" s="325" t="s">
        <v>2</v>
      </c>
    </row>
    <row r="2" spans="1:35" x14ac:dyDescent="0.2">
      <c r="M2" s="325" t="s">
        <v>57</v>
      </c>
      <c r="N2" s="325"/>
      <c r="X2" s="325" t="s">
        <v>57</v>
      </c>
      <c r="AH2" s="325" t="s">
        <v>57</v>
      </c>
    </row>
    <row r="3" spans="1:35" ht="30.75" customHeight="1" x14ac:dyDescent="0.2"/>
    <row r="4" spans="1:35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5"/>
    </row>
    <row r="5" spans="1:35" ht="15.75" x14ac:dyDescent="0.25">
      <c r="A5" s="1023"/>
      <c r="B5" s="1023"/>
      <c r="C5" s="2372" t="s">
        <v>5</v>
      </c>
      <c r="D5" s="2372"/>
      <c r="E5" s="2372"/>
      <c r="F5" s="2372"/>
      <c r="G5" s="2372"/>
      <c r="H5" s="2372"/>
      <c r="I5" s="2372"/>
      <c r="J5" s="2372"/>
      <c r="K5" s="2372"/>
      <c r="L5" s="1023"/>
      <c r="M5" s="1023"/>
      <c r="N5" s="1023"/>
      <c r="O5" s="1023"/>
      <c r="P5" s="1023"/>
      <c r="Q5" s="1023"/>
      <c r="R5" s="1023"/>
      <c r="S5" s="1023"/>
      <c r="T5" s="1023"/>
      <c r="U5" s="1023"/>
      <c r="V5" s="1023"/>
      <c r="W5" s="1023"/>
      <c r="X5" s="1023"/>
      <c r="Y5" s="1023"/>
      <c r="Z5" s="1023"/>
      <c r="AA5" s="1023"/>
      <c r="AB5" s="1023"/>
      <c r="AC5" s="1023"/>
      <c r="AD5" s="1023"/>
      <c r="AE5" s="1023"/>
      <c r="AF5" s="1023"/>
      <c r="AG5" s="1023"/>
      <c r="AH5" s="1023"/>
      <c r="AI5" s="186"/>
    </row>
    <row r="6" spans="1:35" ht="15.75" x14ac:dyDescent="0.25">
      <c r="A6" s="1023"/>
      <c r="B6" s="1023"/>
      <c r="C6" s="2372" t="s">
        <v>3</v>
      </c>
      <c r="D6" s="2372"/>
      <c r="E6" s="2372"/>
      <c r="F6" s="2372"/>
      <c r="G6" s="2372"/>
      <c r="H6" s="2372"/>
      <c r="I6" s="2372"/>
      <c r="J6" s="2372"/>
      <c r="K6" s="2372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3"/>
      <c r="AA6" s="1023"/>
      <c r="AB6" s="1023"/>
      <c r="AC6" s="1023"/>
      <c r="AD6" s="1023"/>
      <c r="AE6" s="1023"/>
      <c r="AF6" s="1023"/>
      <c r="AG6" s="1023"/>
      <c r="AH6" s="1023"/>
      <c r="AI6" s="186"/>
    </row>
    <row r="7" spans="1:35" ht="11.25" customHeight="1" x14ac:dyDescent="0.2">
      <c r="A7" s="1024"/>
      <c r="B7" s="1024"/>
      <c r="C7" s="2363" t="s">
        <v>58</v>
      </c>
      <c r="D7" s="2363"/>
      <c r="E7" s="2363"/>
      <c r="F7" s="2363"/>
      <c r="G7" s="2363"/>
      <c r="H7" s="2363"/>
      <c r="I7" s="2363"/>
      <c r="J7" s="2363"/>
      <c r="K7" s="2363"/>
      <c r="L7" s="1024"/>
      <c r="M7" s="1024"/>
      <c r="N7" s="1024"/>
      <c r="O7" s="1024"/>
      <c r="P7" s="1024"/>
      <c r="Q7" s="1024"/>
      <c r="R7" s="1024"/>
      <c r="S7" s="1024"/>
      <c r="T7" s="1024"/>
      <c r="U7" s="1024"/>
      <c r="V7" s="1024"/>
      <c r="W7" s="1024"/>
      <c r="X7" s="1024"/>
      <c r="Y7" s="1024"/>
      <c r="Z7" s="1024"/>
      <c r="AA7" s="1024"/>
      <c r="AB7" s="1024"/>
      <c r="AC7" s="1024"/>
      <c r="AD7" s="1024"/>
      <c r="AE7" s="1024"/>
      <c r="AF7" s="1024"/>
      <c r="AG7" s="1024"/>
      <c r="AH7" s="1024"/>
      <c r="AI7" s="187"/>
    </row>
    <row r="8" spans="1:35" ht="11.25" customHeight="1" x14ac:dyDescent="0.2">
      <c r="A8" s="462"/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187"/>
    </row>
    <row r="9" spans="1:35" ht="30.75" customHeight="1" thickBot="1" x14ac:dyDescent="0.25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</row>
    <row r="10" spans="1:35" x14ac:dyDescent="0.2">
      <c r="A10" s="188"/>
      <c r="B10" s="189"/>
      <c r="C10" s="1022"/>
      <c r="D10" s="189"/>
      <c r="E10" s="190"/>
      <c r="F10" s="487" t="s">
        <v>784</v>
      </c>
      <c r="G10" s="487"/>
      <c r="H10" s="487"/>
      <c r="I10" s="487"/>
      <c r="J10" s="487"/>
      <c r="K10" s="487"/>
      <c r="L10" s="487" t="s">
        <v>785</v>
      </c>
      <c r="M10" s="1025" t="s">
        <v>786</v>
      </c>
      <c r="N10" s="487"/>
      <c r="O10" s="487"/>
      <c r="P10" s="487" t="s">
        <v>787</v>
      </c>
      <c r="Q10" s="487"/>
      <c r="R10" s="1056"/>
      <c r="S10" s="487" t="s">
        <v>599</v>
      </c>
      <c r="T10" s="487" t="s">
        <v>788</v>
      </c>
      <c r="U10" s="487" t="s">
        <v>789</v>
      </c>
      <c r="V10" s="487"/>
      <c r="W10" s="487" t="s">
        <v>790</v>
      </c>
      <c r="X10" s="1025" t="s">
        <v>791</v>
      </c>
      <c r="Y10" s="487"/>
      <c r="Z10" s="487"/>
      <c r="AA10" s="487"/>
      <c r="AB10" s="487"/>
      <c r="AC10" s="487"/>
      <c r="AD10" s="487"/>
      <c r="AE10" s="487"/>
      <c r="AF10" s="2380" t="s">
        <v>792</v>
      </c>
      <c r="AG10" s="1025"/>
      <c r="AH10" s="1026"/>
    </row>
    <row r="11" spans="1:35" x14ac:dyDescent="0.2">
      <c r="A11" s="192" t="s">
        <v>369</v>
      </c>
      <c r="B11" s="193" t="s">
        <v>33</v>
      </c>
      <c r="C11" s="198" t="s">
        <v>793</v>
      </c>
      <c r="D11" s="193" t="s">
        <v>4</v>
      </c>
      <c r="E11" s="198" t="s">
        <v>794</v>
      </c>
      <c r="F11" s="193" t="s">
        <v>795</v>
      </c>
      <c r="G11" s="193" t="s">
        <v>796</v>
      </c>
      <c r="H11" s="193" t="s">
        <v>797</v>
      </c>
      <c r="I11" s="193" t="s">
        <v>798</v>
      </c>
      <c r="J11" s="193" t="s">
        <v>799</v>
      </c>
      <c r="K11" s="193" t="s">
        <v>800</v>
      </c>
      <c r="L11" s="193" t="s">
        <v>801</v>
      </c>
      <c r="M11" s="1027" t="s">
        <v>802</v>
      </c>
      <c r="N11" s="194" t="s">
        <v>803</v>
      </c>
      <c r="O11" s="193" t="s">
        <v>804</v>
      </c>
      <c r="P11" s="193" t="s">
        <v>139</v>
      </c>
      <c r="Q11" s="193" t="s">
        <v>805</v>
      </c>
      <c r="R11" s="193" t="s">
        <v>806</v>
      </c>
      <c r="S11" s="193" t="s">
        <v>600</v>
      </c>
      <c r="T11" s="193" t="s">
        <v>807</v>
      </c>
      <c r="U11" s="193" t="s">
        <v>808</v>
      </c>
      <c r="V11" s="193" t="s">
        <v>799</v>
      </c>
      <c r="W11" s="193" t="s">
        <v>809</v>
      </c>
      <c r="X11" s="1027" t="s">
        <v>139</v>
      </c>
      <c r="Y11" s="194" t="s">
        <v>786</v>
      </c>
      <c r="Z11" s="193" t="s">
        <v>810</v>
      </c>
      <c r="AA11" s="193" t="s">
        <v>150</v>
      </c>
      <c r="AB11" s="193" t="s">
        <v>811</v>
      </c>
      <c r="AC11" s="193" t="s">
        <v>812</v>
      </c>
      <c r="AD11" s="193" t="s">
        <v>813</v>
      </c>
      <c r="AE11" s="193" t="s">
        <v>814</v>
      </c>
      <c r="AF11" s="2381"/>
      <c r="AG11" s="1027" t="s">
        <v>792</v>
      </c>
      <c r="AH11" s="1028" t="s">
        <v>385</v>
      </c>
    </row>
    <row r="12" spans="1:35" x14ac:dyDescent="0.2">
      <c r="A12" s="192"/>
      <c r="B12" s="193"/>
      <c r="C12" s="198" t="s">
        <v>815</v>
      </c>
      <c r="D12" s="193" t="s">
        <v>818</v>
      </c>
      <c r="E12" s="198" t="s">
        <v>802</v>
      </c>
      <c r="F12" s="193" t="s">
        <v>817</v>
      </c>
      <c r="G12" s="193" t="s">
        <v>818</v>
      </c>
      <c r="H12" s="194" t="s">
        <v>818</v>
      </c>
      <c r="I12" s="194" t="s">
        <v>818</v>
      </c>
      <c r="J12" s="194" t="s">
        <v>818</v>
      </c>
      <c r="K12" s="194" t="s">
        <v>816</v>
      </c>
      <c r="L12" s="194" t="s">
        <v>818</v>
      </c>
      <c r="M12" s="1027" t="s">
        <v>819</v>
      </c>
      <c r="N12" s="194" t="s">
        <v>820</v>
      </c>
      <c r="O12" s="194" t="s">
        <v>818</v>
      </c>
      <c r="P12" s="194" t="s">
        <v>821</v>
      </c>
      <c r="Q12" s="194" t="s">
        <v>818</v>
      </c>
      <c r="R12" s="193" t="s">
        <v>822</v>
      </c>
      <c r="S12" s="194" t="s">
        <v>823</v>
      </c>
      <c r="T12" s="194" t="s">
        <v>823</v>
      </c>
      <c r="U12" s="194" t="s">
        <v>824</v>
      </c>
      <c r="V12" s="194" t="s">
        <v>818</v>
      </c>
      <c r="W12" s="194" t="s">
        <v>139</v>
      </c>
      <c r="X12" s="1027" t="s">
        <v>825</v>
      </c>
      <c r="Y12" s="194" t="s">
        <v>802</v>
      </c>
      <c r="Z12" s="194" t="s">
        <v>139</v>
      </c>
      <c r="AA12" s="194"/>
      <c r="AB12" s="194" t="s">
        <v>826</v>
      </c>
      <c r="AC12" s="194" t="s">
        <v>827</v>
      </c>
      <c r="AD12" s="194" t="s">
        <v>827</v>
      </c>
      <c r="AE12" s="194" t="s">
        <v>827</v>
      </c>
      <c r="AF12" s="194" t="s">
        <v>828</v>
      </c>
      <c r="AG12" s="198" t="s">
        <v>829</v>
      </c>
      <c r="AH12" s="1028" t="s">
        <v>572</v>
      </c>
    </row>
    <row r="13" spans="1:35" x14ac:dyDescent="0.2">
      <c r="A13" s="199"/>
      <c r="B13" s="200"/>
      <c r="C13" s="202"/>
      <c r="D13" s="200" t="s">
        <v>816</v>
      </c>
      <c r="E13" s="202" t="s">
        <v>816</v>
      </c>
      <c r="F13" s="200" t="s">
        <v>816</v>
      </c>
      <c r="G13" s="200" t="s">
        <v>816</v>
      </c>
      <c r="H13" s="201" t="s">
        <v>816</v>
      </c>
      <c r="I13" s="201" t="s">
        <v>816</v>
      </c>
      <c r="J13" s="201" t="s">
        <v>816</v>
      </c>
      <c r="K13" s="201"/>
      <c r="L13" s="201" t="s">
        <v>816</v>
      </c>
      <c r="M13" s="1061" t="s">
        <v>816</v>
      </c>
      <c r="N13" s="201" t="s">
        <v>816</v>
      </c>
      <c r="O13" s="201" t="s">
        <v>139</v>
      </c>
      <c r="P13" s="201" t="s">
        <v>830</v>
      </c>
      <c r="Q13" s="201" t="s">
        <v>139</v>
      </c>
      <c r="R13" s="201" t="s">
        <v>831</v>
      </c>
      <c r="S13" s="201" t="s">
        <v>832</v>
      </c>
      <c r="T13" s="201" t="s">
        <v>830</v>
      </c>
      <c r="U13" s="201" t="s">
        <v>139</v>
      </c>
      <c r="V13" s="201" t="s">
        <v>139</v>
      </c>
      <c r="W13" s="201"/>
      <c r="X13" s="1061" t="s">
        <v>830</v>
      </c>
      <c r="Y13" s="201" t="s">
        <v>139</v>
      </c>
      <c r="Z13" s="201"/>
      <c r="AA13" s="201"/>
      <c r="AB13" s="201" t="s">
        <v>833</v>
      </c>
      <c r="AC13" s="201" t="s">
        <v>833</v>
      </c>
      <c r="AD13" s="201" t="s">
        <v>833</v>
      </c>
      <c r="AE13" s="201" t="s">
        <v>833</v>
      </c>
      <c r="AF13" s="201" t="s">
        <v>674</v>
      </c>
      <c r="AG13" s="202" t="s">
        <v>388</v>
      </c>
      <c r="AH13" s="1029"/>
    </row>
    <row r="14" spans="1:35" x14ac:dyDescent="0.2">
      <c r="A14" s="207">
        <v>1</v>
      </c>
      <c r="B14" s="208">
        <v>2</v>
      </c>
      <c r="C14" s="208">
        <v>3</v>
      </c>
      <c r="D14" s="208">
        <v>4</v>
      </c>
      <c r="E14" s="208">
        <v>5</v>
      </c>
      <c r="F14" s="208">
        <v>6</v>
      </c>
      <c r="G14" s="208">
        <v>7</v>
      </c>
      <c r="H14" s="208">
        <v>8</v>
      </c>
      <c r="I14" s="208">
        <v>9</v>
      </c>
      <c r="J14" s="208">
        <v>10</v>
      </c>
      <c r="K14" s="208">
        <v>11</v>
      </c>
      <c r="L14" s="208">
        <v>12</v>
      </c>
      <c r="M14" s="1031">
        <v>13</v>
      </c>
      <c r="N14" s="1030">
        <v>3</v>
      </c>
      <c r="O14" s="208">
        <v>4</v>
      </c>
      <c r="P14" s="208">
        <v>5</v>
      </c>
      <c r="Q14" s="208">
        <v>6</v>
      </c>
      <c r="R14" s="208">
        <v>7</v>
      </c>
      <c r="S14" s="208">
        <v>8</v>
      </c>
      <c r="T14" s="208">
        <v>9</v>
      </c>
      <c r="U14" s="208">
        <v>10</v>
      </c>
      <c r="V14" s="208">
        <v>11</v>
      </c>
      <c r="W14" s="208">
        <v>12</v>
      </c>
      <c r="X14" s="1031">
        <v>13</v>
      </c>
      <c r="Y14" s="1030">
        <v>3</v>
      </c>
      <c r="Z14" s="208">
        <v>4</v>
      </c>
      <c r="AA14" s="208">
        <v>5</v>
      </c>
      <c r="AB14" s="208">
        <v>6</v>
      </c>
      <c r="AC14" s="208">
        <v>7</v>
      </c>
      <c r="AD14" s="208">
        <v>8</v>
      </c>
      <c r="AE14" s="208">
        <v>9</v>
      </c>
      <c r="AF14" s="208">
        <v>10</v>
      </c>
      <c r="AG14" s="1062">
        <v>11</v>
      </c>
      <c r="AH14" s="1032">
        <v>12</v>
      </c>
    </row>
    <row r="15" spans="1:35" ht="24.95" customHeight="1" x14ac:dyDescent="0.2">
      <c r="A15" s="488">
        <v>1</v>
      </c>
      <c r="B15" s="489" t="s">
        <v>601</v>
      </c>
      <c r="C15" s="490">
        <v>5785</v>
      </c>
      <c r="D15" s="490">
        <v>88</v>
      </c>
      <c r="E15" s="490">
        <v>1549</v>
      </c>
      <c r="F15" s="490">
        <v>773</v>
      </c>
      <c r="G15" s="490">
        <v>208</v>
      </c>
      <c r="H15" s="490">
        <v>148</v>
      </c>
      <c r="I15" s="490">
        <v>205</v>
      </c>
      <c r="J15" s="490">
        <v>3401</v>
      </c>
      <c r="K15" s="490">
        <v>786</v>
      </c>
      <c r="L15" s="490">
        <v>751</v>
      </c>
      <c r="M15" s="1033">
        <v>2177</v>
      </c>
      <c r="N15" s="1034">
        <v>3068</v>
      </c>
      <c r="O15" s="490">
        <v>3456</v>
      </c>
      <c r="P15" s="490">
        <v>0</v>
      </c>
      <c r="Q15" s="490">
        <v>0</v>
      </c>
      <c r="R15" s="490">
        <v>0</v>
      </c>
      <c r="S15" s="490">
        <v>1124</v>
      </c>
      <c r="T15" s="490">
        <v>0</v>
      </c>
      <c r="U15" s="490">
        <v>5884</v>
      </c>
      <c r="V15" s="490">
        <v>0</v>
      </c>
      <c r="W15" s="490">
        <v>369</v>
      </c>
      <c r="X15" s="1033">
        <v>1</v>
      </c>
      <c r="Y15" s="1034">
        <v>0</v>
      </c>
      <c r="Z15" s="490">
        <v>10</v>
      </c>
      <c r="AA15" s="490">
        <v>997</v>
      </c>
      <c r="AB15" s="490">
        <v>843</v>
      </c>
      <c r="AC15" s="490">
        <v>2874</v>
      </c>
      <c r="AD15" s="490">
        <v>2701</v>
      </c>
      <c r="AE15" s="490">
        <v>635</v>
      </c>
      <c r="AF15" s="490">
        <v>0</v>
      </c>
      <c r="AG15" s="1035">
        <v>0</v>
      </c>
      <c r="AH15" s="1036">
        <f t="shared" ref="AH15:AH36" si="0">SUM(C15:AG15)</f>
        <v>37833</v>
      </c>
      <c r="AI15" s="1037"/>
    </row>
    <row r="16" spans="1:35" ht="24.95" customHeight="1" x14ac:dyDescent="0.2">
      <c r="A16" s="488">
        <v>2</v>
      </c>
      <c r="B16" s="493" t="s">
        <v>602</v>
      </c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1033"/>
      <c r="N16" s="1034"/>
      <c r="O16" s="490"/>
      <c r="P16" s="490"/>
      <c r="Q16" s="490"/>
      <c r="R16" s="490"/>
      <c r="S16" s="490"/>
      <c r="T16" s="490"/>
      <c r="U16" s="490"/>
      <c r="V16" s="490"/>
      <c r="W16" s="490"/>
      <c r="X16" s="1033"/>
      <c r="Y16" s="1034"/>
      <c r="Z16" s="490"/>
      <c r="AA16" s="490"/>
      <c r="AB16" s="490"/>
      <c r="AC16" s="490"/>
      <c r="AD16" s="490"/>
      <c r="AE16" s="490"/>
      <c r="AF16" s="490"/>
      <c r="AG16" s="1035">
        <v>0</v>
      </c>
      <c r="AH16" s="1036">
        <f t="shared" si="0"/>
        <v>0</v>
      </c>
      <c r="AI16" s="1037"/>
    </row>
    <row r="17" spans="1:70" ht="24.95" customHeight="1" x14ac:dyDescent="0.2">
      <c r="A17" s="494">
        <v>3</v>
      </c>
      <c r="B17" s="495" t="s">
        <v>603</v>
      </c>
      <c r="C17" s="496">
        <f t="shared" ref="C17:AG17" si="1">SUM(C15:C16)</f>
        <v>5785</v>
      </c>
      <c r="D17" s="496">
        <f t="shared" si="1"/>
        <v>88</v>
      </c>
      <c r="E17" s="496">
        <f t="shared" si="1"/>
        <v>1549</v>
      </c>
      <c r="F17" s="496">
        <f t="shared" si="1"/>
        <v>773</v>
      </c>
      <c r="G17" s="496">
        <f t="shared" si="1"/>
        <v>208</v>
      </c>
      <c r="H17" s="496">
        <f t="shared" si="1"/>
        <v>148</v>
      </c>
      <c r="I17" s="496">
        <f t="shared" si="1"/>
        <v>205</v>
      </c>
      <c r="J17" s="496">
        <f t="shared" si="1"/>
        <v>3401</v>
      </c>
      <c r="K17" s="496">
        <f t="shared" si="1"/>
        <v>786</v>
      </c>
      <c r="L17" s="496">
        <f t="shared" si="1"/>
        <v>751</v>
      </c>
      <c r="M17" s="1038">
        <f t="shared" si="1"/>
        <v>2177</v>
      </c>
      <c r="N17" s="1039">
        <f t="shared" si="1"/>
        <v>3068</v>
      </c>
      <c r="O17" s="496">
        <f t="shared" si="1"/>
        <v>3456</v>
      </c>
      <c r="P17" s="496">
        <f t="shared" si="1"/>
        <v>0</v>
      </c>
      <c r="Q17" s="496">
        <f t="shared" si="1"/>
        <v>0</v>
      </c>
      <c r="R17" s="496">
        <f t="shared" si="1"/>
        <v>0</v>
      </c>
      <c r="S17" s="496">
        <f t="shared" si="1"/>
        <v>1124</v>
      </c>
      <c r="T17" s="496">
        <f t="shared" si="1"/>
        <v>0</v>
      </c>
      <c r="U17" s="496">
        <f t="shared" si="1"/>
        <v>5884</v>
      </c>
      <c r="V17" s="496">
        <f t="shared" si="1"/>
        <v>0</v>
      </c>
      <c r="W17" s="496">
        <f t="shared" si="1"/>
        <v>369</v>
      </c>
      <c r="X17" s="1038">
        <f t="shared" si="1"/>
        <v>1</v>
      </c>
      <c r="Y17" s="1039">
        <f t="shared" si="1"/>
        <v>0</v>
      </c>
      <c r="Z17" s="496">
        <f t="shared" si="1"/>
        <v>10</v>
      </c>
      <c r="AA17" s="496">
        <f t="shared" si="1"/>
        <v>997</v>
      </c>
      <c r="AB17" s="496">
        <f t="shared" si="1"/>
        <v>843</v>
      </c>
      <c r="AC17" s="496">
        <f t="shared" si="1"/>
        <v>2874</v>
      </c>
      <c r="AD17" s="496">
        <f t="shared" si="1"/>
        <v>2701</v>
      </c>
      <c r="AE17" s="496">
        <f t="shared" si="1"/>
        <v>635</v>
      </c>
      <c r="AF17" s="496">
        <f t="shared" si="1"/>
        <v>0</v>
      </c>
      <c r="AG17" s="1040">
        <f t="shared" si="1"/>
        <v>0</v>
      </c>
      <c r="AH17" s="1036">
        <f t="shared" si="0"/>
        <v>37833</v>
      </c>
      <c r="AI17" s="1037"/>
    </row>
    <row r="18" spans="1:70" ht="24.95" customHeight="1" x14ac:dyDescent="0.2">
      <c r="A18" s="488">
        <v>4</v>
      </c>
      <c r="B18" s="493" t="s">
        <v>604</v>
      </c>
      <c r="C18" s="490">
        <v>-1728</v>
      </c>
      <c r="D18" s="490">
        <v>-1900</v>
      </c>
      <c r="E18" s="490">
        <v>-440</v>
      </c>
      <c r="F18" s="490">
        <v>-1653</v>
      </c>
      <c r="G18" s="490">
        <v>-760</v>
      </c>
      <c r="H18" s="490">
        <v>-1554</v>
      </c>
      <c r="I18" s="490">
        <v>-1315</v>
      </c>
      <c r="J18" s="490">
        <v>-1500</v>
      </c>
      <c r="K18" s="490">
        <v>-2100</v>
      </c>
      <c r="L18" s="490">
        <v>-1634</v>
      </c>
      <c r="M18" s="1033">
        <v>-1307</v>
      </c>
      <c r="N18" s="1034">
        <v>-899</v>
      </c>
      <c r="O18" s="490">
        <v>-2655</v>
      </c>
      <c r="P18" s="490">
        <v>-3418</v>
      </c>
      <c r="Q18" s="490">
        <v>-2884</v>
      </c>
      <c r="R18" s="490">
        <v>-1600</v>
      </c>
      <c r="S18" s="490">
        <v>-1064</v>
      </c>
      <c r="T18" s="490">
        <v>-2081</v>
      </c>
      <c r="U18" s="490">
        <v>-1952</v>
      </c>
      <c r="V18" s="490">
        <v>-2452</v>
      </c>
      <c r="W18" s="490">
        <v>-1062</v>
      </c>
      <c r="X18" s="1033">
        <v>-2088</v>
      </c>
      <c r="Y18" s="1034">
        <v>-3328</v>
      </c>
      <c r="Z18" s="490">
        <v>-2310</v>
      </c>
      <c r="AA18" s="490">
        <v>-3115</v>
      </c>
      <c r="AB18" s="490">
        <v>-3216</v>
      </c>
      <c r="AC18" s="490">
        <v>-441</v>
      </c>
      <c r="AD18" s="490">
        <v>-3271</v>
      </c>
      <c r="AE18" s="490">
        <v>-2164</v>
      </c>
      <c r="AF18" s="490">
        <v>-11048</v>
      </c>
      <c r="AG18" s="1035">
        <v>-1485</v>
      </c>
      <c r="AH18" s="1041">
        <f t="shared" si="0"/>
        <v>-68424</v>
      </c>
      <c r="AI18" s="1037"/>
    </row>
    <row r="19" spans="1:70" ht="24.95" customHeight="1" x14ac:dyDescent="0.2">
      <c r="A19" s="488">
        <v>5</v>
      </c>
      <c r="B19" s="493" t="s">
        <v>605</v>
      </c>
      <c r="C19" s="490"/>
      <c r="D19" s="490"/>
      <c r="E19" s="490"/>
      <c r="F19" s="490"/>
      <c r="G19" s="490"/>
      <c r="H19" s="490">
        <v>44</v>
      </c>
      <c r="I19" s="490"/>
      <c r="J19" s="490"/>
      <c r="K19" s="490"/>
      <c r="L19" s="490">
        <v>150</v>
      </c>
      <c r="M19" s="1033"/>
      <c r="N19" s="1034"/>
      <c r="O19" s="490"/>
      <c r="P19" s="490"/>
      <c r="Q19" s="490"/>
      <c r="R19" s="490"/>
      <c r="S19" s="490"/>
      <c r="T19" s="490"/>
      <c r="U19" s="490">
        <v>150</v>
      </c>
      <c r="V19" s="490"/>
      <c r="W19" s="490"/>
      <c r="X19" s="1033"/>
      <c r="Y19" s="1034"/>
      <c r="Z19" s="490"/>
      <c r="AA19" s="490"/>
      <c r="AB19" s="490"/>
      <c r="AC19" s="490"/>
      <c r="AD19" s="490"/>
      <c r="AE19" s="490"/>
      <c r="AF19" s="490"/>
      <c r="AG19" s="1035"/>
      <c r="AH19" s="1041">
        <f t="shared" si="0"/>
        <v>344</v>
      </c>
      <c r="AI19" s="1037"/>
    </row>
    <row r="20" spans="1:70" ht="24.95" customHeight="1" x14ac:dyDescent="0.2">
      <c r="A20" s="488">
        <v>6</v>
      </c>
      <c r="B20" s="493" t="s">
        <v>606</v>
      </c>
      <c r="C20" s="490">
        <v>713</v>
      </c>
      <c r="D20" s="490">
        <v>-35</v>
      </c>
      <c r="E20" s="490">
        <v>352</v>
      </c>
      <c r="F20" s="490">
        <v>1104</v>
      </c>
      <c r="G20" s="490">
        <v>942</v>
      </c>
      <c r="H20" s="490">
        <v>-174</v>
      </c>
      <c r="I20" s="490">
        <v>521</v>
      </c>
      <c r="J20" s="490">
        <v>-58</v>
      </c>
      <c r="K20" s="490">
        <v>2635</v>
      </c>
      <c r="L20" s="490">
        <v>-45</v>
      </c>
      <c r="M20" s="1033">
        <v>-86</v>
      </c>
      <c r="N20" s="1034">
        <v>-126</v>
      </c>
      <c r="O20" s="490">
        <v>1388</v>
      </c>
      <c r="P20" s="490">
        <v>-16368</v>
      </c>
      <c r="Q20" s="490">
        <v>-84</v>
      </c>
      <c r="R20" s="490">
        <v>1035</v>
      </c>
      <c r="S20" s="490">
        <v>-181</v>
      </c>
      <c r="T20" s="490">
        <v>1296</v>
      </c>
      <c r="U20" s="490">
        <v>548</v>
      </c>
      <c r="V20" s="490">
        <v>1922</v>
      </c>
      <c r="W20" s="490">
        <v>635</v>
      </c>
      <c r="X20" s="1033">
        <v>1711</v>
      </c>
      <c r="Y20" s="1034">
        <v>1922</v>
      </c>
      <c r="Z20" s="490">
        <v>6484</v>
      </c>
      <c r="AA20" s="490">
        <v>3927</v>
      </c>
      <c r="AB20" s="490">
        <v>8699</v>
      </c>
      <c r="AC20" s="490">
        <v>2980</v>
      </c>
      <c r="AD20" s="490">
        <v>2327</v>
      </c>
      <c r="AE20" s="490">
        <v>1972</v>
      </c>
      <c r="AF20" s="490">
        <v>1635</v>
      </c>
      <c r="AG20" s="1035">
        <v>4263</v>
      </c>
      <c r="AH20" s="1041">
        <f t="shared" si="0"/>
        <v>31854</v>
      </c>
      <c r="AI20" s="1037"/>
    </row>
    <row r="21" spans="1:70" ht="24.95" customHeight="1" x14ac:dyDescent="0.2">
      <c r="A21" s="488">
        <v>7</v>
      </c>
      <c r="B21" s="493" t="s">
        <v>613</v>
      </c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1033"/>
      <c r="N21" s="1034"/>
      <c r="O21" s="490"/>
      <c r="P21" s="490"/>
      <c r="Q21" s="490"/>
      <c r="R21" s="490"/>
      <c r="S21" s="490"/>
      <c r="T21" s="490"/>
      <c r="U21" s="490"/>
      <c r="V21" s="490"/>
      <c r="W21" s="490"/>
      <c r="X21" s="1033"/>
      <c r="Y21" s="1034"/>
      <c r="Z21" s="490"/>
      <c r="AA21" s="490"/>
      <c r="AB21" s="490"/>
      <c r="AC21" s="490"/>
      <c r="AD21" s="490"/>
      <c r="AE21" s="490"/>
      <c r="AF21" s="490"/>
      <c r="AG21" s="1035"/>
      <c r="AH21" s="1041">
        <f t="shared" si="0"/>
        <v>0</v>
      </c>
      <c r="AI21" s="1037"/>
    </row>
    <row r="22" spans="1:70" ht="24.95" customHeight="1" x14ac:dyDescent="0.2">
      <c r="A22" s="488">
        <v>8</v>
      </c>
      <c r="B22" s="493" t="s">
        <v>614</v>
      </c>
      <c r="C22" s="490"/>
      <c r="D22" s="490"/>
      <c r="E22" s="490">
        <v>35</v>
      </c>
      <c r="F22" s="490"/>
      <c r="G22" s="490"/>
      <c r="H22" s="490"/>
      <c r="I22" s="490">
        <v>336</v>
      </c>
      <c r="J22" s="490"/>
      <c r="K22" s="490"/>
      <c r="L22" s="490"/>
      <c r="M22" s="1033"/>
      <c r="N22" s="1034"/>
      <c r="O22" s="490"/>
      <c r="P22" s="490"/>
      <c r="Q22" s="490"/>
      <c r="R22" s="490"/>
      <c r="S22" s="490"/>
      <c r="T22" s="490">
        <v>70</v>
      </c>
      <c r="U22" s="490"/>
      <c r="V22" s="490"/>
      <c r="W22" s="490"/>
      <c r="X22" s="1033"/>
      <c r="Y22" s="1034"/>
      <c r="Z22" s="490">
        <v>10</v>
      </c>
      <c r="AA22" s="490"/>
      <c r="AB22" s="490"/>
      <c r="AC22" s="490"/>
      <c r="AD22" s="490">
        <v>78</v>
      </c>
      <c r="AE22" s="490">
        <v>25</v>
      </c>
      <c r="AF22" s="490">
        <v>8</v>
      </c>
      <c r="AG22" s="1035"/>
      <c r="AH22" s="1036">
        <f t="shared" si="0"/>
        <v>562</v>
      </c>
      <c r="AI22" s="1037"/>
    </row>
    <row r="23" spans="1:70" ht="24.95" customHeight="1" x14ac:dyDescent="0.2">
      <c r="A23" s="488">
        <v>9</v>
      </c>
      <c r="B23" s="493" t="s">
        <v>615</v>
      </c>
      <c r="C23" s="490">
        <v>630</v>
      </c>
      <c r="D23" s="490"/>
      <c r="E23" s="490"/>
      <c r="F23" s="490"/>
      <c r="G23" s="490">
        <v>11</v>
      </c>
      <c r="H23" s="490">
        <v>4</v>
      </c>
      <c r="I23" s="490"/>
      <c r="J23" s="490"/>
      <c r="K23" s="490"/>
      <c r="L23" s="490">
        <v>8</v>
      </c>
      <c r="M23" s="1033">
        <v>-296</v>
      </c>
      <c r="N23" s="1034">
        <v>7</v>
      </c>
      <c r="O23" s="490">
        <v>225</v>
      </c>
      <c r="P23" s="490">
        <v>135</v>
      </c>
      <c r="Q23" s="490">
        <v>87</v>
      </c>
      <c r="R23" s="490">
        <v>111</v>
      </c>
      <c r="S23" s="490">
        <v>6</v>
      </c>
      <c r="T23" s="490">
        <v>213</v>
      </c>
      <c r="U23" s="490">
        <v>282</v>
      </c>
      <c r="V23" s="490"/>
      <c r="W23" s="490">
        <v>-2</v>
      </c>
      <c r="X23" s="1033">
        <v>-2</v>
      </c>
      <c r="Y23" s="1034">
        <v>300</v>
      </c>
      <c r="Z23" s="490">
        <v>19</v>
      </c>
      <c r="AA23" s="490"/>
      <c r="AB23" s="490">
        <v>-1</v>
      </c>
      <c r="AC23" s="490"/>
      <c r="AD23" s="490"/>
      <c r="AE23" s="490"/>
      <c r="AF23" s="490">
        <v>1</v>
      </c>
      <c r="AG23" s="1035"/>
      <c r="AH23" s="1036">
        <f t="shared" si="0"/>
        <v>1738</v>
      </c>
      <c r="AI23" s="1037"/>
    </row>
    <row r="24" spans="1:70" ht="24.95" customHeight="1" x14ac:dyDescent="0.2">
      <c r="A24" s="499">
        <v>10</v>
      </c>
      <c r="B24" s="500" t="s">
        <v>616</v>
      </c>
      <c r="C24" s="496">
        <f t="shared" ref="C24:AG24" si="2">SUM(C18-C19+C20-C21+C22-C23)</f>
        <v>-1645</v>
      </c>
      <c r="D24" s="496">
        <f t="shared" si="2"/>
        <v>-1935</v>
      </c>
      <c r="E24" s="496">
        <f t="shared" si="2"/>
        <v>-53</v>
      </c>
      <c r="F24" s="496">
        <f t="shared" si="2"/>
        <v>-549</v>
      </c>
      <c r="G24" s="496">
        <f t="shared" si="2"/>
        <v>171</v>
      </c>
      <c r="H24" s="496">
        <f t="shared" si="2"/>
        <v>-1776</v>
      </c>
      <c r="I24" s="496">
        <f t="shared" si="2"/>
        <v>-458</v>
      </c>
      <c r="J24" s="496">
        <f t="shared" si="2"/>
        <v>-1558</v>
      </c>
      <c r="K24" s="496">
        <f t="shared" si="2"/>
        <v>535</v>
      </c>
      <c r="L24" s="496">
        <f t="shared" si="2"/>
        <v>-1837</v>
      </c>
      <c r="M24" s="1038">
        <f t="shared" si="2"/>
        <v>-1097</v>
      </c>
      <c r="N24" s="1039">
        <f t="shared" si="2"/>
        <v>-1032</v>
      </c>
      <c r="O24" s="496">
        <f t="shared" si="2"/>
        <v>-1492</v>
      </c>
      <c r="P24" s="496">
        <f t="shared" si="2"/>
        <v>-19921</v>
      </c>
      <c r="Q24" s="496">
        <f t="shared" si="2"/>
        <v>-3055</v>
      </c>
      <c r="R24" s="496">
        <f t="shared" si="2"/>
        <v>-676</v>
      </c>
      <c r="S24" s="496">
        <f t="shared" si="2"/>
        <v>-1251</v>
      </c>
      <c r="T24" s="496">
        <f t="shared" si="2"/>
        <v>-928</v>
      </c>
      <c r="U24" s="496">
        <f t="shared" si="2"/>
        <v>-1836</v>
      </c>
      <c r="V24" s="496">
        <f t="shared" si="2"/>
        <v>-530</v>
      </c>
      <c r="W24" s="496">
        <f t="shared" si="2"/>
        <v>-425</v>
      </c>
      <c r="X24" s="1038">
        <f t="shared" si="2"/>
        <v>-375</v>
      </c>
      <c r="Y24" s="1039">
        <f t="shared" si="2"/>
        <v>-1706</v>
      </c>
      <c r="Z24" s="496">
        <f t="shared" si="2"/>
        <v>4165</v>
      </c>
      <c r="AA24" s="496">
        <f t="shared" si="2"/>
        <v>812</v>
      </c>
      <c r="AB24" s="496">
        <f t="shared" si="2"/>
        <v>5484</v>
      </c>
      <c r="AC24" s="496">
        <f t="shared" si="2"/>
        <v>2539</v>
      </c>
      <c r="AD24" s="496">
        <f t="shared" si="2"/>
        <v>-866</v>
      </c>
      <c r="AE24" s="496">
        <f t="shared" si="2"/>
        <v>-167</v>
      </c>
      <c r="AF24" s="496">
        <f t="shared" si="2"/>
        <v>-9406</v>
      </c>
      <c r="AG24" s="1040">
        <f t="shared" si="2"/>
        <v>2778</v>
      </c>
      <c r="AH24" s="1036">
        <f t="shared" si="0"/>
        <v>-38090</v>
      </c>
      <c r="AI24" s="1037"/>
    </row>
    <row r="25" spans="1:70" ht="24.95" customHeight="1" x14ac:dyDescent="0.2">
      <c r="A25" s="488">
        <v>11</v>
      </c>
      <c r="B25" s="493" t="s">
        <v>617</v>
      </c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1033"/>
      <c r="N25" s="1034"/>
      <c r="O25" s="490"/>
      <c r="P25" s="490"/>
      <c r="Q25" s="490"/>
      <c r="R25" s="490"/>
      <c r="S25" s="490"/>
      <c r="T25" s="490"/>
      <c r="U25" s="490"/>
      <c r="V25" s="490"/>
      <c r="W25" s="490"/>
      <c r="X25" s="1033"/>
      <c r="Y25" s="1034"/>
      <c r="Z25" s="490"/>
      <c r="AA25" s="490"/>
      <c r="AB25" s="490"/>
      <c r="AC25" s="490"/>
      <c r="AD25" s="490"/>
      <c r="AE25" s="490"/>
      <c r="AF25" s="490"/>
      <c r="AG25" s="1035"/>
      <c r="AH25" s="1041">
        <f t="shared" si="0"/>
        <v>0</v>
      </c>
    </row>
    <row r="26" spans="1:70" ht="24.95" customHeight="1" x14ac:dyDescent="0.2">
      <c r="A26" s="488">
        <v>12</v>
      </c>
      <c r="B26" s="493" t="s">
        <v>618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1033"/>
      <c r="N26" s="1034"/>
      <c r="O26" s="490"/>
      <c r="P26" s="490"/>
      <c r="Q26" s="490"/>
      <c r="R26" s="490"/>
      <c r="S26" s="490"/>
      <c r="T26" s="490"/>
      <c r="U26" s="490"/>
      <c r="V26" s="490"/>
      <c r="W26" s="490"/>
      <c r="X26" s="1033"/>
      <c r="Y26" s="1034"/>
      <c r="Z26" s="490"/>
      <c r="AA26" s="490"/>
      <c r="AB26" s="490"/>
      <c r="AC26" s="490"/>
      <c r="AD26" s="490"/>
      <c r="AE26" s="490"/>
      <c r="AF26" s="490"/>
      <c r="AG26" s="1035"/>
      <c r="AH26" s="1036">
        <f t="shared" si="0"/>
        <v>0</v>
      </c>
    </row>
    <row r="27" spans="1:70" ht="24.95" customHeight="1" x14ac:dyDescent="0.2">
      <c r="A27" s="499">
        <v>13</v>
      </c>
      <c r="B27" s="502" t="s">
        <v>619</v>
      </c>
      <c r="C27" s="496">
        <f t="shared" ref="C27:AG27" si="3">SUM(C17+C24-C25-C26)</f>
        <v>4140</v>
      </c>
      <c r="D27" s="496">
        <f t="shared" si="3"/>
        <v>-1847</v>
      </c>
      <c r="E27" s="496">
        <f t="shared" si="3"/>
        <v>1496</v>
      </c>
      <c r="F27" s="496">
        <f t="shared" si="3"/>
        <v>224</v>
      </c>
      <c r="G27" s="496">
        <f t="shared" si="3"/>
        <v>379</v>
      </c>
      <c r="H27" s="496">
        <f t="shared" si="3"/>
        <v>-1628</v>
      </c>
      <c r="I27" s="496">
        <f t="shared" si="3"/>
        <v>-253</v>
      </c>
      <c r="J27" s="496">
        <f t="shared" si="3"/>
        <v>1843</v>
      </c>
      <c r="K27" s="496">
        <f t="shared" si="3"/>
        <v>1321</v>
      </c>
      <c r="L27" s="496">
        <f t="shared" si="3"/>
        <v>-1086</v>
      </c>
      <c r="M27" s="1038">
        <f t="shared" si="3"/>
        <v>1080</v>
      </c>
      <c r="N27" s="1039">
        <f t="shared" si="3"/>
        <v>2036</v>
      </c>
      <c r="O27" s="496">
        <f t="shared" si="3"/>
        <v>1964</v>
      </c>
      <c r="P27" s="496">
        <f t="shared" si="3"/>
        <v>-19921</v>
      </c>
      <c r="Q27" s="496">
        <f t="shared" si="3"/>
        <v>-3055</v>
      </c>
      <c r="R27" s="496">
        <f t="shared" si="3"/>
        <v>-676</v>
      </c>
      <c r="S27" s="496">
        <f t="shared" si="3"/>
        <v>-127</v>
      </c>
      <c r="T27" s="496">
        <f t="shared" si="3"/>
        <v>-928</v>
      </c>
      <c r="U27" s="496">
        <f t="shared" si="3"/>
        <v>4048</v>
      </c>
      <c r="V27" s="496">
        <f t="shared" si="3"/>
        <v>-530</v>
      </c>
      <c r="W27" s="496">
        <f t="shared" si="3"/>
        <v>-56</v>
      </c>
      <c r="X27" s="1038">
        <f t="shared" si="3"/>
        <v>-374</v>
      </c>
      <c r="Y27" s="1039">
        <f t="shared" si="3"/>
        <v>-1706</v>
      </c>
      <c r="Z27" s="496">
        <f t="shared" si="3"/>
        <v>4175</v>
      </c>
      <c r="AA27" s="496">
        <f t="shared" si="3"/>
        <v>1809</v>
      </c>
      <c r="AB27" s="496">
        <f t="shared" si="3"/>
        <v>6327</v>
      </c>
      <c r="AC27" s="496">
        <f t="shared" si="3"/>
        <v>5413</v>
      </c>
      <c r="AD27" s="496">
        <f t="shared" si="3"/>
        <v>1835</v>
      </c>
      <c r="AE27" s="496">
        <f t="shared" si="3"/>
        <v>468</v>
      </c>
      <c r="AF27" s="496">
        <f t="shared" si="3"/>
        <v>-9406</v>
      </c>
      <c r="AG27" s="1040">
        <f t="shared" si="3"/>
        <v>2778</v>
      </c>
      <c r="AH27" s="1036">
        <f t="shared" si="0"/>
        <v>-257</v>
      </c>
      <c r="AI27" s="1042"/>
    </row>
    <row r="28" spans="1:70" ht="24.95" customHeight="1" x14ac:dyDescent="0.2">
      <c r="A28" s="488">
        <v>14</v>
      </c>
      <c r="B28" s="493" t="s">
        <v>620</v>
      </c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1033"/>
      <c r="N28" s="1034"/>
      <c r="O28" s="490"/>
      <c r="P28" s="490"/>
      <c r="Q28" s="490"/>
      <c r="R28" s="490"/>
      <c r="S28" s="490"/>
      <c r="T28" s="490"/>
      <c r="U28" s="490"/>
      <c r="V28" s="490"/>
      <c r="W28" s="490"/>
      <c r="X28" s="1033"/>
      <c r="Y28" s="1034"/>
      <c r="Z28" s="490"/>
      <c r="AA28" s="490"/>
      <c r="AB28" s="490"/>
      <c r="AC28" s="490"/>
      <c r="AD28" s="490"/>
      <c r="AE28" s="490"/>
      <c r="AF28" s="490"/>
      <c r="AG28" s="1035"/>
      <c r="AH28" s="1036">
        <f t="shared" si="0"/>
        <v>0</v>
      </c>
    </row>
    <row r="29" spans="1:70" ht="24.95" customHeight="1" x14ac:dyDescent="0.2">
      <c r="A29" s="488">
        <v>15</v>
      </c>
      <c r="B29" s="493" t="s">
        <v>621</v>
      </c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1033"/>
      <c r="N29" s="1034"/>
      <c r="O29" s="490"/>
      <c r="P29" s="490"/>
      <c r="Q29" s="490"/>
      <c r="R29" s="490"/>
      <c r="S29" s="490"/>
      <c r="T29" s="490"/>
      <c r="U29" s="490"/>
      <c r="V29" s="490"/>
      <c r="W29" s="490"/>
      <c r="X29" s="1033"/>
      <c r="Y29" s="1034"/>
      <c r="Z29" s="490"/>
      <c r="AA29" s="490"/>
      <c r="AB29" s="490"/>
      <c r="AC29" s="490"/>
      <c r="AD29" s="490"/>
      <c r="AE29" s="490"/>
      <c r="AF29" s="490"/>
      <c r="AG29" s="1035"/>
      <c r="AH29" s="1041">
        <f t="shared" si="0"/>
        <v>0</v>
      </c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</row>
    <row r="30" spans="1:70" ht="24.95" customHeight="1" x14ac:dyDescent="0.2">
      <c r="A30" s="488">
        <v>16</v>
      </c>
      <c r="B30" s="493" t="s">
        <v>622</v>
      </c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1033"/>
      <c r="N30" s="1034"/>
      <c r="O30" s="490"/>
      <c r="P30" s="490"/>
      <c r="Q30" s="490"/>
      <c r="R30" s="490"/>
      <c r="S30" s="490"/>
      <c r="T30" s="490"/>
      <c r="U30" s="490"/>
      <c r="V30" s="490"/>
      <c r="W30" s="490"/>
      <c r="X30" s="1033"/>
      <c r="Y30" s="1034"/>
      <c r="Z30" s="490"/>
      <c r="AA30" s="490"/>
      <c r="AB30" s="490"/>
      <c r="AC30" s="490"/>
      <c r="AD30" s="490"/>
      <c r="AE30" s="490"/>
      <c r="AF30" s="490"/>
      <c r="AG30" s="1035"/>
      <c r="AH30" s="1036">
        <f t="shared" si="0"/>
        <v>0</v>
      </c>
    </row>
    <row r="31" spans="1:70" ht="24.95" customHeight="1" x14ac:dyDescent="0.2">
      <c r="A31" s="488">
        <v>17</v>
      </c>
      <c r="B31" s="493" t="s">
        <v>623</v>
      </c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1033"/>
      <c r="N31" s="1034"/>
      <c r="O31" s="490"/>
      <c r="P31" s="490"/>
      <c r="Q31" s="490"/>
      <c r="R31" s="490"/>
      <c r="S31" s="490"/>
      <c r="T31" s="490"/>
      <c r="U31" s="490"/>
      <c r="V31" s="490"/>
      <c r="W31" s="490"/>
      <c r="X31" s="1033"/>
      <c r="Y31" s="1034"/>
      <c r="Z31" s="490"/>
      <c r="AA31" s="490"/>
      <c r="AB31" s="490"/>
      <c r="AC31" s="490"/>
      <c r="AD31" s="490"/>
      <c r="AE31" s="490"/>
      <c r="AF31" s="490"/>
      <c r="AG31" s="1035"/>
      <c r="AH31" s="1041">
        <f t="shared" si="0"/>
        <v>0</v>
      </c>
    </row>
    <row r="32" spans="1:70" ht="24.95" customHeight="1" x14ac:dyDescent="0.2">
      <c r="A32" s="488">
        <v>18</v>
      </c>
      <c r="B32" s="503" t="s">
        <v>624</v>
      </c>
      <c r="C32" s="490"/>
      <c r="D32" s="490"/>
      <c r="E32" s="490"/>
      <c r="F32" s="504"/>
      <c r="G32" s="504"/>
      <c r="H32" s="504"/>
      <c r="I32" s="504"/>
      <c r="J32" s="504"/>
      <c r="K32" s="504"/>
      <c r="L32" s="504"/>
      <c r="M32" s="1043"/>
      <c r="N32" s="1044"/>
      <c r="O32" s="504"/>
      <c r="P32" s="504"/>
      <c r="Q32" s="504"/>
      <c r="R32" s="504"/>
      <c r="S32" s="504"/>
      <c r="T32" s="504"/>
      <c r="U32" s="504"/>
      <c r="V32" s="504"/>
      <c r="W32" s="504"/>
      <c r="X32" s="1043"/>
      <c r="Y32" s="1044"/>
      <c r="Z32" s="504"/>
      <c r="AA32" s="504"/>
      <c r="AB32" s="504"/>
      <c r="AC32" s="504"/>
      <c r="AD32" s="504"/>
      <c r="AE32" s="504"/>
      <c r="AF32" s="490"/>
      <c r="AG32" s="1035"/>
      <c r="AH32" s="1036">
        <f t="shared" si="0"/>
        <v>0</v>
      </c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</row>
    <row r="33" spans="1:34" ht="24.95" customHeight="1" x14ac:dyDescent="0.2">
      <c r="A33" s="499">
        <v>19</v>
      </c>
      <c r="B33" s="502" t="s">
        <v>625</v>
      </c>
      <c r="C33" s="496">
        <f t="shared" ref="C33:AG33" si="4">SUM(C27:C32)</f>
        <v>4140</v>
      </c>
      <c r="D33" s="496">
        <f t="shared" si="4"/>
        <v>-1847</v>
      </c>
      <c r="E33" s="496">
        <f t="shared" si="4"/>
        <v>1496</v>
      </c>
      <c r="F33" s="496">
        <f t="shared" si="4"/>
        <v>224</v>
      </c>
      <c r="G33" s="496">
        <f t="shared" si="4"/>
        <v>379</v>
      </c>
      <c r="H33" s="496">
        <f t="shared" si="4"/>
        <v>-1628</v>
      </c>
      <c r="I33" s="496">
        <f t="shared" si="4"/>
        <v>-253</v>
      </c>
      <c r="J33" s="496">
        <f t="shared" si="4"/>
        <v>1843</v>
      </c>
      <c r="K33" s="496">
        <f t="shared" si="4"/>
        <v>1321</v>
      </c>
      <c r="L33" s="496">
        <f t="shared" si="4"/>
        <v>-1086</v>
      </c>
      <c r="M33" s="1038">
        <f t="shared" si="4"/>
        <v>1080</v>
      </c>
      <c r="N33" s="1039">
        <f t="shared" si="4"/>
        <v>2036</v>
      </c>
      <c r="O33" s="496">
        <f t="shared" si="4"/>
        <v>1964</v>
      </c>
      <c r="P33" s="496">
        <f t="shared" si="4"/>
        <v>-19921</v>
      </c>
      <c r="Q33" s="496">
        <f t="shared" si="4"/>
        <v>-3055</v>
      </c>
      <c r="R33" s="496">
        <f t="shared" si="4"/>
        <v>-676</v>
      </c>
      <c r="S33" s="496">
        <f t="shared" si="4"/>
        <v>-127</v>
      </c>
      <c r="T33" s="496">
        <f t="shared" si="4"/>
        <v>-928</v>
      </c>
      <c r="U33" s="496">
        <f t="shared" si="4"/>
        <v>4048</v>
      </c>
      <c r="V33" s="496">
        <f t="shared" si="4"/>
        <v>-530</v>
      </c>
      <c r="W33" s="496">
        <f t="shared" si="4"/>
        <v>-56</v>
      </c>
      <c r="X33" s="1038">
        <f t="shared" si="4"/>
        <v>-374</v>
      </c>
      <c r="Y33" s="1039">
        <f t="shared" si="4"/>
        <v>-1706</v>
      </c>
      <c r="Z33" s="496">
        <f t="shared" si="4"/>
        <v>4175</v>
      </c>
      <c r="AA33" s="496">
        <f t="shared" si="4"/>
        <v>1809</v>
      </c>
      <c r="AB33" s="496">
        <f t="shared" si="4"/>
        <v>6327</v>
      </c>
      <c r="AC33" s="496">
        <f t="shared" si="4"/>
        <v>5413</v>
      </c>
      <c r="AD33" s="496">
        <f t="shared" si="4"/>
        <v>1835</v>
      </c>
      <c r="AE33" s="496">
        <f t="shared" si="4"/>
        <v>468</v>
      </c>
      <c r="AF33" s="496">
        <f t="shared" si="4"/>
        <v>-9406</v>
      </c>
      <c r="AG33" s="1040">
        <f t="shared" si="4"/>
        <v>2778</v>
      </c>
      <c r="AH33" s="1036">
        <f t="shared" si="0"/>
        <v>-257</v>
      </c>
    </row>
    <row r="34" spans="1:34" ht="24.95" customHeight="1" x14ac:dyDescent="0.2">
      <c r="A34" s="488">
        <v>20</v>
      </c>
      <c r="B34" s="493" t="s">
        <v>626</v>
      </c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1033"/>
      <c r="N34" s="1034"/>
      <c r="O34" s="490"/>
      <c r="P34" s="490"/>
      <c r="Q34" s="490"/>
      <c r="R34" s="490"/>
      <c r="S34" s="490"/>
      <c r="T34" s="490"/>
      <c r="U34" s="490"/>
      <c r="V34" s="490"/>
      <c r="W34" s="490"/>
      <c r="X34" s="1033"/>
      <c r="Y34" s="1034"/>
      <c r="Z34" s="490"/>
      <c r="AA34" s="490"/>
      <c r="AB34" s="490"/>
      <c r="AC34" s="490"/>
      <c r="AD34" s="490"/>
      <c r="AE34" s="490"/>
      <c r="AF34" s="490"/>
      <c r="AG34" s="1035"/>
      <c r="AH34" s="1036">
        <f t="shared" si="0"/>
        <v>0</v>
      </c>
    </row>
    <row r="35" spans="1:34" ht="24.95" customHeight="1" x14ac:dyDescent="0.2">
      <c r="A35" s="488">
        <v>21</v>
      </c>
      <c r="B35" s="493" t="s">
        <v>627</v>
      </c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1033"/>
      <c r="N35" s="1034"/>
      <c r="O35" s="490"/>
      <c r="P35" s="490"/>
      <c r="Q35" s="490"/>
      <c r="R35" s="490"/>
      <c r="S35" s="490"/>
      <c r="T35" s="490"/>
      <c r="U35" s="490"/>
      <c r="V35" s="490"/>
      <c r="W35" s="490"/>
      <c r="X35" s="1033"/>
      <c r="Y35" s="1034"/>
      <c r="Z35" s="490"/>
      <c r="AA35" s="490"/>
      <c r="AB35" s="490"/>
      <c r="AC35" s="490"/>
      <c r="AD35" s="490"/>
      <c r="AE35" s="490"/>
      <c r="AF35" s="490"/>
      <c r="AG35" s="1035"/>
      <c r="AH35" s="1036">
        <f t="shared" si="0"/>
        <v>0</v>
      </c>
    </row>
    <row r="36" spans="1:34" ht="24.95" customHeight="1" x14ac:dyDescent="0.2">
      <c r="A36" s="499">
        <v>22</v>
      </c>
      <c r="B36" s="502" t="s">
        <v>628</v>
      </c>
      <c r="C36" s="496">
        <f t="shared" ref="C36:AG36" si="5">SUM(C33+C34-C35)</f>
        <v>4140</v>
      </c>
      <c r="D36" s="496">
        <f t="shared" si="5"/>
        <v>-1847</v>
      </c>
      <c r="E36" s="496">
        <f t="shared" si="5"/>
        <v>1496</v>
      </c>
      <c r="F36" s="496">
        <f t="shared" si="5"/>
        <v>224</v>
      </c>
      <c r="G36" s="496">
        <f t="shared" si="5"/>
        <v>379</v>
      </c>
      <c r="H36" s="496">
        <f t="shared" si="5"/>
        <v>-1628</v>
      </c>
      <c r="I36" s="496">
        <f t="shared" si="5"/>
        <v>-253</v>
      </c>
      <c r="J36" s="496">
        <f t="shared" si="5"/>
        <v>1843</v>
      </c>
      <c r="K36" s="496">
        <f t="shared" si="5"/>
        <v>1321</v>
      </c>
      <c r="L36" s="496">
        <f t="shared" si="5"/>
        <v>-1086</v>
      </c>
      <c r="M36" s="1038">
        <f t="shared" si="5"/>
        <v>1080</v>
      </c>
      <c r="N36" s="1039">
        <f t="shared" si="5"/>
        <v>2036</v>
      </c>
      <c r="O36" s="496">
        <f t="shared" si="5"/>
        <v>1964</v>
      </c>
      <c r="P36" s="496">
        <f t="shared" si="5"/>
        <v>-19921</v>
      </c>
      <c r="Q36" s="496">
        <f t="shared" si="5"/>
        <v>-3055</v>
      </c>
      <c r="R36" s="496">
        <f t="shared" si="5"/>
        <v>-676</v>
      </c>
      <c r="S36" s="496">
        <f t="shared" si="5"/>
        <v>-127</v>
      </c>
      <c r="T36" s="496">
        <f t="shared" si="5"/>
        <v>-928</v>
      </c>
      <c r="U36" s="496">
        <f t="shared" si="5"/>
        <v>4048</v>
      </c>
      <c r="V36" s="496">
        <f t="shared" si="5"/>
        <v>-530</v>
      </c>
      <c r="W36" s="496">
        <f t="shared" si="5"/>
        <v>-56</v>
      </c>
      <c r="X36" s="1038">
        <f t="shared" si="5"/>
        <v>-374</v>
      </c>
      <c r="Y36" s="1039">
        <f t="shared" si="5"/>
        <v>-1706</v>
      </c>
      <c r="Z36" s="496">
        <f t="shared" si="5"/>
        <v>4175</v>
      </c>
      <c r="AA36" s="496">
        <f t="shared" si="5"/>
        <v>1809</v>
      </c>
      <c r="AB36" s="496">
        <f t="shared" si="5"/>
        <v>6327</v>
      </c>
      <c r="AC36" s="496">
        <f t="shared" si="5"/>
        <v>5413</v>
      </c>
      <c r="AD36" s="496">
        <f t="shared" si="5"/>
        <v>1835</v>
      </c>
      <c r="AE36" s="496">
        <f t="shared" si="5"/>
        <v>468</v>
      </c>
      <c r="AF36" s="496">
        <f t="shared" si="5"/>
        <v>-9406</v>
      </c>
      <c r="AG36" s="1040">
        <f t="shared" si="5"/>
        <v>2778</v>
      </c>
      <c r="AH36" s="1036">
        <f t="shared" si="0"/>
        <v>-257</v>
      </c>
    </row>
    <row r="37" spans="1:34" ht="24.95" customHeight="1" x14ac:dyDescent="0.2">
      <c r="A37" s="505">
        <v>23</v>
      </c>
      <c r="B37" s="506" t="s">
        <v>629</v>
      </c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1045"/>
      <c r="N37" s="1046"/>
      <c r="O37" s="367"/>
      <c r="P37" s="367"/>
      <c r="Q37" s="367"/>
      <c r="R37" s="367"/>
      <c r="S37" s="367"/>
      <c r="T37" s="367"/>
      <c r="U37" s="367"/>
      <c r="V37" s="367"/>
      <c r="W37" s="367"/>
      <c r="X37" s="1045"/>
      <c r="Y37" s="1046"/>
      <c r="Z37" s="367"/>
      <c r="AA37" s="367"/>
      <c r="AB37" s="367"/>
      <c r="AC37" s="367"/>
      <c r="AD37" s="367"/>
      <c r="AE37" s="367"/>
      <c r="AF37" s="367"/>
      <c r="AG37" s="1047"/>
      <c r="AH37" s="1048"/>
    </row>
    <row r="38" spans="1:34" ht="24.95" customHeight="1" x14ac:dyDescent="0.2">
      <c r="A38" s="505"/>
      <c r="B38" s="509" t="s">
        <v>86</v>
      </c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1049"/>
      <c r="N38" s="1050"/>
      <c r="O38" s="510"/>
      <c r="P38" s="510"/>
      <c r="Q38" s="510"/>
      <c r="R38" s="510"/>
      <c r="S38" s="510"/>
      <c r="T38" s="510"/>
      <c r="U38" s="510"/>
      <c r="V38" s="510"/>
      <c r="W38" s="510"/>
      <c r="X38" s="1049"/>
      <c r="Y38" s="1050"/>
      <c r="Z38" s="510"/>
      <c r="AA38" s="510"/>
      <c r="AB38" s="510"/>
      <c r="AC38" s="510"/>
      <c r="AD38" s="510"/>
      <c r="AE38" s="510"/>
      <c r="AF38" s="510"/>
      <c r="AG38" s="1051"/>
      <c r="AH38" s="1052">
        <f>SUM(C38:AG38)</f>
        <v>0</v>
      </c>
    </row>
    <row r="39" spans="1:34" ht="24.95" customHeight="1" x14ac:dyDescent="0.2">
      <c r="A39" s="514"/>
      <c r="B39" s="515" t="s">
        <v>87</v>
      </c>
      <c r="C39" s="511"/>
      <c r="D39" s="511"/>
      <c r="E39" s="511"/>
      <c r="F39" s="511"/>
      <c r="G39" s="511"/>
      <c r="H39" s="511"/>
      <c r="I39" s="511"/>
      <c r="J39" s="511"/>
      <c r="K39" s="511"/>
      <c r="L39" s="511"/>
      <c r="M39" s="513"/>
      <c r="N39" s="1053"/>
      <c r="O39" s="511"/>
      <c r="P39" s="511"/>
      <c r="Q39" s="511"/>
      <c r="R39" s="511"/>
      <c r="S39" s="511"/>
      <c r="T39" s="511"/>
      <c r="U39" s="511"/>
      <c r="V39" s="511"/>
      <c r="W39" s="511"/>
      <c r="X39" s="513"/>
      <c r="Y39" s="1053"/>
      <c r="Z39" s="511"/>
      <c r="AA39" s="511"/>
      <c r="AB39" s="511"/>
      <c r="AC39" s="511"/>
      <c r="AD39" s="511"/>
      <c r="AE39" s="511"/>
      <c r="AF39" s="511"/>
      <c r="AG39" s="512"/>
      <c r="AH39" s="1054">
        <f>SUM(C39:AG39)</f>
        <v>0</v>
      </c>
    </row>
    <row r="40" spans="1:34" ht="24.95" customHeight="1" x14ac:dyDescent="0.2">
      <c r="A40" s="516"/>
      <c r="B40" s="517" t="s">
        <v>88</v>
      </c>
      <c r="C40" s="518">
        <v>4140</v>
      </c>
      <c r="D40" s="518">
        <v>-1847</v>
      </c>
      <c r="E40" s="518">
        <v>1496</v>
      </c>
      <c r="F40" s="518">
        <v>224</v>
      </c>
      <c r="G40" s="518">
        <v>379</v>
      </c>
      <c r="H40" s="518">
        <v>-1628</v>
      </c>
      <c r="I40" s="518">
        <v>-253</v>
      </c>
      <c r="J40" s="518">
        <v>1843</v>
      </c>
      <c r="K40" s="518">
        <v>1321</v>
      </c>
      <c r="L40" s="518">
        <v>-1086</v>
      </c>
      <c r="M40" s="519">
        <v>1080</v>
      </c>
      <c r="N40" s="1014">
        <v>2036</v>
      </c>
      <c r="O40" s="518">
        <v>1964</v>
      </c>
      <c r="P40" s="518">
        <v>-19921</v>
      </c>
      <c r="Q40" s="518">
        <v>-3055</v>
      </c>
      <c r="R40" s="518">
        <v>-676</v>
      </c>
      <c r="S40" s="518">
        <v>-127</v>
      </c>
      <c r="T40" s="518">
        <v>-928</v>
      </c>
      <c r="U40" s="518">
        <v>4048</v>
      </c>
      <c r="V40" s="518">
        <v>-530</v>
      </c>
      <c r="W40" s="518">
        <v>-56</v>
      </c>
      <c r="X40" s="519">
        <v>-374</v>
      </c>
      <c r="Y40" s="1014">
        <v>-1706</v>
      </c>
      <c r="Z40" s="518">
        <v>4175</v>
      </c>
      <c r="AA40" s="518">
        <v>1809</v>
      </c>
      <c r="AB40" s="518">
        <v>6327</v>
      </c>
      <c r="AC40" s="518">
        <v>5413</v>
      </c>
      <c r="AD40" s="518">
        <v>1835</v>
      </c>
      <c r="AE40" s="518">
        <v>468</v>
      </c>
      <c r="AF40" s="518">
        <v>-9406</v>
      </c>
      <c r="AG40" s="1013">
        <v>2778</v>
      </c>
      <c r="AH40" s="1055">
        <f>SUM(C40:AG40)</f>
        <v>-257</v>
      </c>
    </row>
    <row r="41" spans="1:34" x14ac:dyDescent="0.2"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</row>
    <row r="42" spans="1:34" x14ac:dyDescent="0.2"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</row>
  </sheetData>
  <mergeCells count="4">
    <mergeCell ref="AF10:AF11"/>
    <mergeCell ref="C5:K5"/>
    <mergeCell ref="C6:K6"/>
    <mergeCell ref="C7:K7"/>
  </mergeCells>
  <phoneticPr fontId="0" type="noConversion"/>
  <printOptions horizontalCentered="1"/>
  <pageMargins left="0.39370078740157483" right="0.39370078740157483" top="1.1811023622047245" bottom="0.78740157480314965" header="0.23622047244094491" footer="0.51181102362204722"/>
  <pageSetup paperSize="9" scale="70" orientation="portrait" horizontalDpi="4294967292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opLeftCell="E1" zoomScale="75" workbookViewId="0">
      <selection activeCell="I49" sqref="I49"/>
    </sheetView>
  </sheetViews>
  <sheetFormatPr defaultRowHeight="12.75" x14ac:dyDescent="0.2"/>
  <cols>
    <col min="1" max="1" width="50.7109375" style="144" customWidth="1"/>
    <col min="2" max="2" width="11.7109375" style="144" customWidth="1"/>
    <col min="3" max="3" width="14.7109375" style="144" customWidth="1"/>
    <col min="4" max="4" width="11.7109375" style="144" customWidth="1"/>
    <col min="5" max="5" width="14.7109375" style="144" customWidth="1"/>
    <col min="6" max="6" width="11.7109375" style="144" customWidth="1"/>
    <col min="7" max="7" width="14.7109375" style="144" customWidth="1"/>
    <col min="8" max="8" width="11.7109375" style="144" customWidth="1"/>
    <col min="9" max="9" width="14.7109375" style="144" customWidth="1"/>
    <col min="10" max="10" width="12.7109375" style="144" customWidth="1"/>
    <col min="11" max="11" width="14.7109375" style="144" customWidth="1"/>
    <col min="12" max="12" width="15.7109375" style="144" customWidth="1"/>
    <col min="13" max="13" width="20.7109375" style="144" customWidth="1"/>
    <col min="14" max="16384" width="9.140625" style="144"/>
  </cols>
  <sheetData>
    <row r="1" spans="1:13" ht="15.75" x14ac:dyDescent="0.25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3"/>
      <c r="M1" s="682" t="s">
        <v>444</v>
      </c>
    </row>
    <row r="2" spans="1:13" ht="15.75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3"/>
      <c r="M2" s="231" t="s">
        <v>57</v>
      </c>
    </row>
    <row r="3" spans="1:13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214"/>
      <c r="M3" s="214"/>
    </row>
    <row r="4" spans="1:13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214"/>
      <c r="M4" s="214"/>
    </row>
    <row r="5" spans="1:13" ht="18.75" x14ac:dyDescent="0.3">
      <c r="A5" s="2382" t="s">
        <v>769</v>
      </c>
      <c r="B5" s="2382"/>
      <c r="C5" s="2382"/>
      <c r="D5" s="2382"/>
      <c r="E5" s="2382"/>
      <c r="F5" s="2382"/>
      <c r="G5" s="2382"/>
      <c r="H5" s="2382"/>
      <c r="I5" s="2382"/>
      <c r="J5" s="2382"/>
      <c r="K5" s="2382"/>
      <c r="L5" s="2382"/>
      <c r="M5" s="2382"/>
    </row>
    <row r="6" spans="1:13" x14ac:dyDescent="0.2">
      <c r="A6" s="2383"/>
      <c r="B6" s="2383"/>
      <c r="C6" s="2383"/>
      <c r="D6" s="2383"/>
      <c r="E6" s="2383"/>
      <c r="F6" s="2383"/>
      <c r="G6" s="2383"/>
      <c r="H6" s="2383"/>
      <c r="I6" s="2383"/>
      <c r="J6" s="2383"/>
      <c r="K6" s="2383"/>
      <c r="L6" s="2383"/>
      <c r="M6" s="2383"/>
    </row>
    <row r="7" spans="1:13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4"/>
      <c r="M7" s="214"/>
    </row>
    <row r="8" spans="1:13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4"/>
      <c r="M8" s="214"/>
    </row>
    <row r="9" spans="1:13" ht="15.75" x14ac:dyDescent="0.25">
      <c r="A9" s="215"/>
      <c r="B9" s="215"/>
      <c r="C9" s="215"/>
      <c r="D9" s="215"/>
      <c r="E9" s="215"/>
      <c r="F9" s="215"/>
      <c r="G9" s="215"/>
      <c r="H9" s="215"/>
      <c r="I9" s="215"/>
      <c r="J9" s="214"/>
      <c r="K9" s="215"/>
      <c r="L9" s="214"/>
      <c r="M9" s="311" t="s">
        <v>105</v>
      </c>
    </row>
    <row r="10" spans="1:13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</row>
    <row r="11" spans="1:13" ht="13.5" thickBot="1" x14ac:dyDescent="0.25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2" spans="1:13" ht="15.75" x14ac:dyDescent="0.25">
      <c r="A12" s="216"/>
      <c r="B12" s="2386" t="s">
        <v>301</v>
      </c>
      <c r="C12" s="2387"/>
      <c r="D12" s="293"/>
      <c r="E12" s="296"/>
      <c r="F12" s="294"/>
      <c r="G12" s="296"/>
      <c r="H12" s="294"/>
      <c r="I12" s="296"/>
      <c r="J12" s="294"/>
      <c r="K12" s="296"/>
      <c r="L12" s="297"/>
      <c r="M12" s="295"/>
    </row>
    <row r="13" spans="1:13" ht="15.75" x14ac:dyDescent="0.25">
      <c r="A13" s="292"/>
      <c r="B13" s="2384" t="s">
        <v>300</v>
      </c>
      <c r="C13" s="2385"/>
      <c r="D13" s="2384" t="s">
        <v>107</v>
      </c>
      <c r="E13" s="2385"/>
      <c r="F13" s="2384" t="s">
        <v>109</v>
      </c>
      <c r="G13" s="2385"/>
      <c r="H13" s="2384" t="s">
        <v>302</v>
      </c>
      <c r="I13" s="2385"/>
      <c r="J13" s="2384" t="s">
        <v>180</v>
      </c>
      <c r="K13" s="2385"/>
      <c r="L13" s="290"/>
      <c r="M13" s="326" t="s">
        <v>100</v>
      </c>
    </row>
    <row r="14" spans="1:13" ht="15.75" x14ac:dyDescent="0.25">
      <c r="A14" s="292"/>
      <c r="B14" s="2384" t="s">
        <v>130</v>
      </c>
      <c r="C14" s="2385"/>
      <c r="D14" s="2384" t="s">
        <v>108</v>
      </c>
      <c r="E14" s="2385"/>
      <c r="F14" s="2384" t="s">
        <v>110</v>
      </c>
      <c r="G14" s="2385"/>
      <c r="H14" s="2384" t="s">
        <v>305</v>
      </c>
      <c r="I14" s="2385"/>
      <c r="J14" s="2384" t="s">
        <v>181</v>
      </c>
      <c r="K14" s="2385"/>
      <c r="L14" s="291" t="s">
        <v>94</v>
      </c>
      <c r="M14" s="326" t="s">
        <v>101</v>
      </c>
    </row>
    <row r="15" spans="1:13" ht="15.75" x14ac:dyDescent="0.25">
      <c r="A15" s="292"/>
      <c r="B15" s="2388" t="s">
        <v>111</v>
      </c>
      <c r="C15" s="2389"/>
      <c r="D15" s="2388" t="s">
        <v>358</v>
      </c>
      <c r="E15" s="2389"/>
      <c r="F15" s="2388" t="s">
        <v>112</v>
      </c>
      <c r="G15" s="2389"/>
      <c r="H15" s="2388" t="s">
        <v>129</v>
      </c>
      <c r="I15" s="2389"/>
      <c r="J15" s="308"/>
      <c r="K15" s="309"/>
      <c r="L15" s="291" t="s">
        <v>95</v>
      </c>
      <c r="M15" s="326" t="s">
        <v>102</v>
      </c>
    </row>
    <row r="16" spans="1:13" ht="15.75" x14ac:dyDescent="0.25">
      <c r="A16" s="217"/>
      <c r="B16" s="219"/>
      <c r="C16" s="219"/>
      <c r="D16" s="218"/>
      <c r="E16" s="219"/>
      <c r="F16" s="218"/>
      <c r="G16" s="219"/>
      <c r="H16" s="218"/>
      <c r="I16" s="219"/>
      <c r="J16" s="221"/>
      <c r="K16" s="220"/>
      <c r="L16" s="291" t="s">
        <v>96</v>
      </c>
      <c r="M16" s="312" t="s">
        <v>303</v>
      </c>
    </row>
    <row r="17" spans="1:13" ht="15.75" x14ac:dyDescent="0.25">
      <c r="A17" s="310" t="s">
        <v>298</v>
      </c>
      <c r="B17" s="290"/>
      <c r="C17" s="291" t="s">
        <v>113</v>
      </c>
      <c r="D17" s="290"/>
      <c r="E17" s="291" t="s">
        <v>113</v>
      </c>
      <c r="F17" s="290"/>
      <c r="G17" s="291" t="s">
        <v>113</v>
      </c>
      <c r="H17" s="290"/>
      <c r="I17" s="291" t="s">
        <v>113</v>
      </c>
      <c r="J17" s="291" t="s">
        <v>282</v>
      </c>
      <c r="K17" s="291" t="s">
        <v>284</v>
      </c>
      <c r="L17" s="291" t="s">
        <v>97</v>
      </c>
      <c r="M17" s="312"/>
    </row>
    <row r="18" spans="1:13" ht="15.75" x14ac:dyDescent="0.25">
      <c r="A18" s="310" t="s">
        <v>299</v>
      </c>
      <c r="B18" s="291" t="s">
        <v>114</v>
      </c>
      <c r="C18" s="291" t="s">
        <v>106</v>
      </c>
      <c r="D18" s="291" t="s">
        <v>114</v>
      </c>
      <c r="E18" s="291" t="s">
        <v>106</v>
      </c>
      <c r="F18" s="291" t="s">
        <v>114</v>
      </c>
      <c r="G18" s="291" t="s">
        <v>106</v>
      </c>
      <c r="H18" s="291" t="s">
        <v>114</v>
      </c>
      <c r="I18" s="291" t="s">
        <v>106</v>
      </c>
      <c r="J18" s="291" t="s">
        <v>182</v>
      </c>
      <c r="K18" s="291" t="s">
        <v>285</v>
      </c>
      <c r="L18" s="291" t="s">
        <v>98</v>
      </c>
      <c r="M18" s="312" t="s">
        <v>103</v>
      </c>
    </row>
    <row r="19" spans="1:13" ht="15.75" x14ac:dyDescent="0.25">
      <c r="A19" s="222"/>
      <c r="B19" s="291" t="s">
        <v>208</v>
      </c>
      <c r="C19" s="291" t="s">
        <v>145</v>
      </c>
      <c r="D19" s="291" t="s">
        <v>208</v>
      </c>
      <c r="E19" s="291" t="s">
        <v>145</v>
      </c>
      <c r="F19" s="291" t="s">
        <v>208</v>
      </c>
      <c r="G19" s="291" t="s">
        <v>145</v>
      </c>
      <c r="H19" s="291" t="s">
        <v>208</v>
      </c>
      <c r="I19" s="291" t="s">
        <v>145</v>
      </c>
      <c r="J19" s="291" t="s">
        <v>283</v>
      </c>
      <c r="K19" s="291" t="s">
        <v>286</v>
      </c>
      <c r="L19" s="291" t="s">
        <v>99</v>
      </c>
      <c r="M19" s="312" t="s">
        <v>104</v>
      </c>
    </row>
    <row r="20" spans="1:13" ht="15.75" x14ac:dyDescent="0.25">
      <c r="A20" s="222"/>
      <c r="B20" s="223"/>
      <c r="C20" s="223"/>
      <c r="D20" s="224"/>
      <c r="E20" s="223"/>
      <c r="F20" s="224"/>
      <c r="G20" s="223"/>
      <c r="H20" s="224"/>
      <c r="I20" s="223"/>
      <c r="J20" s="291" t="s">
        <v>115</v>
      </c>
      <c r="K20" s="307" t="s">
        <v>115</v>
      </c>
      <c r="L20" s="223"/>
      <c r="M20" s="312" t="s">
        <v>304</v>
      </c>
    </row>
    <row r="21" spans="1:13" ht="15" x14ac:dyDescent="0.25">
      <c r="A21" s="298">
        <v>1</v>
      </c>
      <c r="B21" s="299">
        <v>2</v>
      </c>
      <c r="C21" s="299">
        <v>3</v>
      </c>
      <c r="D21" s="299">
        <v>4</v>
      </c>
      <c r="E21" s="299">
        <v>5</v>
      </c>
      <c r="F21" s="299">
        <v>6</v>
      </c>
      <c r="G21" s="299">
        <v>7</v>
      </c>
      <c r="H21" s="299">
        <v>8</v>
      </c>
      <c r="I21" s="299">
        <v>9</v>
      </c>
      <c r="J21" s="299">
        <v>10</v>
      </c>
      <c r="K21" s="299">
        <v>11</v>
      </c>
      <c r="L21" s="299">
        <v>12</v>
      </c>
      <c r="M21" s="300">
        <v>13</v>
      </c>
    </row>
    <row r="22" spans="1:13" ht="15" x14ac:dyDescent="0.25">
      <c r="A22" s="521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</row>
    <row r="23" spans="1:13" x14ac:dyDescent="0.2">
      <c r="A23" s="522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8"/>
    </row>
    <row r="24" spans="1:13" ht="20.100000000000001" customHeight="1" x14ac:dyDescent="0.25">
      <c r="A24" s="313" t="s">
        <v>661</v>
      </c>
      <c r="B24" s="314">
        <v>58</v>
      </c>
      <c r="C24" s="314">
        <v>46400000</v>
      </c>
      <c r="D24" s="314">
        <v>0</v>
      </c>
      <c r="E24" s="314">
        <f t="shared" ref="E24:E29" si="0">D24*(C24/B24)</f>
        <v>0</v>
      </c>
      <c r="F24" s="314">
        <v>58</v>
      </c>
      <c r="G24" s="314">
        <f t="shared" ref="G24:G29" si="1">F24*(C24/B24)</f>
        <v>46400000</v>
      </c>
      <c r="H24" s="314">
        <v>0</v>
      </c>
      <c r="I24" s="314">
        <v>0</v>
      </c>
      <c r="J24" s="314">
        <f>G24-K24</f>
        <v>46400000</v>
      </c>
      <c r="K24" s="314"/>
      <c r="L24" s="314">
        <f t="shared" ref="L24:L37" si="2">I24-G24+J24+K24</f>
        <v>0</v>
      </c>
      <c r="M24" s="315">
        <f t="shared" ref="M24:M37" si="3">L24</f>
        <v>0</v>
      </c>
    </row>
    <row r="25" spans="1:13" ht="20.100000000000001" customHeight="1" x14ac:dyDescent="0.25">
      <c r="A25" s="313" t="s">
        <v>662</v>
      </c>
      <c r="B25" s="314">
        <v>58</v>
      </c>
      <c r="C25" s="314">
        <v>23200000</v>
      </c>
      <c r="D25" s="314">
        <v>0</v>
      </c>
      <c r="E25" s="314">
        <f t="shared" si="0"/>
        <v>0</v>
      </c>
      <c r="F25" s="314">
        <v>58</v>
      </c>
      <c r="G25" s="314">
        <f t="shared" si="1"/>
        <v>23200000</v>
      </c>
      <c r="H25" s="314">
        <v>0</v>
      </c>
      <c r="I25" s="314">
        <v>0</v>
      </c>
      <c r="J25" s="314">
        <f>G25-K25</f>
        <v>23200000</v>
      </c>
      <c r="K25" s="314"/>
      <c r="L25" s="314">
        <f t="shared" si="2"/>
        <v>0</v>
      </c>
      <c r="M25" s="315">
        <f t="shared" si="3"/>
        <v>0</v>
      </c>
    </row>
    <row r="26" spans="1:13" ht="20.100000000000001" customHeight="1" x14ac:dyDescent="0.25">
      <c r="A26" s="313" t="s">
        <v>770</v>
      </c>
      <c r="B26" s="314">
        <v>1039</v>
      </c>
      <c r="C26" s="314">
        <v>4363800</v>
      </c>
      <c r="D26" s="314">
        <v>0</v>
      </c>
      <c r="E26" s="314">
        <f t="shared" si="0"/>
        <v>0</v>
      </c>
      <c r="F26" s="314">
        <v>1039</v>
      </c>
      <c r="G26" s="314">
        <f t="shared" si="1"/>
        <v>4363800</v>
      </c>
      <c r="H26" s="314">
        <v>0</v>
      </c>
      <c r="I26" s="314">
        <f>H26*(C26/B26)</f>
        <v>0</v>
      </c>
      <c r="J26" s="314">
        <f>G26-K26</f>
        <v>4363800</v>
      </c>
      <c r="K26" s="314">
        <v>0</v>
      </c>
      <c r="L26" s="314">
        <f t="shared" si="2"/>
        <v>0</v>
      </c>
      <c r="M26" s="315">
        <f t="shared" si="3"/>
        <v>0</v>
      </c>
    </row>
    <row r="27" spans="1:13" ht="20.100000000000001" customHeight="1" x14ac:dyDescent="0.25">
      <c r="A27" s="313" t="s">
        <v>771</v>
      </c>
      <c r="B27" s="314">
        <v>1039</v>
      </c>
      <c r="C27" s="314">
        <v>2181900</v>
      </c>
      <c r="D27" s="314">
        <v>0</v>
      </c>
      <c r="E27" s="314">
        <f t="shared" si="0"/>
        <v>0</v>
      </c>
      <c r="F27" s="314">
        <v>1046</v>
      </c>
      <c r="G27" s="314">
        <f t="shared" si="1"/>
        <v>2196600</v>
      </c>
      <c r="H27" s="314">
        <f>F27-B27-D27</f>
        <v>7</v>
      </c>
      <c r="I27" s="314">
        <f>G27-C27-E27</f>
        <v>14700</v>
      </c>
      <c r="J27" s="314">
        <v>2011627</v>
      </c>
      <c r="K27" s="314"/>
      <c r="L27" s="314">
        <f t="shared" si="2"/>
        <v>-170273</v>
      </c>
      <c r="M27" s="315">
        <f t="shared" si="3"/>
        <v>-170273</v>
      </c>
    </row>
    <row r="28" spans="1:13" ht="20.100000000000001" customHeight="1" x14ac:dyDescent="0.25">
      <c r="A28" s="313" t="s">
        <v>772</v>
      </c>
      <c r="B28" s="314">
        <v>347</v>
      </c>
      <c r="C28" s="314">
        <v>6014667</v>
      </c>
      <c r="D28" s="314">
        <v>-3</v>
      </c>
      <c r="E28" s="314">
        <f t="shared" si="0"/>
        <v>-52000.002881844383</v>
      </c>
      <c r="F28" s="314">
        <v>344</v>
      </c>
      <c r="G28" s="314">
        <f t="shared" si="1"/>
        <v>5962666.9971181555</v>
      </c>
      <c r="H28" s="314">
        <v>0</v>
      </c>
      <c r="I28" s="314">
        <f t="shared" ref="I28:I35" si="4">H28*(C28/B28)</f>
        <v>0</v>
      </c>
      <c r="J28" s="314">
        <f>G28-K28-1</f>
        <v>5962665.9971181555</v>
      </c>
      <c r="K28" s="314"/>
      <c r="L28" s="314">
        <f t="shared" si="2"/>
        <v>-1</v>
      </c>
      <c r="M28" s="315">
        <f t="shared" si="3"/>
        <v>-1</v>
      </c>
    </row>
    <row r="29" spans="1:13" ht="20.100000000000001" customHeight="1" x14ac:dyDescent="0.25">
      <c r="A29" s="313" t="s">
        <v>773</v>
      </c>
      <c r="B29" s="314">
        <v>348</v>
      </c>
      <c r="C29" s="314">
        <v>3016000</v>
      </c>
      <c r="D29" s="314">
        <v>0</v>
      </c>
      <c r="E29" s="314">
        <f t="shared" si="0"/>
        <v>0</v>
      </c>
      <c r="F29" s="314">
        <v>351</v>
      </c>
      <c r="G29" s="314">
        <f t="shared" si="1"/>
        <v>3042000</v>
      </c>
      <c r="H29" s="314">
        <v>3</v>
      </c>
      <c r="I29" s="314">
        <f t="shared" si="4"/>
        <v>26000</v>
      </c>
      <c r="J29" s="314">
        <f>G29-K29-1</f>
        <v>3041999</v>
      </c>
      <c r="K29" s="314"/>
      <c r="L29" s="314">
        <f t="shared" si="2"/>
        <v>25999</v>
      </c>
      <c r="M29" s="315">
        <f t="shared" si="3"/>
        <v>25999</v>
      </c>
    </row>
    <row r="30" spans="1:13" ht="20.100000000000001" customHeight="1" x14ac:dyDescent="0.25">
      <c r="A30" s="313" t="s">
        <v>774</v>
      </c>
      <c r="B30" s="314">
        <v>11</v>
      </c>
      <c r="C30" s="314">
        <v>476667</v>
      </c>
      <c r="D30" s="314">
        <v>-1</v>
      </c>
      <c r="E30" s="314">
        <f>D30*(C30/B30)-1</f>
        <v>-43334.36363636364</v>
      </c>
      <c r="F30" s="314">
        <v>10</v>
      </c>
      <c r="G30" s="314">
        <f>F30*(C30/B30)-1</f>
        <v>433332.63636363641</v>
      </c>
      <c r="H30" s="314">
        <v>0</v>
      </c>
      <c r="I30" s="314">
        <f t="shared" si="4"/>
        <v>0</v>
      </c>
      <c r="J30" s="314">
        <f>G30-K30</f>
        <v>433332.63636363641</v>
      </c>
      <c r="K30" s="314"/>
      <c r="L30" s="314">
        <f t="shared" si="2"/>
        <v>0</v>
      </c>
      <c r="M30" s="315">
        <f t="shared" si="3"/>
        <v>0</v>
      </c>
    </row>
    <row r="31" spans="1:13" ht="20.100000000000001" customHeight="1" x14ac:dyDescent="0.25">
      <c r="A31" s="313" t="s">
        <v>775</v>
      </c>
      <c r="B31" s="314">
        <v>11</v>
      </c>
      <c r="C31" s="314">
        <v>238333</v>
      </c>
      <c r="D31" s="314">
        <v>0</v>
      </c>
      <c r="E31" s="314">
        <f t="shared" ref="E31:E36" si="5">D31*(C31/B31)</f>
        <v>0</v>
      </c>
      <c r="F31" s="314">
        <v>11</v>
      </c>
      <c r="G31" s="314">
        <f t="shared" ref="G31:G37" si="6">F31*(C31/B31)</f>
        <v>238333</v>
      </c>
      <c r="H31" s="314">
        <v>0</v>
      </c>
      <c r="I31" s="314">
        <f t="shared" si="4"/>
        <v>0</v>
      </c>
      <c r="J31" s="314">
        <f>G31-K31</f>
        <v>238333</v>
      </c>
      <c r="K31" s="314"/>
      <c r="L31" s="314">
        <f t="shared" si="2"/>
        <v>0</v>
      </c>
      <c r="M31" s="315">
        <f t="shared" si="3"/>
        <v>0</v>
      </c>
    </row>
    <row r="32" spans="1:13" ht="20.100000000000001" customHeight="1" x14ac:dyDescent="0.25">
      <c r="A32" s="313" t="s">
        <v>776</v>
      </c>
      <c r="B32" s="314">
        <v>2195</v>
      </c>
      <c r="C32" s="314">
        <v>149260000</v>
      </c>
      <c r="D32" s="314">
        <v>0</v>
      </c>
      <c r="E32" s="314">
        <f t="shared" si="5"/>
        <v>0</v>
      </c>
      <c r="F32" s="314">
        <v>2262</v>
      </c>
      <c r="G32" s="314">
        <f t="shared" si="6"/>
        <v>153816000</v>
      </c>
      <c r="H32" s="314">
        <v>67</v>
      </c>
      <c r="I32" s="314">
        <f t="shared" si="4"/>
        <v>4556000</v>
      </c>
      <c r="J32" s="314">
        <f>G32-K32</f>
        <v>153816000</v>
      </c>
      <c r="K32" s="314"/>
      <c r="L32" s="314">
        <f t="shared" si="2"/>
        <v>4556000</v>
      </c>
      <c r="M32" s="315">
        <f t="shared" si="3"/>
        <v>4556000</v>
      </c>
    </row>
    <row r="33" spans="1:49" ht="20.100000000000001" customHeight="1" x14ac:dyDescent="0.25">
      <c r="A33" s="313" t="s">
        <v>777</v>
      </c>
      <c r="B33" s="314">
        <v>7973</v>
      </c>
      <c r="C33" s="314">
        <v>9301833</v>
      </c>
      <c r="D33" s="314">
        <v>0</v>
      </c>
      <c r="E33" s="314">
        <f t="shared" si="5"/>
        <v>0</v>
      </c>
      <c r="F33" s="314">
        <v>7973</v>
      </c>
      <c r="G33" s="314">
        <f t="shared" si="6"/>
        <v>9301833</v>
      </c>
      <c r="H33" s="314">
        <v>0</v>
      </c>
      <c r="I33" s="314">
        <f t="shared" si="4"/>
        <v>0</v>
      </c>
      <c r="J33" s="314">
        <f>G33-K33</f>
        <v>9301833</v>
      </c>
      <c r="K33" s="314"/>
      <c r="L33" s="314">
        <f t="shared" si="2"/>
        <v>0</v>
      </c>
      <c r="M33" s="315">
        <f t="shared" si="3"/>
        <v>0</v>
      </c>
    </row>
    <row r="34" spans="1:49" ht="20.100000000000001" customHeight="1" x14ac:dyDescent="0.25">
      <c r="A34" s="313" t="s">
        <v>778</v>
      </c>
      <c r="B34" s="314">
        <v>8073</v>
      </c>
      <c r="C34" s="314">
        <v>4709250</v>
      </c>
      <c r="D34" s="314">
        <v>0</v>
      </c>
      <c r="E34" s="314">
        <f t="shared" si="5"/>
        <v>0</v>
      </c>
      <c r="F34" s="314">
        <v>8128</v>
      </c>
      <c r="G34" s="314">
        <f t="shared" si="6"/>
        <v>4741333.333333334</v>
      </c>
      <c r="H34" s="314">
        <v>55</v>
      </c>
      <c r="I34" s="314">
        <f t="shared" si="4"/>
        <v>32083.333333333336</v>
      </c>
      <c r="J34" s="314">
        <v>4710167</v>
      </c>
      <c r="K34" s="314"/>
      <c r="L34" s="314">
        <f t="shared" si="2"/>
        <v>916.99999999906868</v>
      </c>
      <c r="M34" s="315">
        <f t="shared" si="3"/>
        <v>916.99999999906868</v>
      </c>
    </row>
    <row r="35" spans="1:49" ht="20.100000000000001" customHeight="1" x14ac:dyDescent="0.25">
      <c r="A35" s="313" t="s">
        <v>779</v>
      </c>
      <c r="B35" s="314">
        <v>2588</v>
      </c>
      <c r="C35" s="314">
        <v>31056000</v>
      </c>
      <c r="D35" s="314">
        <v>0</v>
      </c>
      <c r="E35" s="314">
        <f t="shared" si="5"/>
        <v>0</v>
      </c>
      <c r="F35" s="314">
        <v>2699</v>
      </c>
      <c r="G35" s="314">
        <f t="shared" si="6"/>
        <v>32388000</v>
      </c>
      <c r="H35" s="314">
        <v>111</v>
      </c>
      <c r="I35" s="314">
        <f t="shared" si="4"/>
        <v>1332000</v>
      </c>
      <c r="J35" s="314">
        <f>G35-K35</f>
        <v>32388000</v>
      </c>
      <c r="K35" s="314">
        <v>0</v>
      </c>
      <c r="L35" s="314">
        <f t="shared" si="2"/>
        <v>1332000</v>
      </c>
      <c r="M35" s="315">
        <f t="shared" si="3"/>
        <v>1332000</v>
      </c>
    </row>
    <row r="36" spans="1:49" ht="20.100000000000001" customHeight="1" x14ac:dyDescent="0.25">
      <c r="A36" s="313" t="s">
        <v>665</v>
      </c>
      <c r="B36" s="314">
        <v>163</v>
      </c>
      <c r="C36" s="314">
        <v>267320</v>
      </c>
      <c r="D36" s="314">
        <v>0</v>
      </c>
      <c r="E36" s="314">
        <f t="shared" si="5"/>
        <v>0</v>
      </c>
      <c r="F36" s="314">
        <v>160</v>
      </c>
      <c r="G36" s="314">
        <f t="shared" si="6"/>
        <v>262400</v>
      </c>
      <c r="H36" s="314">
        <f>F36-B36-D36</f>
        <v>-3</v>
      </c>
      <c r="I36" s="314">
        <f>G36-C36-E36</f>
        <v>-4920</v>
      </c>
      <c r="J36" s="314">
        <f>G36-K36</f>
        <v>262400</v>
      </c>
      <c r="K36" s="314"/>
      <c r="L36" s="314">
        <f t="shared" si="2"/>
        <v>-4920</v>
      </c>
      <c r="M36" s="315">
        <f t="shared" si="3"/>
        <v>-4920</v>
      </c>
    </row>
    <row r="37" spans="1:49" ht="20.100000000000001" customHeight="1" x14ac:dyDescent="0.25">
      <c r="A37" s="313" t="s">
        <v>780</v>
      </c>
      <c r="B37" s="314">
        <v>9</v>
      </c>
      <c r="C37" s="314">
        <v>612000</v>
      </c>
      <c r="D37" s="314">
        <v>0</v>
      </c>
      <c r="E37" s="314">
        <v>0</v>
      </c>
      <c r="F37" s="314">
        <v>13</v>
      </c>
      <c r="G37" s="314">
        <f t="shared" si="6"/>
        <v>884000</v>
      </c>
      <c r="H37" s="314">
        <f>F37-B37-D37</f>
        <v>4</v>
      </c>
      <c r="I37" s="314">
        <f>G37-C37-E37</f>
        <v>272000</v>
      </c>
      <c r="J37" s="314">
        <f>G37-K37</f>
        <v>884000</v>
      </c>
      <c r="K37" s="314"/>
      <c r="L37" s="314">
        <f t="shared" si="2"/>
        <v>272000</v>
      </c>
      <c r="M37" s="315">
        <f t="shared" si="3"/>
        <v>272000</v>
      </c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</row>
    <row r="38" spans="1:49" ht="35.25" customHeight="1" x14ac:dyDescent="0.25">
      <c r="A38" s="313" t="s">
        <v>128</v>
      </c>
      <c r="B38" s="314">
        <f>SUM(B24:B37)</f>
        <v>23912</v>
      </c>
      <c r="C38" s="314">
        <f t="shared" ref="C38:J38" si="7">SUM(C24:C37)</f>
        <v>281097770</v>
      </c>
      <c r="D38" s="314">
        <f>SUM(D24:D37)</f>
        <v>-4</v>
      </c>
      <c r="E38" s="314">
        <f t="shared" si="7"/>
        <v>-95334.366518208029</v>
      </c>
      <c r="F38" s="314">
        <f t="shared" si="7"/>
        <v>24152</v>
      </c>
      <c r="G38" s="314">
        <f t="shared" si="7"/>
        <v>287230298.96681511</v>
      </c>
      <c r="H38" s="314">
        <f t="shared" si="7"/>
        <v>244</v>
      </c>
      <c r="I38" s="314">
        <f t="shared" si="7"/>
        <v>6227863.333333333</v>
      </c>
      <c r="J38" s="314">
        <f t="shared" si="7"/>
        <v>287014157.6334818</v>
      </c>
      <c r="K38" s="314">
        <f>SUM(K24:K37)</f>
        <v>0</v>
      </c>
      <c r="L38" s="314">
        <f>SUM(L24:L37)</f>
        <v>6011721.9999999991</v>
      </c>
      <c r="M38" s="315">
        <f>SUM(M24:M37)</f>
        <v>6011721.9999999991</v>
      </c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</row>
    <row r="39" spans="1:49" ht="20.100000000000001" customHeight="1" x14ac:dyDescent="0.25">
      <c r="A39" s="313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5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</row>
    <row r="40" spans="1:49" ht="20.100000000000001" customHeight="1" x14ac:dyDescent="0.25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5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</row>
    <row r="41" spans="1:49" ht="35.25" customHeight="1" x14ac:dyDescent="0.25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3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ht="15" x14ac:dyDescent="0.25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3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</row>
    <row r="43" spans="1:49" ht="15" x14ac:dyDescent="0.25">
      <c r="A43" s="301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3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ht="15" x14ac:dyDescent="0.25">
      <c r="A44" s="304"/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6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</row>
    <row r="45" spans="1:49" ht="16.5" thickBot="1" x14ac:dyDescent="0.25">
      <c r="A45" s="316" t="s">
        <v>137</v>
      </c>
      <c r="B45" s="317">
        <f>B38</f>
        <v>23912</v>
      </c>
      <c r="C45" s="317">
        <f>C38</f>
        <v>281097770</v>
      </c>
      <c r="D45" s="317">
        <f>D38</f>
        <v>-4</v>
      </c>
      <c r="E45" s="317">
        <f>E38</f>
        <v>-95334.366518208029</v>
      </c>
      <c r="F45" s="317">
        <f t="shared" ref="F45:K45" si="8">F38</f>
        <v>24152</v>
      </c>
      <c r="G45" s="317">
        <f t="shared" si="8"/>
        <v>287230298.96681511</v>
      </c>
      <c r="H45" s="317">
        <f t="shared" si="8"/>
        <v>244</v>
      </c>
      <c r="I45" s="317">
        <f t="shared" si="8"/>
        <v>6227863.333333333</v>
      </c>
      <c r="J45" s="317">
        <f t="shared" si="8"/>
        <v>287014157.6334818</v>
      </c>
      <c r="K45" s="317">
        <f t="shared" si="8"/>
        <v>0</v>
      </c>
      <c r="L45" s="317">
        <f>L38</f>
        <v>6011721.9999999991</v>
      </c>
      <c r="M45" s="318">
        <f>M38</f>
        <v>6011721.9999999991</v>
      </c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</row>
    <row r="46" spans="1:49" ht="35.1" customHeight="1" x14ac:dyDescent="0.2"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x14ac:dyDescent="0.2">
      <c r="C47" s="229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x14ac:dyDescent="0.2"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</row>
    <row r="49" spans="1:49" x14ac:dyDescent="0.2"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hidden="1" x14ac:dyDescent="0.2">
      <c r="A50" s="144" t="s">
        <v>695</v>
      </c>
      <c r="B50" s="144">
        <v>209192</v>
      </c>
      <c r="C50" s="144">
        <v>175265</v>
      </c>
      <c r="D50" s="144">
        <v>175265</v>
      </c>
    </row>
  </sheetData>
  <mergeCells count="17">
    <mergeCell ref="H15:I15"/>
    <mergeCell ref="D15:E15"/>
    <mergeCell ref="B15:C15"/>
    <mergeCell ref="F15:G15"/>
    <mergeCell ref="A5:M5"/>
    <mergeCell ref="A6:M6"/>
    <mergeCell ref="H13:I13"/>
    <mergeCell ref="J13:K13"/>
    <mergeCell ref="J14:K14"/>
    <mergeCell ref="F14:G14"/>
    <mergeCell ref="B13:C13"/>
    <mergeCell ref="D13:E13"/>
    <mergeCell ref="F13:G13"/>
    <mergeCell ref="B14:C14"/>
    <mergeCell ref="D14:E14"/>
    <mergeCell ref="H14:I14"/>
    <mergeCell ref="B12:C12"/>
  </mergeCells>
  <phoneticPr fontId="0" type="noConversion"/>
  <printOptions horizontalCentered="1" verticalCentered="1"/>
  <pageMargins left="0" right="0" top="0" bottom="0" header="0.63" footer="0.51181102362204722"/>
  <pageSetup paperSize="9" scale="65" orientation="landscape" horizontalDpi="4294967292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workbookViewId="0">
      <selection activeCell="F9" sqref="F9"/>
    </sheetView>
  </sheetViews>
  <sheetFormatPr defaultRowHeight="15" x14ac:dyDescent="0.2"/>
  <cols>
    <col min="1" max="1" width="56.7109375" style="86" customWidth="1"/>
    <col min="2" max="2" width="13.7109375" style="86" customWidth="1"/>
    <col min="3" max="3" width="2.7109375" style="86" customWidth="1"/>
    <col min="4" max="4" width="13.7109375" style="86" customWidth="1"/>
    <col min="5" max="5" width="2.7109375" style="86" customWidth="1"/>
    <col min="6" max="6" width="13.7109375" style="86" customWidth="1"/>
    <col min="7" max="7" width="2.7109375" style="86" customWidth="1"/>
    <col min="8" max="8" width="13.7109375" style="86" customWidth="1"/>
    <col min="9" max="9" width="2.7109375" style="86" customWidth="1"/>
    <col min="10" max="16384" width="9.140625" style="86"/>
  </cols>
  <sheetData>
    <row r="1" spans="1:16" ht="15.75" x14ac:dyDescent="0.25">
      <c r="A1" s="14"/>
      <c r="B1" s="14"/>
      <c r="C1" s="14"/>
      <c r="D1" s="14"/>
      <c r="E1" s="14"/>
      <c r="F1" s="14"/>
      <c r="G1" s="14"/>
      <c r="H1" s="14"/>
      <c r="I1" s="324" t="s">
        <v>584</v>
      </c>
      <c r="J1" s="14"/>
      <c r="K1" s="14"/>
      <c r="L1" s="14"/>
      <c r="M1" s="14"/>
      <c r="N1" s="14"/>
      <c r="O1" s="14"/>
      <c r="P1" s="14"/>
    </row>
    <row r="2" spans="1:16" ht="15.75" x14ac:dyDescent="0.25">
      <c r="A2" s="14"/>
      <c r="B2" s="14"/>
      <c r="C2" s="14"/>
      <c r="D2" s="14"/>
      <c r="E2" s="14"/>
      <c r="G2" s="14"/>
      <c r="H2" s="14"/>
      <c r="I2" s="324" t="s">
        <v>57</v>
      </c>
      <c r="J2" s="14"/>
      <c r="K2" s="14"/>
      <c r="L2" s="14"/>
      <c r="M2" s="14"/>
      <c r="N2" s="14"/>
      <c r="O2" s="14"/>
      <c r="P2" s="14"/>
    </row>
    <row r="3" spans="1:16" ht="15.75" x14ac:dyDescent="0.25">
      <c r="A3" s="14"/>
      <c r="B3" s="14"/>
      <c r="C3" s="14"/>
      <c r="D3" s="14"/>
      <c r="E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230"/>
      <c r="B5" s="230"/>
      <c r="C5" s="230"/>
      <c r="D5" s="230"/>
      <c r="E5" s="230"/>
      <c r="F5" s="230"/>
      <c r="G5" s="230"/>
      <c r="H5" s="231"/>
      <c r="I5" s="231"/>
      <c r="J5" s="231"/>
      <c r="K5" s="231"/>
      <c r="L5" s="231"/>
      <c r="M5" s="231"/>
      <c r="N5" s="231"/>
      <c r="O5" s="231"/>
      <c r="P5" s="231"/>
    </row>
    <row r="6" spans="1:16" ht="15.75" x14ac:dyDescent="0.25">
      <c r="A6" s="2392" t="s">
        <v>763</v>
      </c>
      <c r="B6" s="2392"/>
      <c r="C6" s="2392"/>
      <c r="D6" s="2392"/>
      <c r="E6" s="2392"/>
      <c r="F6" s="2392"/>
      <c r="G6" s="2392"/>
      <c r="H6" s="2392"/>
      <c r="I6" s="2392"/>
      <c r="J6" s="14"/>
      <c r="K6" s="14"/>
      <c r="L6" s="14"/>
      <c r="M6" s="14"/>
      <c r="N6" s="14"/>
      <c r="O6" s="14"/>
      <c r="P6" s="14"/>
    </row>
    <row r="7" spans="1:16" ht="15.75" x14ac:dyDescent="0.25">
      <c r="A7" s="2393" t="s">
        <v>58</v>
      </c>
      <c r="B7" s="2393"/>
      <c r="C7" s="2393"/>
      <c r="D7" s="2393"/>
      <c r="E7" s="2393"/>
      <c r="F7" s="2393"/>
      <c r="G7" s="2393"/>
      <c r="H7" s="2393"/>
      <c r="I7" s="2393"/>
      <c r="J7" s="14"/>
      <c r="K7" s="14"/>
      <c r="L7" s="14"/>
      <c r="M7" s="14"/>
      <c r="N7" s="14"/>
      <c r="O7" s="14"/>
      <c r="P7" s="14"/>
    </row>
    <row r="8" spans="1:16" ht="15.75" x14ac:dyDescent="0.25">
      <c r="A8" s="2392"/>
      <c r="B8" s="2392"/>
      <c r="C8" s="2392"/>
      <c r="D8" s="2392"/>
      <c r="E8" s="2392"/>
      <c r="F8" s="2392"/>
      <c r="G8" s="2392"/>
      <c r="H8" s="2392"/>
      <c r="I8" s="2392"/>
      <c r="J8" s="14"/>
      <c r="K8" s="14"/>
      <c r="L8" s="14"/>
      <c r="M8" s="14"/>
      <c r="N8" s="14"/>
      <c r="O8" s="14"/>
      <c r="P8" s="14"/>
    </row>
    <row r="9" spans="1:16" ht="15.75" x14ac:dyDescent="0.25">
      <c r="A9" s="523"/>
      <c r="B9" s="523"/>
      <c r="C9" s="523"/>
      <c r="D9" s="523"/>
      <c r="E9" s="523"/>
      <c r="F9" s="523"/>
      <c r="G9" s="523"/>
      <c r="H9" s="523"/>
      <c r="I9" s="523"/>
      <c r="J9" s="14"/>
      <c r="K9" s="14"/>
      <c r="L9" s="14"/>
      <c r="M9" s="14"/>
      <c r="N9" s="14"/>
      <c r="O9" s="14"/>
      <c r="P9" s="14"/>
    </row>
    <row r="10" spans="1:16" ht="15.75" x14ac:dyDescent="0.25">
      <c r="A10" s="523"/>
      <c r="B10" s="523"/>
      <c r="C10" s="523"/>
      <c r="D10" s="523"/>
      <c r="E10" s="523"/>
      <c r="F10" s="523"/>
      <c r="G10" s="523"/>
      <c r="H10" s="523"/>
      <c r="I10" s="523"/>
      <c r="J10" s="14"/>
      <c r="K10" s="14"/>
      <c r="L10" s="14"/>
      <c r="M10" s="14"/>
      <c r="N10" s="14"/>
      <c r="O10" s="14"/>
      <c r="P10" s="14"/>
    </row>
    <row r="11" spans="1:16" ht="16.5" thickBot="1" x14ac:dyDescent="0.3">
      <c r="A11" s="524"/>
      <c r="B11" s="524"/>
      <c r="C11" s="524"/>
      <c r="D11" s="524"/>
      <c r="E11" s="524"/>
      <c r="F11" s="524"/>
      <c r="G11" s="524"/>
      <c r="H11" s="524"/>
      <c r="I11" s="524"/>
      <c r="J11" s="14"/>
      <c r="K11" s="14"/>
      <c r="L11" s="14"/>
      <c r="M11" s="14"/>
      <c r="N11" s="14"/>
      <c r="O11" s="14"/>
      <c r="P11" s="14"/>
    </row>
    <row r="12" spans="1:16" ht="15.75" x14ac:dyDescent="0.25">
      <c r="A12" s="232"/>
      <c r="B12" s="2390" t="s">
        <v>172</v>
      </c>
      <c r="C12" s="2394"/>
      <c r="D12" s="2395" t="s">
        <v>446</v>
      </c>
      <c r="E12" s="2396"/>
      <c r="F12" s="2395"/>
      <c r="G12" s="2397"/>
      <c r="H12" s="237"/>
      <c r="I12" s="238"/>
      <c r="J12" s="14"/>
      <c r="K12" s="14"/>
      <c r="L12" s="14"/>
      <c r="M12" s="14"/>
      <c r="N12" s="14"/>
      <c r="O12" s="14"/>
      <c r="P12" s="14"/>
    </row>
    <row r="13" spans="1:16" ht="15.75" x14ac:dyDescent="0.25">
      <c r="A13" s="239" t="s">
        <v>335</v>
      </c>
      <c r="B13" s="2390" t="s">
        <v>173</v>
      </c>
      <c r="C13" s="2394"/>
      <c r="D13" s="2390" t="s">
        <v>447</v>
      </c>
      <c r="E13" s="2394"/>
      <c r="F13" s="2390" t="s">
        <v>505</v>
      </c>
      <c r="G13" s="2398"/>
      <c r="H13" s="2390" t="s">
        <v>508</v>
      </c>
      <c r="I13" s="2391"/>
      <c r="J13" s="14"/>
      <c r="K13" s="14"/>
      <c r="L13" s="14"/>
      <c r="M13" s="14"/>
      <c r="N13" s="14"/>
      <c r="O13" s="14"/>
      <c r="P13" s="14"/>
    </row>
    <row r="14" spans="1:16" ht="15.75" x14ac:dyDescent="0.25">
      <c r="A14" s="232"/>
      <c r="B14" s="2390" t="s">
        <v>178</v>
      </c>
      <c r="C14" s="2394"/>
      <c r="D14" s="2390" t="s">
        <v>503</v>
      </c>
      <c r="E14" s="2394"/>
      <c r="F14" s="2390" t="s">
        <v>506</v>
      </c>
      <c r="G14" s="2398"/>
      <c r="H14" s="2390" t="s">
        <v>112</v>
      </c>
      <c r="I14" s="2391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232"/>
      <c r="B15" s="2390" t="s">
        <v>179</v>
      </c>
      <c r="C15" s="2394"/>
      <c r="D15" s="2390" t="s">
        <v>504</v>
      </c>
      <c r="E15" s="2394"/>
      <c r="F15" s="2390" t="s">
        <v>507</v>
      </c>
      <c r="G15" s="2398"/>
      <c r="H15" s="2390"/>
      <c r="I15" s="2391"/>
      <c r="J15" s="14"/>
      <c r="K15" s="14"/>
      <c r="L15" s="14"/>
      <c r="M15" s="14"/>
      <c r="N15" s="14"/>
      <c r="O15" s="14"/>
      <c r="P15" s="14"/>
    </row>
    <row r="16" spans="1:16" ht="15.75" x14ac:dyDescent="0.25">
      <c r="A16" s="244"/>
      <c r="B16" s="2406" t="s">
        <v>572</v>
      </c>
      <c r="C16" s="2407"/>
      <c r="D16" s="245"/>
      <c r="E16" s="246"/>
      <c r="F16" s="240"/>
      <c r="G16" s="243"/>
      <c r="H16" s="240"/>
      <c r="I16" s="241"/>
      <c r="J16" s="14"/>
      <c r="K16" s="14"/>
      <c r="L16" s="14"/>
      <c r="M16" s="14"/>
      <c r="N16" s="14"/>
      <c r="O16" s="14"/>
      <c r="P16" s="14"/>
    </row>
    <row r="17" spans="1:49" ht="15.75" x14ac:dyDescent="0.25">
      <c r="A17" s="247">
        <v>1</v>
      </c>
      <c r="B17" s="2400">
        <v>2</v>
      </c>
      <c r="C17" s="2408"/>
      <c r="D17" s="2400">
        <v>3</v>
      </c>
      <c r="E17" s="2408"/>
      <c r="F17" s="2400">
        <v>4</v>
      </c>
      <c r="G17" s="2401"/>
      <c r="H17" s="2400">
        <v>5</v>
      </c>
      <c r="I17" s="2413"/>
      <c r="J17" s="14"/>
      <c r="K17" s="14"/>
      <c r="L17" s="14"/>
      <c r="M17" s="14"/>
      <c r="N17" s="14"/>
      <c r="O17" s="14"/>
      <c r="P17" s="14"/>
    </row>
    <row r="18" spans="1:49" ht="15.75" x14ac:dyDescent="0.25">
      <c r="A18" s="248"/>
      <c r="B18" s="235"/>
      <c r="C18" s="236"/>
      <c r="D18" s="235"/>
      <c r="E18" s="236"/>
      <c r="F18" s="233"/>
      <c r="G18" s="249"/>
      <c r="H18" s="235"/>
      <c r="I18" s="250"/>
      <c r="J18" s="14"/>
      <c r="K18" s="14"/>
      <c r="L18" s="14"/>
      <c r="M18" s="14"/>
      <c r="N18" s="14"/>
      <c r="O18" s="14"/>
      <c r="P18" s="14"/>
    </row>
    <row r="19" spans="1:49" ht="30" customHeight="1" x14ac:dyDescent="0.25">
      <c r="A19" s="251" t="s">
        <v>764</v>
      </c>
      <c r="B19" s="525">
        <v>167</v>
      </c>
      <c r="C19" s="526"/>
      <c r="D19" s="525">
        <v>167</v>
      </c>
      <c r="E19" s="526"/>
      <c r="F19" s="240"/>
      <c r="G19" s="253"/>
      <c r="H19" s="240"/>
      <c r="I19" s="241"/>
      <c r="J19" s="52"/>
      <c r="K19" s="52"/>
      <c r="L19" s="52"/>
      <c r="M19" s="52"/>
      <c r="N19" s="52"/>
      <c r="O19" s="52"/>
      <c r="P19" s="52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</row>
    <row r="20" spans="1:49" ht="30" customHeight="1" x14ac:dyDescent="0.25">
      <c r="A20" s="251" t="s">
        <v>734</v>
      </c>
      <c r="B20" s="525">
        <v>1753</v>
      </c>
      <c r="C20" s="527"/>
      <c r="D20" s="525">
        <v>1753</v>
      </c>
      <c r="E20" s="527"/>
      <c r="F20" s="240"/>
      <c r="G20" s="253"/>
      <c r="H20" s="240"/>
      <c r="I20" s="241"/>
      <c r="J20" s="52"/>
      <c r="K20" s="52"/>
      <c r="L20" s="52"/>
      <c r="M20" s="52"/>
      <c r="N20" s="52"/>
      <c r="O20" s="52"/>
      <c r="P20" s="52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</row>
    <row r="21" spans="1:49" ht="30" customHeight="1" x14ac:dyDescent="0.25">
      <c r="A21" s="251" t="s">
        <v>445</v>
      </c>
      <c r="B21" s="525">
        <v>21884</v>
      </c>
      <c r="C21" s="252"/>
      <c r="D21" s="525">
        <v>21884</v>
      </c>
      <c r="E21" s="252"/>
      <c r="F21" s="240"/>
      <c r="G21" s="253"/>
      <c r="H21" s="240"/>
      <c r="I21" s="241"/>
      <c r="J21" s="52"/>
      <c r="K21" s="52"/>
      <c r="L21" s="52"/>
      <c r="M21" s="52"/>
      <c r="N21" s="52"/>
      <c r="O21" s="52"/>
      <c r="P21" s="52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</row>
    <row r="22" spans="1:49" ht="30" customHeight="1" x14ac:dyDescent="0.25">
      <c r="A22" s="251" t="s">
        <v>765</v>
      </c>
      <c r="B22" s="525">
        <v>7662</v>
      </c>
      <c r="C22" s="252"/>
      <c r="D22" s="525">
        <v>7662</v>
      </c>
      <c r="E22" s="254"/>
      <c r="F22" s="240"/>
      <c r="G22" s="253"/>
      <c r="H22" s="240"/>
      <c r="I22" s="241"/>
      <c r="J22" s="52"/>
      <c r="K22" s="52"/>
      <c r="L22" s="52"/>
      <c r="M22" s="52"/>
      <c r="N22" s="52"/>
      <c r="O22" s="52"/>
      <c r="P22" s="52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</row>
    <row r="23" spans="1:49" ht="15.75" x14ac:dyDescent="0.25">
      <c r="A23" s="251"/>
      <c r="B23" s="233"/>
      <c r="C23" s="252"/>
      <c r="D23" s="233"/>
      <c r="E23" s="252"/>
      <c r="F23" s="233"/>
      <c r="G23" s="254"/>
      <c r="H23" s="233"/>
      <c r="I23" s="242"/>
      <c r="J23" s="52"/>
      <c r="K23" s="52"/>
      <c r="L23" s="52"/>
      <c r="M23" s="52"/>
      <c r="N23" s="52"/>
      <c r="O23" s="52"/>
      <c r="P23" s="52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</row>
    <row r="24" spans="1:49" ht="15.75" x14ac:dyDescent="0.25">
      <c r="A24" s="251"/>
      <c r="B24" s="2390"/>
      <c r="C24" s="2399"/>
      <c r="D24" s="2390"/>
      <c r="E24" s="2399"/>
      <c r="F24" s="233"/>
      <c r="G24" s="254"/>
      <c r="H24" s="233"/>
      <c r="I24" s="242"/>
      <c r="J24" s="52"/>
      <c r="K24" s="52"/>
      <c r="L24" s="52"/>
      <c r="M24" s="52"/>
      <c r="N24" s="52"/>
      <c r="O24" s="52"/>
      <c r="P24" s="52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</row>
    <row r="25" spans="1:49" ht="15.75" x14ac:dyDescent="0.25">
      <c r="A25" s="251"/>
      <c r="B25" s="233"/>
      <c r="C25" s="252"/>
      <c r="D25" s="233"/>
      <c r="E25" s="252"/>
      <c r="F25" s="233"/>
      <c r="G25" s="254"/>
      <c r="H25" s="233"/>
      <c r="I25" s="242"/>
      <c r="J25" s="52"/>
      <c r="K25" s="52"/>
      <c r="L25" s="52"/>
      <c r="M25" s="52"/>
      <c r="N25" s="52"/>
      <c r="O25" s="52"/>
      <c r="P25" s="52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</row>
    <row r="26" spans="1:49" ht="15.75" x14ac:dyDescent="0.25">
      <c r="A26" s="251"/>
      <c r="B26" s="233"/>
      <c r="C26" s="252"/>
      <c r="D26" s="233"/>
      <c r="E26" s="252"/>
      <c r="F26" s="233"/>
      <c r="G26" s="254"/>
      <c r="H26" s="233"/>
      <c r="I26" s="242"/>
      <c r="J26" s="52"/>
      <c r="K26" s="52"/>
      <c r="L26" s="52"/>
      <c r="M26" s="52"/>
      <c r="N26" s="52"/>
      <c r="O26" s="52"/>
      <c r="P26" s="52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</row>
    <row r="27" spans="1:49" ht="15.75" x14ac:dyDescent="0.25">
      <c r="A27" s="251"/>
      <c r="B27" s="233"/>
      <c r="C27" s="234"/>
      <c r="D27" s="233"/>
      <c r="E27" s="234"/>
      <c r="F27" s="233"/>
      <c r="G27" s="249"/>
      <c r="H27" s="233"/>
      <c r="I27" s="242"/>
      <c r="J27" s="52"/>
      <c r="K27" s="52"/>
      <c r="L27" s="52"/>
      <c r="M27" s="52"/>
      <c r="N27" s="52"/>
      <c r="O27" s="52"/>
      <c r="P27" s="52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</row>
    <row r="28" spans="1:49" ht="30" customHeight="1" x14ac:dyDescent="0.25">
      <c r="A28" s="1019" t="s">
        <v>735</v>
      </c>
      <c r="B28" s="1020">
        <f>SUM(B19:B22)</f>
        <v>31466</v>
      </c>
      <c r="C28" s="1021"/>
      <c r="D28" s="1020">
        <f>SUM(D19:E22)</f>
        <v>31466</v>
      </c>
      <c r="E28" s="1021"/>
      <c r="F28" s="2409">
        <f>SUM(F19:G22)</f>
        <v>0</v>
      </c>
      <c r="G28" s="2410"/>
      <c r="H28" s="2409">
        <f>SUM(H19:H27)</f>
        <v>0</v>
      </c>
      <c r="I28" s="2412"/>
      <c r="J28" s="255"/>
      <c r="K28" s="255"/>
      <c r="L28" s="255"/>
      <c r="M28" s="255"/>
      <c r="N28" s="255"/>
      <c r="O28" s="255"/>
      <c r="P28" s="255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</row>
    <row r="29" spans="1:49" ht="30" customHeight="1" x14ac:dyDescent="0.25">
      <c r="A29" s="257"/>
      <c r="B29" s="233"/>
      <c r="C29" s="252"/>
      <c r="D29" s="233"/>
      <c r="E29" s="252"/>
      <c r="F29" s="233"/>
      <c r="G29" s="254"/>
      <c r="H29" s="233"/>
      <c r="I29" s="258"/>
      <c r="J29" s="52"/>
      <c r="K29" s="52"/>
      <c r="L29" s="52"/>
      <c r="M29" s="52"/>
      <c r="N29" s="52"/>
      <c r="O29" s="52"/>
      <c r="P29" s="52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</row>
    <row r="30" spans="1:49" ht="30" customHeight="1" x14ac:dyDescent="0.25">
      <c r="A30" s="257" t="s">
        <v>736</v>
      </c>
      <c r="B30" s="683">
        <v>2523</v>
      </c>
      <c r="C30" s="684"/>
      <c r="D30" s="683">
        <v>2523</v>
      </c>
      <c r="E30" s="684"/>
      <c r="F30" s="259"/>
      <c r="G30" s="260"/>
      <c r="H30" s="259"/>
      <c r="I30" s="261"/>
      <c r="J30" s="255"/>
      <c r="K30" s="255"/>
      <c r="L30" s="255"/>
      <c r="M30" s="255"/>
      <c r="N30" s="255"/>
      <c r="O30" s="255"/>
      <c r="P30" s="255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</row>
    <row r="31" spans="1:49" ht="30" customHeight="1" x14ac:dyDescent="0.25">
      <c r="A31" s="257" t="s">
        <v>766</v>
      </c>
      <c r="B31" s="683">
        <v>42800</v>
      </c>
      <c r="C31" s="684"/>
      <c r="D31" s="683">
        <v>42800</v>
      </c>
      <c r="E31" s="684"/>
      <c r="F31" s="259"/>
      <c r="G31" s="260"/>
      <c r="H31" s="259"/>
      <c r="I31" s="261"/>
      <c r="J31" s="255"/>
      <c r="K31" s="255"/>
      <c r="L31" s="255"/>
      <c r="M31" s="255"/>
      <c r="N31" s="255"/>
      <c r="O31" s="255"/>
      <c r="P31" s="255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</row>
    <row r="32" spans="1:49" ht="30" customHeight="1" x14ac:dyDescent="0.25">
      <c r="A32" s="257" t="s">
        <v>767</v>
      </c>
      <c r="B32" s="683">
        <v>260996</v>
      </c>
      <c r="C32" s="684"/>
      <c r="D32" s="683">
        <v>260978</v>
      </c>
      <c r="E32" s="684"/>
      <c r="F32" s="259"/>
      <c r="G32" s="260"/>
      <c r="H32" s="259">
        <f>D32-B32</f>
        <v>-18</v>
      </c>
      <c r="I32" s="261"/>
      <c r="J32" s="255"/>
      <c r="K32" s="255"/>
      <c r="L32" s="255"/>
      <c r="M32" s="255"/>
      <c r="N32" s="255"/>
      <c r="O32" s="255"/>
      <c r="P32" s="255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</row>
    <row r="33" spans="1:49" ht="30" customHeight="1" x14ac:dyDescent="0.25">
      <c r="A33" s="257" t="s">
        <v>768</v>
      </c>
      <c r="B33" s="683">
        <v>32826</v>
      </c>
      <c r="C33" s="684"/>
      <c r="D33" s="683">
        <v>32826</v>
      </c>
      <c r="E33" s="528"/>
      <c r="F33" s="259"/>
      <c r="G33" s="260"/>
      <c r="H33" s="259"/>
      <c r="I33" s="261"/>
      <c r="J33" s="255"/>
      <c r="K33" s="255"/>
      <c r="L33" s="255"/>
      <c r="M33" s="255"/>
      <c r="N33" s="255"/>
      <c r="O33" s="255"/>
      <c r="P33" s="255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</row>
    <row r="34" spans="1:49" ht="30" customHeight="1" x14ac:dyDescent="0.25">
      <c r="A34" s="257"/>
      <c r="B34" s="2402"/>
      <c r="C34" s="2403"/>
      <c r="D34" s="2402"/>
      <c r="E34" s="2403"/>
      <c r="F34" s="259"/>
      <c r="G34" s="260"/>
      <c r="H34" s="259"/>
      <c r="I34" s="261"/>
      <c r="J34" s="255"/>
      <c r="K34" s="255"/>
      <c r="L34" s="255"/>
      <c r="M34" s="255"/>
      <c r="N34" s="255"/>
      <c r="O34" s="255"/>
      <c r="P34" s="255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</row>
    <row r="35" spans="1:49" ht="30" customHeight="1" x14ac:dyDescent="0.25">
      <c r="A35" s="257"/>
      <c r="B35" s="259"/>
      <c r="C35" s="1017"/>
      <c r="D35" s="259"/>
      <c r="E35" s="1017"/>
      <c r="F35" s="259"/>
      <c r="G35" s="260"/>
      <c r="H35" s="259"/>
      <c r="I35" s="261"/>
      <c r="J35" s="255"/>
      <c r="K35" s="255"/>
      <c r="L35" s="255"/>
      <c r="M35" s="255"/>
      <c r="N35" s="255"/>
      <c r="O35" s="255"/>
      <c r="P35" s="255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</row>
    <row r="36" spans="1:49" ht="16.5" thickBot="1" x14ac:dyDescent="0.3">
      <c r="A36" s="257"/>
      <c r="B36" s="233"/>
      <c r="C36" s="252"/>
      <c r="D36" s="233"/>
      <c r="E36" s="252"/>
      <c r="F36" s="233"/>
      <c r="G36" s="254"/>
      <c r="H36" s="233"/>
      <c r="I36" s="258"/>
      <c r="J36" s="52"/>
      <c r="K36" s="52"/>
      <c r="L36" s="52"/>
      <c r="M36" s="52"/>
      <c r="N36" s="52"/>
      <c r="O36" s="52"/>
      <c r="P36" s="52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</row>
    <row r="37" spans="1:49" ht="30" customHeight="1" thickBot="1" x14ac:dyDescent="0.3">
      <c r="A37" s="1018" t="s">
        <v>309</v>
      </c>
      <c r="B37" s="2404">
        <f>SUM(B28:B36)</f>
        <v>370611</v>
      </c>
      <c r="C37" s="2405"/>
      <c r="D37" s="2404">
        <f>SUM(D28:D36)</f>
        <v>370593</v>
      </c>
      <c r="E37" s="2405"/>
      <c r="F37" s="2404">
        <f>SUM(F28:F36)</f>
        <v>0</v>
      </c>
      <c r="G37" s="2405"/>
      <c r="H37" s="2404">
        <f>SUM(H28:H36)</f>
        <v>-18</v>
      </c>
      <c r="I37" s="2411"/>
      <c r="J37" s="262"/>
      <c r="K37" s="262"/>
      <c r="L37" s="262"/>
      <c r="M37" s="262"/>
      <c r="N37" s="262"/>
      <c r="O37" s="262"/>
      <c r="P37" s="262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</row>
  </sheetData>
  <mergeCells count="33">
    <mergeCell ref="F37:G37"/>
    <mergeCell ref="F28:G28"/>
    <mergeCell ref="H15:I15"/>
    <mergeCell ref="H14:I14"/>
    <mergeCell ref="H37:I37"/>
    <mergeCell ref="H28:I28"/>
    <mergeCell ref="H17:I17"/>
    <mergeCell ref="B34:C34"/>
    <mergeCell ref="D34:E34"/>
    <mergeCell ref="B37:C37"/>
    <mergeCell ref="B15:C15"/>
    <mergeCell ref="B16:C16"/>
    <mergeCell ref="B17:C17"/>
    <mergeCell ref="D17:E17"/>
    <mergeCell ref="D37:E37"/>
    <mergeCell ref="B14:C14"/>
    <mergeCell ref="D14:E14"/>
    <mergeCell ref="F14:G14"/>
    <mergeCell ref="B24:C24"/>
    <mergeCell ref="D24:E24"/>
    <mergeCell ref="D15:E15"/>
    <mergeCell ref="F15:G15"/>
    <mergeCell ref="F17:G17"/>
    <mergeCell ref="H13:I13"/>
    <mergeCell ref="A6:I6"/>
    <mergeCell ref="A8:I8"/>
    <mergeCell ref="A7:I7"/>
    <mergeCell ref="B12:C12"/>
    <mergeCell ref="D12:E12"/>
    <mergeCell ref="F12:G12"/>
    <mergeCell ref="B13:C13"/>
    <mergeCell ref="D13:E13"/>
    <mergeCell ref="F13:G13"/>
  </mergeCells>
  <phoneticPr fontId="0" type="noConversion"/>
  <printOptions horizontalCentered="1" verticalCentered="1"/>
  <pageMargins left="0" right="0" top="0.62" bottom="0.98425196850393704" header="0.32" footer="0.51181102362204722"/>
  <pageSetup paperSize="9" scale="80" orientation="portrait" horizontalDpi="4294967292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B1" workbookViewId="0">
      <selection activeCell="O2" sqref="O2"/>
    </sheetView>
  </sheetViews>
  <sheetFormatPr defaultRowHeight="15.75" x14ac:dyDescent="0.25"/>
  <cols>
    <col min="1" max="1" width="30.85546875" style="1" bestFit="1" customWidth="1"/>
    <col min="2" max="2" width="9.140625" style="1"/>
    <col min="3" max="3" width="8.7109375" style="1" customWidth="1"/>
    <col min="4" max="4" width="9.7109375" style="1" customWidth="1"/>
    <col min="5" max="5" width="9.85546875" style="1" customWidth="1"/>
    <col min="6" max="6" width="10.42578125" style="1" customWidth="1"/>
    <col min="7" max="7" width="10.140625" style="1" customWidth="1"/>
    <col min="8" max="8" width="11.140625" style="1" customWidth="1"/>
    <col min="9" max="9" width="8.42578125" style="1" customWidth="1"/>
    <col min="10" max="10" width="8.28515625" style="1" customWidth="1"/>
    <col min="11" max="11" width="8.5703125" style="1" customWidth="1"/>
    <col min="12" max="12" width="10.42578125" style="1" customWidth="1"/>
    <col min="13" max="16384" width="9.140625" style="1"/>
  </cols>
  <sheetData>
    <row r="1" spans="1:15" x14ac:dyDescent="0.25">
      <c r="M1" s="264"/>
      <c r="O1" s="324" t="s">
        <v>307</v>
      </c>
    </row>
    <row r="2" spans="1:15" x14ac:dyDescent="0.25">
      <c r="M2" s="45"/>
      <c r="O2" s="231" t="s">
        <v>57</v>
      </c>
    </row>
    <row r="4" spans="1:15" x14ac:dyDescent="0.25">
      <c r="C4" s="2435" t="s">
        <v>165</v>
      </c>
      <c r="D4" s="2435"/>
      <c r="E4" s="2435"/>
      <c r="F4" s="2435"/>
      <c r="G4" s="2435"/>
      <c r="H4" s="2435"/>
      <c r="I4" s="2435"/>
      <c r="J4" s="2435"/>
      <c r="K4" s="2435"/>
      <c r="L4" s="2435"/>
      <c r="M4" s="2435"/>
    </row>
    <row r="5" spans="1:15" x14ac:dyDescent="0.25">
      <c r="H5" s="1" t="s">
        <v>58</v>
      </c>
    </row>
    <row r="7" spans="1:15" ht="16.5" thickBot="1" x14ac:dyDescent="0.3"/>
    <row r="8" spans="1:15" x14ac:dyDescent="0.25">
      <c r="A8" s="2414" t="s">
        <v>335</v>
      </c>
      <c r="B8" s="2417" t="s">
        <v>310</v>
      </c>
      <c r="C8" s="2418"/>
      <c r="D8" s="2419"/>
      <c r="E8" s="2420" t="s">
        <v>311</v>
      </c>
      <c r="F8" s="2421"/>
      <c r="G8" s="2422"/>
      <c r="H8" s="2420" t="s">
        <v>312</v>
      </c>
      <c r="I8" s="2421"/>
      <c r="J8" s="2421"/>
      <c r="K8" s="2422"/>
      <c r="L8" s="2420" t="s">
        <v>312</v>
      </c>
      <c r="M8" s="2421"/>
      <c r="N8" s="2421"/>
      <c r="O8" s="2422"/>
    </row>
    <row r="9" spans="1:15" s="271" customFormat="1" x14ac:dyDescent="0.2">
      <c r="A9" s="2415"/>
      <c r="B9" s="2423" t="s">
        <v>313</v>
      </c>
      <c r="C9" s="2425" t="s">
        <v>314</v>
      </c>
      <c r="D9" s="2426"/>
      <c r="E9" s="2427" t="s">
        <v>315</v>
      </c>
      <c r="F9" s="2430" t="s">
        <v>112</v>
      </c>
      <c r="G9" s="2431"/>
      <c r="H9" s="2427" t="s">
        <v>316</v>
      </c>
      <c r="I9" s="2430" t="s">
        <v>112</v>
      </c>
      <c r="J9" s="2432"/>
      <c r="K9" s="2431"/>
      <c r="L9" s="2427" t="s">
        <v>317</v>
      </c>
      <c r="M9" s="2430" t="s">
        <v>318</v>
      </c>
      <c r="N9" s="2432"/>
      <c r="O9" s="2431"/>
    </row>
    <row r="10" spans="1:15" s="271" customFormat="1" x14ac:dyDescent="0.2">
      <c r="A10" s="2415"/>
      <c r="B10" s="2423"/>
      <c r="C10" s="272" t="s">
        <v>38</v>
      </c>
      <c r="D10" s="273" t="s">
        <v>319</v>
      </c>
      <c r="E10" s="2428"/>
      <c r="F10" s="2436" t="s">
        <v>320</v>
      </c>
      <c r="G10" s="2438" t="s">
        <v>321</v>
      </c>
      <c r="H10" s="2428"/>
      <c r="I10" s="268" t="s">
        <v>322</v>
      </c>
      <c r="J10" s="268" t="s">
        <v>323</v>
      </c>
      <c r="K10" s="269" t="s">
        <v>324</v>
      </c>
      <c r="L10" s="2428"/>
      <c r="M10" s="268" t="s">
        <v>322</v>
      </c>
      <c r="N10" s="270" t="s">
        <v>323</v>
      </c>
      <c r="O10" s="274" t="s">
        <v>572</v>
      </c>
    </row>
    <row r="11" spans="1:15" s="271" customFormat="1" ht="24.75" customHeight="1" thickBot="1" x14ac:dyDescent="0.25">
      <c r="A11" s="2416"/>
      <c r="B11" s="2424"/>
      <c r="C11" s="2440" t="s">
        <v>8</v>
      </c>
      <c r="D11" s="2441"/>
      <c r="E11" s="2429"/>
      <c r="F11" s="2437"/>
      <c r="G11" s="2439"/>
      <c r="H11" s="2429"/>
      <c r="I11" s="2433" t="s">
        <v>325</v>
      </c>
      <c r="J11" s="2442"/>
      <c r="K11" s="2443"/>
      <c r="L11" s="2429"/>
      <c r="M11" s="2433" t="s">
        <v>325</v>
      </c>
      <c r="N11" s="2434"/>
      <c r="O11" s="275"/>
    </row>
    <row r="12" spans="1:15" x14ac:dyDescent="0.25">
      <c r="A12" s="265">
        <v>1</v>
      </c>
      <c r="B12" s="266">
        <v>2</v>
      </c>
      <c r="C12" s="266">
        <v>3</v>
      </c>
      <c r="D12" s="266">
        <v>4</v>
      </c>
      <c r="E12" s="266">
        <v>5</v>
      </c>
      <c r="F12" s="266">
        <v>6</v>
      </c>
      <c r="G12" s="266">
        <v>7</v>
      </c>
      <c r="H12" s="266">
        <v>8</v>
      </c>
      <c r="I12" s="266">
        <v>9</v>
      </c>
      <c r="J12" s="266">
        <v>10</v>
      </c>
      <c r="K12" s="266">
        <v>11</v>
      </c>
      <c r="L12" s="266">
        <v>12</v>
      </c>
      <c r="M12" s="266">
        <v>13</v>
      </c>
      <c r="N12" s="266">
        <v>14</v>
      </c>
      <c r="O12" s="267">
        <v>15</v>
      </c>
    </row>
    <row r="13" spans="1:15" x14ac:dyDescent="0.25">
      <c r="A13" s="276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8"/>
    </row>
    <row r="14" spans="1:15" x14ac:dyDescent="0.25">
      <c r="A14" s="279" t="s">
        <v>211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1"/>
    </row>
    <row r="15" spans="1:15" ht="27" hidden="1" customHeight="1" x14ac:dyDescent="0.25">
      <c r="A15" s="282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5" hidden="1" x14ac:dyDescent="0.25">
      <c r="A16" s="282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hidden="1" x14ac:dyDescent="0.25">
      <c r="A17" s="282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</row>
    <row r="18" spans="1:15" s="284" customFormat="1" hidden="1" x14ac:dyDescent="0.25">
      <c r="A18" s="279" t="s">
        <v>213</v>
      </c>
      <c r="B18" s="87">
        <f t="shared" ref="B18:O18" si="0">SUM(B15:B17)</f>
        <v>0</v>
      </c>
      <c r="C18" s="87">
        <f t="shared" si="0"/>
        <v>0</v>
      </c>
      <c r="D18" s="87">
        <f t="shared" si="0"/>
        <v>0</v>
      </c>
      <c r="E18" s="87">
        <f t="shared" si="0"/>
        <v>0</v>
      </c>
      <c r="F18" s="87">
        <f t="shared" si="0"/>
        <v>0</v>
      </c>
      <c r="G18" s="87">
        <f t="shared" si="0"/>
        <v>0</v>
      </c>
      <c r="H18" s="87">
        <f t="shared" si="0"/>
        <v>0</v>
      </c>
      <c r="I18" s="87">
        <f t="shared" si="0"/>
        <v>0</v>
      </c>
      <c r="J18" s="87">
        <f t="shared" si="0"/>
        <v>0</v>
      </c>
      <c r="K18" s="87">
        <f t="shared" si="0"/>
        <v>0</v>
      </c>
      <c r="L18" s="87">
        <f t="shared" si="0"/>
        <v>0</v>
      </c>
      <c r="M18" s="87">
        <f t="shared" si="0"/>
        <v>0</v>
      </c>
      <c r="N18" s="87">
        <f t="shared" si="0"/>
        <v>0</v>
      </c>
      <c r="O18" s="283">
        <f t="shared" si="0"/>
        <v>0</v>
      </c>
    </row>
    <row r="19" spans="1:15" hidden="1" x14ac:dyDescent="0.25">
      <c r="A19" s="282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</row>
    <row r="20" spans="1:15" x14ac:dyDescent="0.25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7"/>
    </row>
    <row r="21" spans="1:15" x14ac:dyDescent="0.25">
      <c r="A21" s="282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</row>
    <row r="22" spans="1:15" x14ac:dyDescent="0.25">
      <c r="A22" s="279" t="s">
        <v>138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  <row r="23" spans="1:15" hidden="1" x14ac:dyDescent="0.25">
      <c r="A23" s="282" t="s">
        <v>214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1:15" ht="27" customHeight="1" x14ac:dyDescent="0.25">
      <c r="A24" s="288" t="s">
        <v>694</v>
      </c>
      <c r="B24" s="79">
        <v>49901</v>
      </c>
      <c r="C24" s="79">
        <v>24950</v>
      </c>
      <c r="D24" s="79">
        <v>24907</v>
      </c>
      <c r="E24" s="79">
        <v>49858</v>
      </c>
      <c r="F24" s="79">
        <v>0</v>
      </c>
      <c r="G24" s="79">
        <v>0</v>
      </c>
      <c r="H24" s="79">
        <v>0</v>
      </c>
      <c r="I24" s="79">
        <v>0</v>
      </c>
      <c r="J24" s="79">
        <v>24907</v>
      </c>
      <c r="K24" s="79">
        <v>24907</v>
      </c>
      <c r="L24" s="79">
        <v>0</v>
      </c>
      <c r="M24" s="79">
        <v>0</v>
      </c>
      <c r="N24" s="79">
        <v>24907</v>
      </c>
      <c r="O24" s="80">
        <v>24907</v>
      </c>
    </row>
    <row r="25" spans="1:15" hidden="1" x14ac:dyDescent="0.25">
      <c r="A25" s="288" t="s">
        <v>215</v>
      </c>
      <c r="B25" s="79">
        <v>0</v>
      </c>
      <c r="C25" s="79"/>
      <c r="D25" s="79">
        <v>0</v>
      </c>
      <c r="E25" s="79">
        <v>0</v>
      </c>
      <c r="F25" s="79">
        <v>0</v>
      </c>
      <c r="G25" s="79"/>
      <c r="H25" s="79">
        <v>0</v>
      </c>
      <c r="I25" s="79">
        <v>0</v>
      </c>
      <c r="J25" s="79"/>
      <c r="K25" s="79">
        <v>0</v>
      </c>
      <c r="L25" s="79">
        <v>0</v>
      </c>
      <c r="M25" s="79">
        <v>0</v>
      </c>
      <c r="N25" s="79"/>
      <c r="O25" s="80">
        <v>0</v>
      </c>
    </row>
    <row r="26" spans="1:15" x14ac:dyDescent="0.25">
      <c r="A26" s="282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  <row r="27" spans="1:15" s="284" customFormat="1" x14ac:dyDescent="0.25">
      <c r="A27" s="279" t="s">
        <v>686</v>
      </c>
      <c r="B27" s="87">
        <f t="shared" ref="B27:O27" si="1">SUM(B24:B26)</f>
        <v>49901</v>
      </c>
      <c r="C27" s="87">
        <f t="shared" si="1"/>
        <v>24950</v>
      </c>
      <c r="D27" s="87">
        <f t="shared" si="1"/>
        <v>24907</v>
      </c>
      <c r="E27" s="87">
        <f t="shared" si="1"/>
        <v>49858</v>
      </c>
      <c r="F27" s="87">
        <f t="shared" si="1"/>
        <v>0</v>
      </c>
      <c r="G27" s="87">
        <f t="shared" si="1"/>
        <v>0</v>
      </c>
      <c r="H27" s="87">
        <f t="shared" si="1"/>
        <v>0</v>
      </c>
      <c r="I27" s="87">
        <f t="shared" si="1"/>
        <v>0</v>
      </c>
      <c r="J27" s="87">
        <f t="shared" si="1"/>
        <v>24907</v>
      </c>
      <c r="K27" s="87">
        <f t="shared" si="1"/>
        <v>24907</v>
      </c>
      <c r="L27" s="87">
        <f t="shared" si="1"/>
        <v>0</v>
      </c>
      <c r="M27" s="87">
        <f t="shared" si="1"/>
        <v>0</v>
      </c>
      <c r="N27" s="87">
        <f t="shared" si="1"/>
        <v>24907</v>
      </c>
      <c r="O27" s="283">
        <f t="shared" si="1"/>
        <v>24907</v>
      </c>
    </row>
    <row r="28" spans="1:15" s="284" customFormat="1" x14ac:dyDescent="0.25">
      <c r="A28" s="27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283"/>
    </row>
    <row r="29" spans="1:15" ht="16.5" thickBot="1" x14ac:dyDescent="0.3">
      <c r="A29" s="289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3"/>
    </row>
    <row r="30" spans="1:15" x14ac:dyDescent="0.2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1:15" x14ac:dyDescent="0.2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 x14ac:dyDescent="0.2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2:15" x14ac:dyDescent="0.2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2:15" x14ac:dyDescent="0.2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2:15" x14ac:dyDescent="0.2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2:15" x14ac:dyDescent="0.2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2:15" x14ac:dyDescent="0.2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2:15" x14ac:dyDescent="0.2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</sheetData>
  <mergeCells count="19">
    <mergeCell ref="L9:L11"/>
    <mergeCell ref="M9:O9"/>
    <mergeCell ref="M11:N11"/>
    <mergeCell ref="C4:M4"/>
    <mergeCell ref="L8:O8"/>
    <mergeCell ref="F10:F11"/>
    <mergeCell ref="G10:G11"/>
    <mergeCell ref="C11:D11"/>
    <mergeCell ref="I11:K11"/>
    <mergeCell ref="H9:H11"/>
    <mergeCell ref="A8:A11"/>
    <mergeCell ref="B8:D8"/>
    <mergeCell ref="E8:G8"/>
    <mergeCell ref="H8:K8"/>
    <mergeCell ref="B9:B11"/>
    <mergeCell ref="C9:D9"/>
    <mergeCell ref="E9:E11"/>
    <mergeCell ref="F9:G9"/>
    <mergeCell ref="I9:K9"/>
  </mergeCells>
  <phoneticPr fontId="0" type="noConversion"/>
  <printOptions horizontalCentered="1" verticalCentered="1"/>
  <pageMargins left="0" right="0" top="0.98425196850393704" bottom="0.98425196850393704" header="0.51181102362204722" footer="0.51181102362204722"/>
  <pageSetup paperSize="9" scale="85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34</vt:i4>
      </vt:variant>
    </vt:vector>
  </HeadingPairs>
  <TitlesOfParts>
    <vt:vector size="62" baseType="lpstr">
      <vt:lpstr>T_1_mérleg</vt:lpstr>
      <vt:lpstr>T_2_kiadás</vt:lpstr>
      <vt:lpstr>T_3_bevétel</vt:lpstr>
      <vt:lpstr>4.tábla</vt:lpstr>
      <vt:lpstr>5.tábla</vt:lpstr>
      <vt:lpstr>6. sz. 2017.K.</vt:lpstr>
      <vt:lpstr>7. sz.2017.B. </vt:lpstr>
      <vt:lpstr>8.sz. 2017.</vt:lpstr>
      <vt:lpstr>T.9.műk.peszk.kiad</vt:lpstr>
      <vt:lpstr>T.10.műk.bev.</vt:lpstr>
      <vt:lpstr>T.11.felh.peszk.átad.</vt:lpstr>
      <vt:lpstr>T.12.felhalm.bev.</vt:lpstr>
      <vt:lpstr>T_13_kölcsönök</vt:lpstr>
      <vt:lpstr>T_14_Önk+PH_felúj_</vt:lpstr>
      <vt:lpstr>_14_int felúj. 2017. </vt:lpstr>
      <vt:lpstr>15_ Önk+PH_beruh </vt:lpstr>
      <vt:lpstr>_15_int beruh. 2017. </vt:lpstr>
      <vt:lpstr>T.16.Tartalék</vt:lpstr>
      <vt:lpstr>PM</vt:lpstr>
      <vt:lpstr>PM Intézmények</vt:lpstr>
      <vt:lpstr>egysz.mérleg</vt:lpstr>
      <vt:lpstr>egysz.pforg</vt:lpstr>
      <vt:lpstr>egysz.pm.</vt:lpstr>
      <vt:lpstr>pm.kimutatás</vt:lpstr>
      <vt:lpstr>pm.ÖM</vt:lpstr>
      <vt:lpstr>kötött normatív</vt:lpstr>
      <vt:lpstr>központosított</vt:lpstr>
      <vt:lpstr>cél,címzett</vt:lpstr>
      <vt:lpstr>'15_ Önk+PH_beruh '!Excel_BuiltIn_Print_Area_109_1</vt:lpstr>
      <vt:lpstr>'_14_int felúj. 2017. '!Nyomtatási_cím</vt:lpstr>
      <vt:lpstr>'_15_int beruh. 2017. '!Nyomtatási_cím</vt:lpstr>
      <vt:lpstr>'15_ Önk+PH_beruh '!Nyomtatási_cím</vt:lpstr>
      <vt:lpstr>'4.tábla'!Nyomtatási_cím</vt:lpstr>
      <vt:lpstr>'5.tábla'!Nyomtatási_cím</vt:lpstr>
      <vt:lpstr>pm.ÖM!Nyomtatási_cím</vt:lpstr>
      <vt:lpstr>'T_14_Önk+PH_felúj_'!Nyomtatási_cím</vt:lpstr>
      <vt:lpstr>'_14_int felúj. 2017. '!Nyomtatási_terület</vt:lpstr>
      <vt:lpstr>'_15_int beruh. 2017. '!Nyomtatási_terület</vt:lpstr>
      <vt:lpstr>'15_ Önk+PH_beruh '!Nyomtatási_terület</vt:lpstr>
      <vt:lpstr>'4.tábla'!Nyomtatási_terület</vt:lpstr>
      <vt:lpstr>'5.tábla'!Nyomtatási_terület</vt:lpstr>
      <vt:lpstr>'6. sz. 2017.K.'!Nyomtatási_terület</vt:lpstr>
      <vt:lpstr>'7. sz.2017.B. '!Nyomtatási_terület</vt:lpstr>
      <vt:lpstr>'cél,címzett'!Nyomtatási_terület</vt:lpstr>
      <vt:lpstr>egysz.mérleg!Nyomtatási_terület</vt:lpstr>
      <vt:lpstr>egysz.pforg!Nyomtatási_terület</vt:lpstr>
      <vt:lpstr>egysz.pm.!Nyomtatási_terület</vt:lpstr>
      <vt:lpstr>'kötött normatív'!Nyomtatási_terület</vt:lpstr>
      <vt:lpstr>központosított!Nyomtatási_terület</vt:lpstr>
      <vt:lpstr>'PM Intézmények'!Nyomtatási_terület</vt:lpstr>
      <vt:lpstr>pm.kimutatás!Nyomtatási_terület</vt:lpstr>
      <vt:lpstr>pm.ÖM!Nyomtatási_terület</vt:lpstr>
      <vt:lpstr>T.10.műk.bev.!Nyomtatási_terület</vt:lpstr>
      <vt:lpstr>T.11.felh.peszk.átad.!Nyomtatási_terület</vt:lpstr>
      <vt:lpstr>T.12.felhalm.bev.!Nyomtatási_terület</vt:lpstr>
      <vt:lpstr>T.16.Tartalék!Nyomtatási_terület</vt:lpstr>
      <vt:lpstr>T.9.műk.peszk.kiad!Nyomtatási_terület</vt:lpstr>
      <vt:lpstr>T_1_mérleg!Nyomtatási_terület</vt:lpstr>
      <vt:lpstr>T_13_kölcsönök!Nyomtatási_terület</vt:lpstr>
      <vt:lpstr>'T_14_Önk+PH_felúj_'!Nyomtatási_terület</vt:lpstr>
      <vt:lpstr>T_2_kiadás!Nyomtatási_terület</vt:lpstr>
      <vt:lpstr>T_3_bevétel!Nyomtatási_terület</vt:lpstr>
    </vt:vector>
  </TitlesOfParts>
  <Company>II.ker.PH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PÜ</dc:creator>
  <cp:lastModifiedBy>Balog Lászlóné Zsuzsa</cp:lastModifiedBy>
  <cp:lastPrinted>2018-05-23T09:33:41Z</cp:lastPrinted>
  <dcterms:created xsi:type="dcterms:W3CDTF">2000-06-16T09:18:22Z</dcterms:created>
  <dcterms:modified xsi:type="dcterms:W3CDTF">2018-05-23T09:33:53Z</dcterms:modified>
</cp:coreProperties>
</file>