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8\ELŐTERJESZTÉS\Mellékletek\"/>
    </mc:Choice>
  </mc:AlternateContent>
  <bookViews>
    <workbookView xWindow="0" yWindow="0" windowWidth="19200" windowHeight="10695"/>
  </bookViews>
  <sheets>
    <sheet name="4. melléklet" sheetId="1" r:id="rId1"/>
  </sheets>
  <definedNames>
    <definedName name="_xlnm.Print_Titles" localSheetId="0">'4. melléklet'!$A:$B,'4. melléklet'!$1:$7</definedName>
    <definedName name="_xlnm.Print_Area" localSheetId="0">'4. melléklet'!$A$1:$AE$64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1" l="1"/>
  <c r="L58" i="1"/>
  <c r="L57" i="1"/>
  <c r="L55" i="1"/>
  <c r="L44" i="1"/>
  <c r="L43" i="1"/>
  <c r="L39" i="1"/>
  <c r="L38" i="1"/>
  <c r="Z71" i="1" l="1"/>
  <c r="V71" i="1"/>
  <c r="AA70" i="1"/>
  <c r="U62" i="1"/>
  <c r="H62" i="1"/>
  <c r="N62" i="1" s="1"/>
  <c r="AE55" i="1"/>
  <c r="AA55" i="1"/>
  <c r="T55" i="1"/>
  <c r="R55" i="1"/>
  <c r="Q55" i="1"/>
  <c r="O55" i="1"/>
  <c r="M55" i="1"/>
  <c r="K55" i="1"/>
  <c r="J55" i="1"/>
  <c r="I55" i="1"/>
  <c r="H55" i="1"/>
  <c r="G55" i="1"/>
  <c r="F55" i="1"/>
  <c r="E55" i="1"/>
  <c r="C55" i="1"/>
  <c r="AE54" i="1"/>
  <c r="AA54" i="1"/>
  <c r="T54" i="1"/>
  <c r="R54" i="1"/>
  <c r="Q54" i="1"/>
  <c r="O54" i="1"/>
  <c r="M54" i="1"/>
  <c r="K54" i="1"/>
  <c r="J54" i="1"/>
  <c r="I54" i="1"/>
  <c r="H54" i="1"/>
  <c r="F54" i="1"/>
  <c r="E54" i="1"/>
  <c r="C54" i="1"/>
  <c r="AB53" i="1"/>
  <c r="U53" i="1"/>
  <c r="V53" i="1" s="1"/>
  <c r="Y53" i="1" s="1"/>
  <c r="Z53" i="1" s="1"/>
  <c r="AC53" i="1" s="1"/>
  <c r="P53" i="1"/>
  <c r="AD53" i="1" s="1"/>
  <c r="N53" i="1"/>
  <c r="D53" i="1"/>
  <c r="AB52" i="1"/>
  <c r="S52" i="1"/>
  <c r="P52" i="1"/>
  <c r="N52" i="1"/>
  <c r="D52" i="1"/>
  <c r="AB51" i="1"/>
  <c r="S51" i="1"/>
  <c r="P51" i="1"/>
  <c r="AD51" i="1" s="1"/>
  <c r="N51" i="1"/>
  <c r="D51" i="1"/>
  <c r="AB50" i="1"/>
  <c r="S50" i="1"/>
  <c r="P50" i="1"/>
  <c r="AD50" i="1" s="1"/>
  <c r="N50" i="1"/>
  <c r="D50" i="1"/>
  <c r="AB49" i="1"/>
  <c r="AB54" i="1" s="1"/>
  <c r="S49" i="1"/>
  <c r="P49" i="1"/>
  <c r="P54" i="1" s="1"/>
  <c r="N49" i="1"/>
  <c r="N54" i="1" s="1"/>
  <c r="D49" i="1"/>
  <c r="D54" i="1" s="1"/>
  <c r="AB48" i="1"/>
  <c r="S48" i="1"/>
  <c r="P48" i="1"/>
  <c r="U48" i="1" s="1"/>
  <c r="N48" i="1"/>
  <c r="D48" i="1"/>
  <c r="AB47" i="1"/>
  <c r="S47" i="1"/>
  <c r="S55" i="1" s="1"/>
  <c r="P47" i="1"/>
  <c r="AD47" i="1" s="1"/>
  <c r="N47" i="1"/>
  <c r="D47" i="1"/>
  <c r="AB41" i="1"/>
  <c r="T41" i="1"/>
  <c r="S41" i="1"/>
  <c r="P41" i="1"/>
  <c r="AD41" i="1" s="1"/>
  <c r="N41" i="1"/>
  <c r="D41" i="1"/>
  <c r="AE39" i="1"/>
  <c r="AE44" i="1" s="1"/>
  <c r="AE58" i="1" s="1"/>
  <c r="AA39" i="1"/>
  <c r="AA44" i="1" s="1"/>
  <c r="R39" i="1"/>
  <c r="R44" i="1" s="1"/>
  <c r="R58" i="1" s="1"/>
  <c r="Q39" i="1"/>
  <c r="Q44" i="1" s="1"/>
  <c r="Q58" i="1" s="1"/>
  <c r="O39" i="1"/>
  <c r="O44" i="1" s="1"/>
  <c r="M39" i="1"/>
  <c r="M44" i="1" s="1"/>
  <c r="M58" i="1" s="1"/>
  <c r="K39" i="1"/>
  <c r="K44" i="1" s="1"/>
  <c r="K58" i="1" s="1"/>
  <c r="J39" i="1"/>
  <c r="J44" i="1" s="1"/>
  <c r="J58" i="1" s="1"/>
  <c r="I39" i="1"/>
  <c r="I44" i="1" s="1"/>
  <c r="H39" i="1"/>
  <c r="H44" i="1" s="1"/>
  <c r="H58" i="1" s="1"/>
  <c r="G39" i="1"/>
  <c r="G44" i="1" s="1"/>
  <c r="G58" i="1" s="1"/>
  <c r="F39" i="1"/>
  <c r="F44" i="1" s="1"/>
  <c r="F58" i="1" s="1"/>
  <c r="E39" i="1"/>
  <c r="E44" i="1" s="1"/>
  <c r="C39" i="1"/>
  <c r="C44" i="1" s="1"/>
  <c r="C58" i="1" s="1"/>
  <c r="AE38" i="1"/>
  <c r="AE43" i="1" s="1"/>
  <c r="AE57" i="1" s="1"/>
  <c r="AE60" i="1" s="1"/>
  <c r="AE64" i="1" s="1"/>
  <c r="AA38" i="1"/>
  <c r="AA43" i="1" s="1"/>
  <c r="AA57" i="1" s="1"/>
  <c r="R38" i="1"/>
  <c r="R43" i="1" s="1"/>
  <c r="R57" i="1" s="1"/>
  <c r="R60" i="1" s="1"/>
  <c r="Q38" i="1"/>
  <c r="Q43" i="1" s="1"/>
  <c r="Q57" i="1" s="1"/>
  <c r="O38" i="1"/>
  <c r="O43" i="1" s="1"/>
  <c r="M38" i="1"/>
  <c r="M43" i="1" s="1"/>
  <c r="M57" i="1" s="1"/>
  <c r="M60" i="1" s="1"/>
  <c r="K38" i="1"/>
  <c r="K43" i="1" s="1"/>
  <c r="K57" i="1" s="1"/>
  <c r="J38" i="1"/>
  <c r="J43" i="1" s="1"/>
  <c r="I38" i="1"/>
  <c r="I43" i="1" s="1"/>
  <c r="I57" i="1" s="1"/>
  <c r="G38" i="1"/>
  <c r="G43" i="1" s="1"/>
  <c r="G57" i="1" s="1"/>
  <c r="F38" i="1"/>
  <c r="F43" i="1" s="1"/>
  <c r="F57" i="1" s="1"/>
  <c r="E38" i="1"/>
  <c r="E43" i="1" s="1"/>
  <c r="C38" i="1"/>
  <c r="C43" i="1" s="1"/>
  <c r="C57" i="1" s="1"/>
  <c r="AD37" i="1"/>
  <c r="AB37" i="1"/>
  <c r="V37" i="1"/>
  <c r="Y37" i="1" s="1"/>
  <c r="Z37" i="1" s="1"/>
  <c r="AC37" i="1" s="1"/>
  <c r="S37" i="1"/>
  <c r="D37" i="1"/>
  <c r="AD36" i="1"/>
  <c r="AC36" i="1"/>
  <c r="AB36" i="1"/>
  <c r="V36" i="1"/>
  <c r="Y36" i="1" s="1"/>
  <c r="Z36" i="1" s="1"/>
  <c r="S36" i="1"/>
  <c r="D36" i="1"/>
  <c r="AB35" i="1"/>
  <c r="U35" i="1"/>
  <c r="T35" i="1"/>
  <c r="S35" i="1"/>
  <c r="P35" i="1"/>
  <c r="AD35" i="1" s="1"/>
  <c r="N35" i="1"/>
  <c r="V35" i="1" s="1"/>
  <c r="Y35" i="1" s="1"/>
  <c r="Z35" i="1" s="1"/>
  <c r="D35" i="1"/>
  <c r="T34" i="1"/>
  <c r="P34" i="1"/>
  <c r="AD34" i="1" s="1"/>
  <c r="H34" i="1"/>
  <c r="S34" i="1" s="1"/>
  <c r="AB33" i="1"/>
  <c r="T33" i="1"/>
  <c r="S33" i="1"/>
  <c r="P33" i="1"/>
  <c r="U33" i="1" s="1"/>
  <c r="N33" i="1"/>
  <c r="V33" i="1" s="1"/>
  <c r="Y33" i="1" s="1"/>
  <c r="Z33" i="1" s="1"/>
  <c r="AC33" i="1" s="1"/>
  <c r="D33" i="1"/>
  <c r="AB32" i="1"/>
  <c r="T32" i="1"/>
  <c r="S32" i="1"/>
  <c r="P32" i="1"/>
  <c r="N32" i="1"/>
  <c r="D32" i="1"/>
  <c r="AB31" i="1"/>
  <c r="T31" i="1"/>
  <c r="S31" i="1"/>
  <c r="P31" i="1"/>
  <c r="N31" i="1"/>
  <c r="D31" i="1"/>
  <c r="AB30" i="1"/>
  <c r="T30" i="1"/>
  <c r="S30" i="1"/>
  <c r="P30" i="1"/>
  <c r="U30" i="1" s="1"/>
  <c r="V30" i="1" s="1"/>
  <c r="Y30" i="1" s="1"/>
  <c r="Z30" i="1" s="1"/>
  <c r="AC30" i="1" s="1"/>
  <c r="N30" i="1"/>
  <c r="D30" i="1"/>
  <c r="AD29" i="1"/>
  <c r="AB29" i="1"/>
  <c r="S29" i="1"/>
  <c r="U29" i="1" s="1"/>
  <c r="V29" i="1" s="1"/>
  <c r="Y29" i="1" s="1"/>
  <c r="Z29" i="1" s="1"/>
  <c r="AC29" i="1" s="1"/>
  <c r="N29" i="1"/>
  <c r="D29" i="1"/>
  <c r="AD28" i="1"/>
  <c r="AB28" i="1"/>
  <c r="S28" i="1"/>
  <c r="U28" i="1" s="1"/>
  <c r="V28" i="1" s="1"/>
  <c r="Y28" i="1" s="1"/>
  <c r="Z28" i="1" s="1"/>
  <c r="AC28" i="1" s="1"/>
  <c r="N28" i="1"/>
  <c r="D28" i="1"/>
  <c r="AB27" i="1"/>
  <c r="T27" i="1"/>
  <c r="S27" i="1"/>
  <c r="P27" i="1"/>
  <c r="AD27" i="1" s="1"/>
  <c r="N27" i="1"/>
  <c r="D27" i="1"/>
  <c r="AB26" i="1"/>
  <c r="T26" i="1"/>
  <c r="S26" i="1"/>
  <c r="P26" i="1"/>
  <c r="U26" i="1" s="1"/>
  <c r="N26" i="1"/>
  <c r="V26" i="1" s="1"/>
  <c r="Y26" i="1" s="1"/>
  <c r="Z26" i="1" s="1"/>
  <c r="AC26" i="1" s="1"/>
  <c r="D26" i="1"/>
  <c r="AB25" i="1"/>
  <c r="T25" i="1"/>
  <c r="S25" i="1"/>
  <c r="P25" i="1"/>
  <c r="AD25" i="1" s="1"/>
  <c r="N25" i="1"/>
  <c r="D25" i="1"/>
  <c r="AB24" i="1"/>
  <c r="T24" i="1"/>
  <c r="S24" i="1"/>
  <c r="P24" i="1"/>
  <c r="N24" i="1"/>
  <c r="D24" i="1"/>
  <c r="AB23" i="1"/>
  <c r="T23" i="1"/>
  <c r="S23" i="1"/>
  <c r="P23" i="1"/>
  <c r="AD23" i="1" s="1"/>
  <c r="N23" i="1"/>
  <c r="D23" i="1"/>
  <c r="AD22" i="1"/>
  <c r="T22" i="1"/>
  <c r="P22" i="1"/>
  <c r="H22" i="1"/>
  <c r="AB22" i="1" s="1"/>
  <c r="AB21" i="1"/>
  <c r="T21" i="1"/>
  <c r="S21" i="1"/>
  <c r="P21" i="1"/>
  <c r="AD21" i="1" s="1"/>
  <c r="N21" i="1"/>
  <c r="D21" i="1"/>
  <c r="AB20" i="1"/>
  <c r="T20" i="1"/>
  <c r="S20" i="1"/>
  <c r="U20" i="1" s="1"/>
  <c r="P20" i="1"/>
  <c r="AD20" i="1" s="1"/>
  <c r="N20" i="1"/>
  <c r="D20" i="1"/>
  <c r="AB19" i="1"/>
  <c r="T19" i="1"/>
  <c r="S19" i="1"/>
  <c r="P19" i="1"/>
  <c r="AD19" i="1" s="1"/>
  <c r="N19" i="1"/>
  <c r="D19" i="1"/>
  <c r="AB18" i="1"/>
  <c r="T18" i="1"/>
  <c r="S18" i="1"/>
  <c r="P18" i="1"/>
  <c r="U18" i="1" s="1"/>
  <c r="N18" i="1"/>
  <c r="D18" i="1"/>
  <c r="AB17" i="1"/>
  <c r="T17" i="1"/>
  <c r="U17" i="1" s="1"/>
  <c r="S17" i="1"/>
  <c r="P17" i="1"/>
  <c r="AD17" i="1" s="1"/>
  <c r="N17" i="1"/>
  <c r="D17" i="1"/>
  <c r="AB16" i="1"/>
  <c r="T16" i="1"/>
  <c r="S16" i="1"/>
  <c r="P16" i="1"/>
  <c r="AD16" i="1" s="1"/>
  <c r="N16" i="1"/>
  <c r="D16" i="1"/>
  <c r="AB15" i="1"/>
  <c r="T15" i="1"/>
  <c r="U15" i="1" s="1"/>
  <c r="S15" i="1"/>
  <c r="P15" i="1"/>
  <c r="AD15" i="1" s="1"/>
  <c r="N15" i="1"/>
  <c r="D15" i="1"/>
  <c r="AB14" i="1"/>
  <c r="T14" i="1"/>
  <c r="S14" i="1"/>
  <c r="P14" i="1"/>
  <c r="AD14" i="1" s="1"/>
  <c r="N14" i="1"/>
  <c r="D14" i="1"/>
  <c r="AB13" i="1"/>
  <c r="T13" i="1"/>
  <c r="U13" i="1" s="1"/>
  <c r="S13" i="1"/>
  <c r="P13" i="1"/>
  <c r="AD13" i="1" s="1"/>
  <c r="N13" i="1"/>
  <c r="D13" i="1"/>
  <c r="T12" i="1"/>
  <c r="P12" i="1"/>
  <c r="AD12" i="1" s="1"/>
  <c r="H12" i="1"/>
  <c r="S12" i="1" s="1"/>
  <c r="U12" i="1" s="1"/>
  <c r="AB11" i="1"/>
  <c r="AB39" i="1" s="1"/>
  <c r="T11" i="1"/>
  <c r="S11" i="1"/>
  <c r="P11" i="1"/>
  <c r="P39" i="1" s="1"/>
  <c r="N11" i="1"/>
  <c r="D11" i="1"/>
  <c r="AB10" i="1"/>
  <c r="U10" i="1"/>
  <c r="T10" i="1"/>
  <c r="S10" i="1"/>
  <c r="P10" i="1"/>
  <c r="N10" i="1"/>
  <c r="D10" i="1"/>
  <c r="AB8" i="1"/>
  <c r="T8" i="1"/>
  <c r="U8" i="1" s="1"/>
  <c r="S8" i="1"/>
  <c r="P8" i="1"/>
  <c r="N8" i="1"/>
  <c r="D8" i="1"/>
  <c r="V31" i="1" l="1"/>
  <c r="Y31" i="1" s="1"/>
  <c r="Z31" i="1" s="1"/>
  <c r="AC31" i="1" s="1"/>
  <c r="N44" i="1"/>
  <c r="U19" i="1"/>
  <c r="P44" i="1"/>
  <c r="P58" i="1" s="1"/>
  <c r="U16" i="1"/>
  <c r="S22" i="1"/>
  <c r="U24" i="1"/>
  <c r="V24" i="1" s="1"/>
  <c r="Y24" i="1" s="1"/>
  <c r="Z24" i="1" s="1"/>
  <c r="AC24" i="1" s="1"/>
  <c r="AD26" i="1"/>
  <c r="AD18" i="1"/>
  <c r="U22" i="1"/>
  <c r="AB44" i="1"/>
  <c r="U14" i="1"/>
  <c r="G60" i="1"/>
  <c r="N39" i="1"/>
  <c r="U11" i="1"/>
  <c r="V18" i="1"/>
  <c r="Y18" i="1" s="1"/>
  <c r="Z18" i="1" s="1"/>
  <c r="AC18" i="1" s="1"/>
  <c r="U21" i="1"/>
  <c r="V21" i="1" s="1"/>
  <c r="Y21" i="1" s="1"/>
  <c r="Z21" i="1" s="1"/>
  <c r="AC21" i="1" s="1"/>
  <c r="D22" i="1"/>
  <c r="AD24" i="1"/>
  <c r="AD33" i="1"/>
  <c r="I60" i="1"/>
  <c r="O57" i="1"/>
  <c r="U41" i="1"/>
  <c r="V41" i="1" s="1"/>
  <c r="Y41" i="1" s="1"/>
  <c r="Z41" i="1" s="1"/>
  <c r="AC41" i="1" s="1"/>
  <c r="D55" i="1"/>
  <c r="U50" i="1"/>
  <c r="U31" i="1"/>
  <c r="U32" i="1"/>
  <c r="V32" i="1" s="1"/>
  <c r="Y32" i="1" s="1"/>
  <c r="Z32" i="1" s="1"/>
  <c r="AC32" i="1" s="1"/>
  <c r="AB34" i="1"/>
  <c r="E57" i="1"/>
  <c r="J57" i="1"/>
  <c r="Q60" i="1"/>
  <c r="AA58" i="1"/>
  <c r="AA60" i="1" s="1"/>
  <c r="U52" i="1"/>
  <c r="AD31" i="1"/>
  <c r="N34" i="1"/>
  <c r="E58" i="1"/>
  <c r="I58" i="1"/>
  <c r="O58" i="1"/>
  <c r="V48" i="1"/>
  <c r="Y48" i="1" s="1"/>
  <c r="Z48" i="1" s="1"/>
  <c r="AC48" i="1" s="1"/>
  <c r="V62" i="1"/>
  <c r="V14" i="1"/>
  <c r="Y14" i="1" s="1"/>
  <c r="Z14" i="1" s="1"/>
  <c r="AC14" i="1" s="1"/>
  <c r="V16" i="1"/>
  <c r="Y16" i="1" s="1"/>
  <c r="Z16" i="1" s="1"/>
  <c r="AC16" i="1" s="1"/>
  <c r="V13" i="1"/>
  <c r="Y13" i="1" s="1"/>
  <c r="Z13" i="1" s="1"/>
  <c r="AC13" i="1" s="1"/>
  <c r="V15" i="1"/>
  <c r="Y15" i="1" s="1"/>
  <c r="Z15" i="1" s="1"/>
  <c r="AC15" i="1" s="1"/>
  <c r="V17" i="1"/>
  <c r="Y17" i="1" s="1"/>
  <c r="Z17" i="1" s="1"/>
  <c r="AC17" i="1" s="1"/>
  <c r="C60" i="1"/>
  <c r="V8" i="1"/>
  <c r="Y8" i="1" s="1"/>
  <c r="P38" i="1"/>
  <c r="P43" i="1" s="1"/>
  <c r="P57" i="1" s="1"/>
  <c r="V10" i="1"/>
  <c r="V11" i="1"/>
  <c r="N12" i="1"/>
  <c r="V12" i="1" s="1"/>
  <c r="Y12" i="1" s="1"/>
  <c r="Z12" i="1" s="1"/>
  <c r="AB12" i="1"/>
  <c r="H38" i="1"/>
  <c r="H43" i="1" s="1"/>
  <c r="H57" i="1" s="1"/>
  <c r="H60" i="1" s="1"/>
  <c r="S39" i="1"/>
  <c r="S44" i="1" s="1"/>
  <c r="S58" i="1" s="1"/>
  <c r="AD52" i="1"/>
  <c r="AD8" i="1"/>
  <c r="S38" i="1"/>
  <c r="S43" i="1" s="1"/>
  <c r="AD10" i="1"/>
  <c r="AD11" i="1"/>
  <c r="V19" i="1"/>
  <c r="Y19" i="1" s="1"/>
  <c r="Z19" i="1" s="1"/>
  <c r="AC19" i="1" s="1"/>
  <c r="U34" i="1"/>
  <c r="U38" i="1" s="1"/>
  <c r="U43" i="1" s="1"/>
  <c r="U57" i="1" s="1"/>
  <c r="O60" i="1"/>
  <c r="N55" i="1"/>
  <c r="AB55" i="1"/>
  <c r="AB58" i="1" s="1"/>
  <c r="AD48" i="1"/>
  <c r="S54" i="1"/>
  <c r="U49" i="1"/>
  <c r="U54" i="1" s="1"/>
  <c r="V50" i="1"/>
  <c r="Y50" i="1" s="1"/>
  <c r="Z50" i="1" s="1"/>
  <c r="AC50" i="1" s="1"/>
  <c r="P55" i="1"/>
  <c r="K60" i="1"/>
  <c r="T38" i="1"/>
  <c r="T43" i="1" s="1"/>
  <c r="T57" i="1" s="1"/>
  <c r="D39" i="1"/>
  <c r="D44" i="1" s="1"/>
  <c r="D58" i="1" s="1"/>
  <c r="T39" i="1"/>
  <c r="T44" i="1" s="1"/>
  <c r="T58" i="1" s="1"/>
  <c r="D12" i="1"/>
  <c r="V20" i="1"/>
  <c r="Y20" i="1" s="1"/>
  <c r="Z20" i="1" s="1"/>
  <c r="AC20" i="1" s="1"/>
  <c r="U23" i="1"/>
  <c r="V23" i="1" s="1"/>
  <c r="Y23" i="1" s="1"/>
  <c r="Z23" i="1" s="1"/>
  <c r="AC23" i="1" s="1"/>
  <c r="U25" i="1"/>
  <c r="V25" i="1" s="1"/>
  <c r="Y25" i="1" s="1"/>
  <c r="Z25" i="1" s="1"/>
  <c r="AC25" i="1" s="1"/>
  <c r="U27" i="1"/>
  <c r="V27" i="1" s="1"/>
  <c r="Y27" i="1" s="1"/>
  <c r="Z27" i="1" s="1"/>
  <c r="AC27" i="1" s="1"/>
  <c r="AD30" i="1"/>
  <c r="AD32" i="1"/>
  <c r="AC35" i="1"/>
  <c r="F60" i="1"/>
  <c r="J60" i="1"/>
  <c r="V52" i="1"/>
  <c r="Y52" i="1" s="1"/>
  <c r="Z52" i="1" s="1"/>
  <c r="AC52" i="1" s="1"/>
  <c r="N22" i="1"/>
  <c r="V22" i="1" s="1"/>
  <c r="Y22" i="1" s="1"/>
  <c r="Z22" i="1" s="1"/>
  <c r="AC22" i="1" s="1"/>
  <c r="U47" i="1"/>
  <c r="AD49" i="1"/>
  <c r="AD54" i="1" s="1"/>
  <c r="U51" i="1"/>
  <c r="V51" i="1" s="1"/>
  <c r="Y51" i="1" s="1"/>
  <c r="Z51" i="1" s="1"/>
  <c r="AC51" i="1" s="1"/>
  <c r="D34" i="1"/>
  <c r="AB38" i="1" l="1"/>
  <c r="AB43" i="1" s="1"/>
  <c r="AB57" i="1" s="1"/>
  <c r="N58" i="1"/>
  <c r="AD39" i="1"/>
  <c r="AD44" i="1" s="1"/>
  <c r="V34" i="1"/>
  <c r="Y34" i="1" s="1"/>
  <c r="Z34" i="1" s="1"/>
  <c r="AC34" i="1" s="1"/>
  <c r="P60" i="1"/>
  <c r="E60" i="1"/>
  <c r="AB60" i="1"/>
  <c r="AB64" i="1" s="1"/>
  <c r="V39" i="1"/>
  <c r="Y11" i="1"/>
  <c r="Y10" i="1"/>
  <c r="U39" i="1"/>
  <c r="U44" i="1" s="1"/>
  <c r="T60" i="1"/>
  <c r="AD38" i="1"/>
  <c r="AD43" i="1" s="1"/>
  <c r="AD57" i="1" s="1"/>
  <c r="V49" i="1"/>
  <c r="U55" i="1"/>
  <c r="V47" i="1"/>
  <c r="D38" i="1"/>
  <c r="D43" i="1" s="1"/>
  <c r="D57" i="1" s="1"/>
  <c r="D60" i="1" s="1"/>
  <c r="AD55" i="1"/>
  <c r="S57" i="1"/>
  <c r="S60" i="1" s="1"/>
  <c r="AC12" i="1"/>
  <c r="Z8" i="1"/>
  <c r="N38" i="1"/>
  <c r="N43" i="1" s="1"/>
  <c r="AD58" i="1" l="1"/>
  <c r="V38" i="1"/>
  <c r="U58" i="1"/>
  <c r="U60" i="1" s="1"/>
  <c r="U64" i="1" s="1"/>
  <c r="V44" i="1"/>
  <c r="AC8" i="1"/>
  <c r="Y49" i="1"/>
  <c r="V54" i="1"/>
  <c r="Y38" i="1"/>
  <c r="Y43" i="1" s="1"/>
  <c r="Z10" i="1"/>
  <c r="AD60" i="1"/>
  <c r="AD64" i="1" s="1"/>
  <c r="V43" i="1"/>
  <c r="N57" i="1"/>
  <c r="V55" i="1"/>
  <c r="Y47" i="1"/>
  <c r="Z11" i="1"/>
  <c r="Y39" i="1"/>
  <c r="Y44" i="1" s="1"/>
  <c r="V57" i="1" l="1"/>
  <c r="N60" i="1"/>
  <c r="N64" i="1" s="1"/>
  <c r="Z38" i="1"/>
  <c r="Z43" i="1" s="1"/>
  <c r="AC10" i="1"/>
  <c r="AC38" i="1" s="1"/>
  <c r="AC43" i="1" s="1"/>
  <c r="Z39" i="1"/>
  <c r="Z44" i="1" s="1"/>
  <c r="AC11" i="1"/>
  <c r="AC39" i="1" s="1"/>
  <c r="AC44" i="1" s="1"/>
  <c r="V58" i="1"/>
  <c r="Z47" i="1"/>
  <c r="Y55" i="1"/>
  <c r="Y58" i="1" s="1"/>
  <c r="Y54" i="1"/>
  <c r="Y57" i="1" s="1"/>
  <c r="Y60" i="1" s="1"/>
  <c r="Z49" i="1"/>
  <c r="Z54" i="1" l="1"/>
  <c r="Z57" i="1" s="1"/>
  <c r="AC49" i="1"/>
  <c r="AC54" i="1" s="1"/>
  <c r="AC57" i="1" s="1"/>
  <c r="Z58" i="1"/>
  <c r="AC47" i="1"/>
  <c r="AC55" i="1" s="1"/>
  <c r="AC58" i="1" s="1"/>
  <c r="Z55" i="1"/>
  <c r="V60" i="1"/>
  <c r="V64" i="1" s="1"/>
  <c r="Z60" i="1" l="1"/>
  <c r="Z64" i="1" s="1"/>
  <c r="AC60" i="1"/>
  <c r="AC64" i="1" s="1"/>
</calcChain>
</file>

<file path=xl/comments1.xml><?xml version="1.0" encoding="utf-8"?>
<comments xmlns="http://schemas.openxmlformats.org/spreadsheetml/2006/main">
  <authors>
    <author>Baloghné Szeferinusz Andrea</author>
  </authors>
  <commentList>
    <comment ref="H12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Baloghné Szeferinusz Andrea:</t>
        </r>
        <r>
          <rPr>
            <sz val="9"/>
            <color indexed="81"/>
            <rFont val="Segoe UI"/>
            <family val="2"/>
            <charset val="238"/>
          </rPr>
          <t xml:space="preserve">
szöv foglalk miatti töblet bér 996 eFt</t>
        </r>
      </text>
    </comment>
    <comment ref="H34" authorId="0" shapeId="0">
      <text>
        <r>
          <rPr>
            <b/>
            <sz val="9"/>
            <color indexed="81"/>
            <rFont val="Segoe UI"/>
            <family val="2"/>
            <charset val="238"/>
          </rPr>
          <t>Baloghné Szeferinusz Andrea:</t>
        </r>
        <r>
          <rPr>
            <sz val="9"/>
            <color indexed="81"/>
            <rFont val="Segoe UI"/>
            <family val="2"/>
            <charset val="238"/>
          </rPr>
          <t xml:space="preserve">
szöv foglalk + 3 hó párhuzamos kifizetés (GYESről visszatérő)</t>
        </r>
      </text>
    </comment>
  </commentList>
</comments>
</file>

<file path=xl/sharedStrings.xml><?xml version="1.0" encoding="utf-8"?>
<sst xmlns="http://schemas.openxmlformats.org/spreadsheetml/2006/main" count="143" uniqueCount="123">
  <si>
    <t xml:space="preserve">Személyi juttatások 2018. évi terve </t>
  </si>
  <si>
    <t>R  e  n  d  s  z  e  r  e  s       s  z  e  m  é  l  y  i       j  u  t  t  a  t  á  s  o  k       ö  s  s  z  e  s  e  n</t>
  </si>
  <si>
    <t>N e m  r e n d s z e r e s  s z e m é l y i  j u t t a t á s o k</t>
  </si>
  <si>
    <t xml:space="preserve">Személyi </t>
  </si>
  <si>
    <t>2018. évi    J Á R U L É K O K</t>
  </si>
  <si>
    <t xml:space="preserve">étkezés adó
12 hó </t>
  </si>
  <si>
    <t>Rehabilitációs hozzájárulás 1242Ft/fő</t>
  </si>
  <si>
    <t>Enge-</t>
  </si>
  <si>
    <t>2018. évi rendszeres személyi juttatások</t>
  </si>
  <si>
    <t xml:space="preserve">2018. évi </t>
  </si>
  <si>
    <t>Egyéb   személyi   juttatások</t>
  </si>
  <si>
    <t xml:space="preserve">juttatások </t>
  </si>
  <si>
    <t>délye-</t>
  </si>
  <si>
    <t>Alapbér</t>
  </si>
  <si>
    <t>Soros</t>
  </si>
  <si>
    <t xml:space="preserve">
'2018.évi</t>
  </si>
  <si>
    <t>Nev.-okt.munk.segítők 10%</t>
  </si>
  <si>
    <t xml:space="preserve">Alapbér </t>
  </si>
  <si>
    <t xml:space="preserve">További </t>
  </si>
  <si>
    <t xml:space="preserve">Kötelező </t>
  </si>
  <si>
    <t>Illetmény
kiegészítés</t>
  </si>
  <si>
    <t>Középfokú</t>
  </si>
  <si>
    <t>Műsz.pót.</t>
  </si>
  <si>
    <t>bérek</t>
  </si>
  <si>
    <t>Étkezés</t>
  </si>
  <si>
    <t>Vezetők</t>
  </si>
  <si>
    <t>Dolgozók</t>
  </si>
  <si>
    <t xml:space="preserve">Egyéb </t>
  </si>
  <si>
    <t>összesen:</t>
  </si>
  <si>
    <t xml:space="preserve">Járulék </t>
  </si>
  <si>
    <t>Szoc.</t>
  </si>
  <si>
    <t>Egészségügyi</t>
  </si>
  <si>
    <t>Táppénz</t>
  </si>
  <si>
    <t>Járulékok</t>
  </si>
  <si>
    <t>S.sz.</t>
  </si>
  <si>
    <t>Intézmény</t>
  </si>
  <si>
    <t>zett</t>
  </si>
  <si>
    <t>2017. dec.31.</t>
  </si>
  <si>
    <t>előlépés</t>
  </si>
  <si>
    <t>bérfejl.
(Minimál- bér vált.)</t>
  </si>
  <si>
    <t>2018.</t>
  </si>
  <si>
    <t>szakkép.pót</t>
  </si>
  <si>
    <t>pótlékok</t>
  </si>
  <si>
    <t>a Kjt.67.§.</t>
  </si>
  <si>
    <t>végzettségű</t>
  </si>
  <si>
    <t>összesen</t>
  </si>
  <si>
    <t>Jubileumi</t>
  </si>
  <si>
    <t xml:space="preserve">félhavi </t>
  </si>
  <si>
    <t>ruházati</t>
  </si>
  <si>
    <t>félhavi</t>
  </si>
  <si>
    <t>kiadások</t>
  </si>
  <si>
    <t>alap</t>
  </si>
  <si>
    <t>hj. adó</t>
  </si>
  <si>
    <t>hozzájár</t>
  </si>
  <si>
    <t>hozzájáru-</t>
  </si>
  <si>
    <t>létszám</t>
  </si>
  <si>
    <t>többletig.</t>
  </si>
  <si>
    <t xml:space="preserve"> jan.1.</t>
  </si>
  <si>
    <t>többlet-
igénye</t>
  </si>
  <si>
    <t>és többlet-
igénye</t>
  </si>
  <si>
    <t>alapján
 (csak vez.)/ Nkt.65. § (5)</t>
  </si>
  <si>
    <t>kisgyemek nevelők pótléka</t>
  </si>
  <si>
    <t>(6+…+13)</t>
  </si>
  <si>
    <t>jutalom</t>
  </si>
  <si>
    <t>8000 Ft</t>
  </si>
  <si>
    <t>illetménye</t>
  </si>
  <si>
    <t>hozzájárul.
80 000 Ft</t>
  </si>
  <si>
    <t>60 eFt/fő</t>
  </si>
  <si>
    <t>(15….20)</t>
  </si>
  <si>
    <t>(14+21)</t>
  </si>
  <si>
    <t>0 Ft/fő</t>
  </si>
  <si>
    <t>lás</t>
  </si>
  <si>
    <t>I.</t>
  </si>
  <si>
    <t>Egyesített bölcsödék:</t>
  </si>
  <si>
    <t>II.</t>
  </si>
  <si>
    <t>Óvodák:</t>
  </si>
  <si>
    <t>1.</t>
  </si>
  <si>
    <t>Bolyai u. Óvoda        - áll.f</t>
  </si>
  <si>
    <t xml:space="preserve">                                 - önk. Fin.</t>
  </si>
  <si>
    <t>2.</t>
  </si>
  <si>
    <t>Budakeszi u. Óvoda</t>
  </si>
  <si>
    <t>3.</t>
  </si>
  <si>
    <t>Hűvösv. Geszt. Óvoda</t>
  </si>
  <si>
    <t>4.</t>
  </si>
  <si>
    <t>Kitaibel P. u. Óvoda</t>
  </si>
  <si>
    <t>5.</t>
  </si>
  <si>
    <t>Kolozsvár u. Óvoda</t>
  </si>
  <si>
    <t>6.</t>
  </si>
  <si>
    <t>Községház u. Óvoda</t>
  </si>
  <si>
    <t>7.</t>
  </si>
  <si>
    <t>Pitypang u. Óvoda</t>
  </si>
  <si>
    <t>8.</t>
  </si>
  <si>
    <t>Százszorszép Óvoda</t>
  </si>
  <si>
    <t>9.</t>
  </si>
  <si>
    <t>Szemlőhegy u. Óvoda</t>
  </si>
  <si>
    <t>Szemlőhegy - Csoport növekedés</t>
  </si>
  <si>
    <t>10.</t>
  </si>
  <si>
    <t>Törökvész u. Óvoda</t>
  </si>
  <si>
    <t>11.</t>
  </si>
  <si>
    <t>Virág árok u. Óvoda</t>
  </si>
  <si>
    <t>12.</t>
  </si>
  <si>
    <t>Völgy Utcai Óvoda .</t>
  </si>
  <si>
    <t>Óvodák -Áll. Fin</t>
  </si>
  <si>
    <t>Óvodák -Önk. Fin.:</t>
  </si>
  <si>
    <t>III.</t>
  </si>
  <si>
    <t>IMK</t>
  </si>
  <si>
    <t>Oktatási ágazat -Áll. Fin.</t>
  </si>
  <si>
    <t>Oktatási ágazat +IMK -Önk. Fin.</t>
  </si>
  <si>
    <t>IV.</t>
  </si>
  <si>
    <t>Humán Ágazat</t>
  </si>
  <si>
    <t>ÉNO</t>
  </si>
  <si>
    <t>I.sz.Gondozási Központ - Önk. Fin.</t>
  </si>
  <si>
    <t xml:space="preserve">                                    - Áll. Fin.</t>
  </si>
  <si>
    <t>II.sz.Gondozási Központ</t>
  </si>
  <si>
    <t>III.sz.Gondozási Központ</t>
  </si>
  <si>
    <t>Családs.és Gyermekj.Központ</t>
  </si>
  <si>
    <t>2018.09.01.-től</t>
  </si>
  <si>
    <t>Humán Ágazat - Áll. Fin.:</t>
  </si>
  <si>
    <t>Humán Ágazat - Önk. Fin.:</t>
  </si>
  <si>
    <t>Összesen - Áll. fin:</t>
  </si>
  <si>
    <t>Összesen - Önk. fin.:</t>
  </si>
  <si>
    <t>Midösszesen:</t>
  </si>
  <si>
    <t>2017.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</si>
</sst>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0"/>
      <name val="Arial CE"/>
      <charset val="238"/>
    </font>
    <font>
      <b/>
      <sz val="10"/>
      <name val="Times New Roman CE"/>
      <family val="1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color theme="4" tint="-0.499984740745262"/>
      <name val="Times New Roman CE"/>
      <family val="1"/>
      <charset val="238"/>
    </font>
    <font>
      <b/>
      <sz val="10"/>
      <color theme="4" tint="-0.499984740745262"/>
      <name val="Times New Roman CE"/>
      <family val="1"/>
      <charset val="238"/>
    </font>
    <font>
      <sz val="10"/>
      <color theme="4" tint="-0.249977111117893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 CE"/>
      <family val="1"/>
      <charset val="238"/>
    </font>
    <font>
      <b/>
      <sz val="9"/>
      <color indexed="10"/>
      <name val="Times New Roman CE"/>
      <family val="1"/>
      <charset val="238"/>
    </font>
    <font>
      <i/>
      <sz val="10"/>
      <name val="Arial CE"/>
      <charset val="238"/>
    </font>
    <font>
      <sz val="8"/>
      <name val="Arial CE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64">
    <xf numFmtId="0" fontId="0" fillId="0" borderId="0" xfId="0"/>
    <xf numFmtId="3" fontId="1" fillId="0" borderId="0" xfId="1" applyNumberFormat="1" applyFont="1" applyAlignment="1">
      <alignment horizontal="left"/>
    </xf>
    <xf numFmtId="3" fontId="4" fillId="2" borderId="8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1" applyAlignment="1">
      <alignment horizontal="left"/>
    </xf>
    <xf numFmtId="3" fontId="8" fillId="5" borderId="9" xfId="1" applyNumberFormat="1" applyFont="1" applyFill="1" applyBorder="1" applyAlignment="1"/>
    <xf numFmtId="3" fontId="8" fillId="0" borderId="10" xfId="1" applyNumberFormat="1" applyFont="1" applyBorder="1" applyAlignment="1"/>
    <xf numFmtId="3" fontId="8" fillId="0" borderId="11" xfId="1" applyNumberFormat="1" applyFont="1" applyBorder="1" applyAlignment="1">
      <alignment horizontal="center"/>
    </xf>
    <xf numFmtId="3" fontId="3" fillId="4" borderId="8" xfId="1" applyNumberFormat="1" applyFont="1" applyFill="1" applyBorder="1" applyAlignment="1">
      <alignment horizontal="center"/>
    </xf>
    <xf numFmtId="3" fontId="4" fillId="2" borderId="14" xfId="1" applyNumberFormat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/>
    <xf numFmtId="3" fontId="8" fillId="0" borderId="0" xfId="1" applyNumberFormat="1" applyFont="1"/>
    <xf numFmtId="3" fontId="8" fillId="5" borderId="19" xfId="1" applyNumberFormat="1" applyFont="1" applyFill="1" applyBorder="1" applyAlignment="1"/>
    <xf numFmtId="3" fontId="8" fillId="4" borderId="20" xfId="1" applyNumberFormat="1" applyFont="1" applyFill="1" applyBorder="1" applyAlignment="1"/>
    <xf numFmtId="3" fontId="8" fillId="4" borderId="21" xfId="1" applyNumberFormat="1" applyFont="1" applyFill="1" applyBorder="1" applyAlignment="1">
      <alignment horizontal="center"/>
    </xf>
    <xf numFmtId="3" fontId="8" fillId="4" borderId="22" xfId="1" applyNumberFormat="1" applyFont="1" applyFill="1" applyBorder="1" applyAlignment="1">
      <alignment horizontal="center"/>
    </xf>
    <xf numFmtId="3" fontId="8" fillId="4" borderId="23" xfId="1" applyNumberFormat="1" applyFont="1" applyFill="1" applyBorder="1" applyAlignment="1">
      <alignment horizontal="center"/>
    </xf>
    <xf numFmtId="3" fontId="7" fillId="6" borderId="23" xfId="1" applyNumberFormat="1" applyFont="1" applyFill="1" applyBorder="1" applyAlignment="1">
      <alignment horizontal="center" wrapText="1"/>
    </xf>
    <xf numFmtId="3" fontId="8" fillId="0" borderId="23" xfId="1" applyNumberFormat="1" applyFont="1" applyBorder="1" applyAlignment="1">
      <alignment horizontal="center" wrapText="1"/>
    </xf>
    <xf numFmtId="3" fontId="8" fillId="0" borderId="24" xfId="1" applyNumberFormat="1" applyFont="1" applyBorder="1" applyAlignment="1">
      <alignment horizontal="center" wrapText="1"/>
    </xf>
    <xf numFmtId="3" fontId="4" fillId="4" borderId="14" xfId="1" applyNumberFormat="1" applyFont="1" applyFill="1" applyBorder="1" applyAlignment="1">
      <alignment horizontal="center"/>
    </xf>
    <xf numFmtId="3" fontId="8" fillId="4" borderId="22" xfId="1" applyNumberFormat="1" applyFont="1" applyFill="1" applyBorder="1"/>
    <xf numFmtId="3" fontId="8" fillId="4" borderId="25" xfId="1" applyNumberFormat="1" applyFont="1" applyFill="1" applyBorder="1" applyAlignment="1">
      <alignment horizontal="center"/>
    </xf>
    <xf numFmtId="3" fontId="8" fillId="4" borderId="24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3" fontId="8" fillId="8" borderId="19" xfId="1" applyNumberFormat="1" applyFont="1" applyFill="1" applyBorder="1" applyAlignment="1">
      <alignment horizontal="center"/>
    </xf>
    <xf numFmtId="3" fontId="8" fillId="4" borderId="20" xfId="1" applyNumberFormat="1" applyFont="1" applyFill="1" applyBorder="1" applyAlignment="1">
      <alignment horizontal="center"/>
    </xf>
    <xf numFmtId="3" fontId="8" fillId="4" borderId="26" xfId="1" applyNumberFormat="1" applyFont="1" applyFill="1" applyBorder="1" applyAlignment="1">
      <alignment horizontal="center"/>
    </xf>
    <xf numFmtId="3" fontId="4" fillId="4" borderId="27" xfId="1" applyNumberFormat="1" applyFont="1" applyFill="1" applyBorder="1" applyAlignment="1">
      <alignment horizontal="center"/>
    </xf>
    <xf numFmtId="3" fontId="8" fillId="4" borderId="19" xfId="1" applyNumberFormat="1" applyFont="1" applyFill="1" applyBorder="1" applyAlignment="1"/>
    <xf numFmtId="3" fontId="8" fillId="4" borderId="0" xfId="1" applyNumberFormat="1" applyFont="1" applyFill="1" applyBorder="1" applyAlignment="1">
      <alignment horizontal="center"/>
    </xf>
    <xf numFmtId="3" fontId="8" fillId="0" borderId="20" xfId="1" applyNumberFormat="1" applyFont="1" applyBorder="1" applyAlignment="1">
      <alignment horizontal="center"/>
    </xf>
    <xf numFmtId="3" fontId="8" fillId="0" borderId="26" xfId="1" applyNumberFormat="1" applyFont="1" applyBorder="1" applyAlignment="1">
      <alignment horizontal="center"/>
    </xf>
    <xf numFmtId="3" fontId="4" fillId="0" borderId="14" xfId="1" applyNumberFormat="1" applyFont="1" applyBorder="1" applyAlignment="1">
      <alignment horizontal="center"/>
    </xf>
    <xf numFmtId="3" fontId="8" fillId="4" borderId="23" xfId="1" applyNumberFormat="1" applyFont="1" applyFill="1" applyBorder="1" applyAlignment="1">
      <alignment horizontal="center" vertical="center"/>
    </xf>
    <xf numFmtId="3" fontId="8" fillId="4" borderId="2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/>
    </xf>
    <xf numFmtId="3" fontId="4" fillId="0" borderId="26" xfId="1" applyNumberFormat="1" applyFont="1" applyFill="1" applyBorder="1" applyAlignment="1">
      <alignment horizontal="center"/>
    </xf>
    <xf numFmtId="3" fontId="8" fillId="4" borderId="28" xfId="1" applyNumberFormat="1" applyFont="1" applyFill="1" applyBorder="1" applyAlignment="1">
      <alignment horizontal="center"/>
    </xf>
    <xf numFmtId="3" fontId="8" fillId="4" borderId="29" xfId="1" applyNumberFormat="1" applyFont="1" applyFill="1" applyBorder="1" applyAlignment="1">
      <alignment horizontal="center"/>
    </xf>
    <xf numFmtId="3" fontId="8" fillId="4" borderId="30" xfId="1" applyNumberFormat="1" applyFont="1" applyFill="1" applyBorder="1" applyAlignment="1">
      <alignment horizontal="center"/>
    </xf>
    <xf numFmtId="3" fontId="8" fillId="0" borderId="20" xfId="1" applyNumberFormat="1" applyFont="1" applyBorder="1" applyAlignment="1">
      <alignment horizontal="center" vertical="center" wrapText="1"/>
    </xf>
    <xf numFmtId="3" fontId="8" fillId="4" borderId="20" xfId="1" applyNumberFormat="1" applyFont="1" applyFill="1" applyBorder="1" applyAlignment="1">
      <alignment horizontal="center" vertical="center" wrapText="1"/>
    </xf>
    <xf numFmtId="3" fontId="8" fillId="4" borderId="30" xfId="1" applyNumberFormat="1" applyFont="1" applyFill="1" applyBorder="1" applyAlignment="1">
      <alignment horizontal="center" wrapText="1"/>
    </xf>
    <xf numFmtId="3" fontId="8" fillId="4" borderId="31" xfId="1" applyNumberFormat="1" applyFont="1" applyFill="1" applyBorder="1" applyAlignment="1">
      <alignment horizontal="center" wrapText="1"/>
    </xf>
    <xf numFmtId="3" fontId="4" fillId="4" borderId="32" xfId="1" applyNumberFormat="1" applyFont="1" applyFill="1" applyBorder="1" applyAlignment="1">
      <alignment horizontal="center"/>
    </xf>
    <xf numFmtId="3" fontId="8" fillId="4" borderId="29" xfId="1" applyNumberFormat="1" applyFont="1" applyFill="1" applyBorder="1" applyAlignment="1">
      <alignment horizontal="center" vertical="top"/>
    </xf>
    <xf numFmtId="3" fontId="8" fillId="0" borderId="30" xfId="1" applyNumberFormat="1" applyFont="1" applyBorder="1" applyAlignment="1">
      <alignment horizontal="center" vertical="center"/>
    </xf>
    <xf numFmtId="3" fontId="8" fillId="4" borderId="29" xfId="1" quotePrefix="1" applyNumberFormat="1" applyFont="1" applyFill="1" applyBorder="1" applyAlignment="1">
      <alignment horizontal="center" vertical="top" wrapText="1"/>
    </xf>
    <xf numFmtId="3" fontId="8" fillId="0" borderId="30" xfId="1" applyNumberFormat="1" applyFont="1" applyFill="1" applyBorder="1" applyAlignment="1">
      <alignment horizontal="center" wrapText="1"/>
    </xf>
    <xf numFmtId="3" fontId="8" fillId="0" borderId="31" xfId="1" applyNumberFormat="1" applyFont="1" applyFill="1" applyBorder="1" applyAlignment="1">
      <alignment horizontal="center"/>
    </xf>
    <xf numFmtId="3" fontId="8" fillId="2" borderId="14" xfId="1" quotePrefix="1" applyNumberFormat="1" applyFont="1" applyFill="1" applyBorder="1" applyAlignment="1">
      <alignment horizontal="center"/>
    </xf>
    <xf numFmtId="164" fontId="9" fillId="4" borderId="20" xfId="2" applyNumberFormat="1" applyFont="1" applyFill="1" applyBorder="1" applyAlignment="1">
      <alignment horizontal="center" vertical="center" wrapText="1"/>
    </xf>
    <xf numFmtId="9" fontId="9" fillId="4" borderId="20" xfId="2" applyFont="1" applyFill="1" applyBorder="1" applyAlignment="1">
      <alignment horizontal="center" vertical="center" wrapText="1"/>
    </xf>
    <xf numFmtId="3" fontId="10" fillId="4" borderId="19" xfId="1" applyNumberFormat="1" applyFont="1" applyFill="1" applyBorder="1" applyAlignment="1">
      <alignment horizontal="center"/>
    </xf>
    <xf numFmtId="3" fontId="10" fillId="4" borderId="21" xfId="1" applyNumberFormat="1" applyFont="1" applyFill="1" applyBorder="1" applyAlignment="1">
      <alignment horizontal="center"/>
    </xf>
    <xf numFmtId="3" fontId="10" fillId="4" borderId="23" xfId="1" applyNumberFormat="1" applyFont="1" applyFill="1" applyBorder="1" applyAlignment="1">
      <alignment horizontal="center"/>
    </xf>
    <xf numFmtId="3" fontId="10" fillId="4" borderId="22" xfId="1" applyNumberFormat="1" applyFont="1" applyFill="1" applyBorder="1" applyAlignment="1">
      <alignment horizontal="center"/>
    </xf>
    <xf numFmtId="3" fontId="10" fillId="4" borderId="23" xfId="1" quotePrefix="1" applyNumberFormat="1" applyFont="1" applyFill="1" applyBorder="1" applyAlignment="1">
      <alignment horizontal="center"/>
    </xf>
    <xf numFmtId="3" fontId="10" fillId="4" borderId="24" xfId="1" quotePrefix="1" applyNumberFormat="1" applyFont="1" applyFill="1" applyBorder="1" applyAlignment="1">
      <alignment horizontal="center"/>
    </xf>
    <xf numFmtId="3" fontId="10" fillId="4" borderId="33" xfId="1" applyNumberFormat="1" applyFont="1" applyFill="1" applyBorder="1" applyAlignment="1">
      <alignment horizontal="center"/>
    </xf>
    <xf numFmtId="3" fontId="10" fillId="4" borderId="21" xfId="1" quotePrefix="1" applyNumberFormat="1" applyFont="1" applyFill="1" applyBorder="1" applyAlignment="1">
      <alignment horizontal="center"/>
    </xf>
    <xf numFmtId="3" fontId="10" fillId="0" borderId="21" xfId="1" quotePrefix="1" applyNumberFormat="1" applyFont="1" applyFill="1" applyBorder="1" applyAlignment="1">
      <alignment horizontal="center"/>
    </xf>
    <xf numFmtId="3" fontId="10" fillId="0" borderId="0" xfId="1" quotePrefix="1" applyNumberFormat="1" applyFont="1" applyFill="1" applyBorder="1" applyAlignment="1">
      <alignment horizontal="center"/>
    </xf>
    <xf numFmtId="3" fontId="10" fillId="9" borderId="33" xfId="1" applyNumberFormat="1" applyFont="1" applyFill="1" applyBorder="1" applyAlignment="1">
      <alignment horizontal="center"/>
    </xf>
    <xf numFmtId="3" fontId="11" fillId="8" borderId="34" xfId="1" applyNumberFormat="1" applyFont="1" applyFill="1" applyBorder="1" applyAlignment="1">
      <alignment horizontal="center"/>
    </xf>
    <xf numFmtId="3" fontId="11" fillId="4" borderId="23" xfId="1" applyNumberFormat="1" applyFont="1" applyFill="1" applyBorder="1" applyAlignment="1">
      <alignment horizontal="center"/>
    </xf>
    <xf numFmtId="3" fontId="11" fillId="4" borderId="24" xfId="1" applyNumberFormat="1" applyFont="1" applyFill="1" applyBorder="1" applyAlignment="1">
      <alignment horizontal="center"/>
    </xf>
    <xf numFmtId="3" fontId="11" fillId="4" borderId="33" xfId="1" applyNumberFormat="1" applyFont="1" applyFill="1" applyBorder="1" applyAlignment="1">
      <alignment horizontal="center"/>
    </xf>
    <xf numFmtId="3" fontId="11" fillId="4" borderId="35" xfId="1" applyNumberFormat="1" applyFont="1" applyFill="1" applyBorder="1" applyAlignment="1">
      <alignment horizontal="center"/>
    </xf>
    <xf numFmtId="3" fontId="1" fillId="0" borderId="0" xfId="1" applyNumberFormat="1" applyFont="1"/>
    <xf numFmtId="3" fontId="6" fillId="10" borderId="36" xfId="1" applyNumberFormat="1" applyFont="1" applyFill="1" applyBorder="1" applyAlignment="1">
      <alignment horizontal="centerContinuous"/>
    </xf>
    <xf numFmtId="3" fontId="6" fillId="10" borderId="37" xfId="1" applyNumberFormat="1" applyFont="1" applyFill="1" applyBorder="1" applyAlignment="1">
      <alignment horizontal="left"/>
    </xf>
    <xf numFmtId="165" fontId="12" fillId="10" borderId="37" xfId="1" applyNumberFormat="1" applyFont="1" applyFill="1" applyBorder="1"/>
    <xf numFmtId="3" fontId="10" fillId="10" borderId="37" xfId="1" applyNumberFormat="1" applyFont="1" applyFill="1" applyBorder="1"/>
    <xf numFmtId="3" fontId="12" fillId="10" borderId="37" xfId="1" applyNumberFormat="1" applyFont="1" applyFill="1" applyBorder="1"/>
    <xf numFmtId="3" fontId="10" fillId="10" borderId="38" xfId="1" applyNumberFormat="1" applyFont="1" applyFill="1" applyBorder="1"/>
    <xf numFmtId="3" fontId="12" fillId="10" borderId="39" xfId="1" applyNumberFormat="1" applyFont="1" applyFill="1" applyBorder="1"/>
    <xf numFmtId="3" fontId="6" fillId="10" borderId="38" xfId="1" applyNumberFormat="1" applyFont="1" applyFill="1" applyBorder="1"/>
    <xf numFmtId="3" fontId="6" fillId="10" borderId="39" xfId="1" applyNumberFormat="1" applyFont="1" applyFill="1" applyBorder="1"/>
    <xf numFmtId="3" fontId="7" fillId="0" borderId="0" xfId="1" applyNumberFormat="1" applyFont="1"/>
    <xf numFmtId="3" fontId="10" fillId="10" borderId="36" xfId="1" applyNumberFormat="1" applyFont="1" applyFill="1" applyBorder="1"/>
    <xf numFmtId="3" fontId="6" fillId="10" borderId="40" xfId="1" applyNumberFormat="1" applyFont="1" applyFill="1" applyBorder="1"/>
    <xf numFmtId="3" fontId="5" fillId="0" borderId="0" xfId="1" applyNumberFormat="1" applyFont="1"/>
    <xf numFmtId="3" fontId="6" fillId="0" borderId="41" xfId="1" applyNumberFormat="1" applyFont="1" applyBorder="1" applyAlignment="1">
      <alignment horizontal="centerContinuous"/>
    </xf>
    <xf numFmtId="3" fontId="6" fillId="0" borderId="2" xfId="1" quotePrefix="1" applyNumberFormat="1" applyFont="1" applyBorder="1" applyAlignment="1">
      <alignment horizontal="left"/>
    </xf>
    <xf numFmtId="3" fontId="6" fillId="0" borderId="10" xfId="1" applyNumberFormat="1" applyFont="1" applyBorder="1"/>
    <xf numFmtId="3" fontId="10" fillId="0" borderId="42" xfId="1" applyNumberFormat="1" applyFont="1" applyBorder="1"/>
    <xf numFmtId="3" fontId="10" fillId="0" borderId="10" xfId="1" applyNumberFormat="1" applyFont="1" applyBorder="1"/>
    <xf numFmtId="3" fontId="12" fillId="4" borderId="10" xfId="1" applyNumberFormat="1" applyFont="1" applyFill="1" applyBorder="1"/>
    <xf numFmtId="3" fontId="10" fillId="4" borderId="10" xfId="1" applyNumberFormat="1" applyFont="1" applyFill="1" applyBorder="1"/>
    <xf numFmtId="3" fontId="10" fillId="4" borderId="11" xfId="1" applyNumberFormat="1" applyFont="1" applyFill="1" applyBorder="1"/>
    <xf numFmtId="3" fontId="10" fillId="4" borderId="43" xfId="1" applyNumberFormat="1" applyFont="1" applyFill="1" applyBorder="1"/>
    <xf numFmtId="3" fontId="13" fillId="4" borderId="44" xfId="1" applyNumberFormat="1" applyFont="1" applyFill="1" applyBorder="1"/>
    <xf numFmtId="3" fontId="10" fillId="4" borderId="42" xfId="1" applyNumberFormat="1" applyFont="1" applyFill="1" applyBorder="1"/>
    <xf numFmtId="3" fontId="13" fillId="4" borderId="42" xfId="1" applyNumberFormat="1" applyFont="1" applyFill="1" applyBorder="1"/>
    <xf numFmtId="3" fontId="10" fillId="0" borderId="42" xfId="1" applyNumberFormat="1" applyFont="1" applyFill="1" applyBorder="1"/>
    <xf numFmtId="3" fontId="10" fillId="0" borderId="45" xfId="1" applyNumberFormat="1" applyFont="1" applyFill="1" applyBorder="1"/>
    <xf numFmtId="3" fontId="8" fillId="9" borderId="8" xfId="1" applyNumberFormat="1" applyFont="1" applyFill="1" applyBorder="1"/>
    <xf numFmtId="10" fontId="7" fillId="0" borderId="0" xfId="2" applyNumberFormat="1" applyFont="1"/>
    <xf numFmtId="3" fontId="10" fillId="11" borderId="41" xfId="1" applyNumberFormat="1" applyFont="1" applyFill="1" applyBorder="1"/>
    <xf numFmtId="3" fontId="10" fillId="0" borderId="11" xfId="1" applyNumberFormat="1" applyFont="1" applyBorder="1"/>
    <xf numFmtId="3" fontId="10" fillId="0" borderId="43" xfId="1" applyNumberFormat="1" applyFont="1" applyBorder="1"/>
    <xf numFmtId="3" fontId="10" fillId="0" borderId="3" xfId="1" applyNumberFormat="1" applyFont="1" applyBorder="1"/>
    <xf numFmtId="3" fontId="10" fillId="0" borderId="46" xfId="1" quotePrefix="1" applyNumberFormat="1" applyFont="1" applyBorder="1" applyAlignment="1">
      <alignment horizontal="centerContinuous"/>
    </xf>
    <xf numFmtId="3" fontId="8" fillId="0" borderId="47" xfId="1" applyNumberFormat="1" applyFont="1" applyBorder="1"/>
    <xf numFmtId="165" fontId="10" fillId="12" borderId="47" xfId="1" applyNumberFormat="1" applyFont="1" applyFill="1" applyBorder="1"/>
    <xf numFmtId="3" fontId="10" fillId="12" borderId="48" xfId="1" applyNumberFormat="1" applyFont="1" applyFill="1" applyBorder="1"/>
    <xf numFmtId="3" fontId="10" fillId="12" borderId="47" xfId="1" applyNumberFormat="1" applyFont="1" applyFill="1" applyBorder="1"/>
    <xf numFmtId="3" fontId="12" fillId="12" borderId="47" xfId="1" applyNumberFormat="1" applyFont="1" applyFill="1" applyBorder="1"/>
    <xf numFmtId="3" fontId="10" fillId="13" borderId="47" xfId="1" applyNumberFormat="1" applyFont="1" applyFill="1" applyBorder="1"/>
    <xf numFmtId="3" fontId="11" fillId="12" borderId="47" xfId="1" applyNumberFormat="1" applyFont="1" applyFill="1" applyBorder="1"/>
    <xf numFmtId="3" fontId="10" fillId="12" borderId="49" xfId="1" applyNumberFormat="1" applyFont="1" applyFill="1" applyBorder="1"/>
    <xf numFmtId="3" fontId="10" fillId="12" borderId="50" xfId="1" applyNumberFormat="1" applyFont="1" applyFill="1" applyBorder="1"/>
    <xf numFmtId="3" fontId="10" fillId="12" borderId="51" xfId="1" applyNumberFormat="1" applyFont="1" applyFill="1" applyBorder="1"/>
    <xf numFmtId="3" fontId="6" fillId="2" borderId="50" xfId="1" applyNumberFormat="1" applyFont="1" applyFill="1" applyBorder="1"/>
    <xf numFmtId="3" fontId="10" fillId="11" borderId="52" xfId="1" applyNumberFormat="1" applyFont="1" applyFill="1" applyBorder="1"/>
    <xf numFmtId="3" fontId="6" fillId="12" borderId="50" xfId="1" applyNumberFormat="1" applyFont="1" applyFill="1" applyBorder="1"/>
    <xf numFmtId="3" fontId="6" fillId="12" borderId="53" xfId="1" applyNumberFormat="1" applyFont="1" applyFill="1" applyBorder="1"/>
    <xf numFmtId="3" fontId="6" fillId="12" borderId="18" xfId="1" applyNumberFormat="1" applyFont="1" applyFill="1" applyBorder="1"/>
    <xf numFmtId="165" fontId="10" fillId="0" borderId="47" xfId="1" applyNumberFormat="1" applyFont="1" applyBorder="1"/>
    <xf numFmtId="3" fontId="10" fillId="0" borderId="48" xfId="1" applyNumberFormat="1" applyFont="1" applyFill="1" applyBorder="1"/>
    <xf numFmtId="3" fontId="10" fillId="0" borderId="47" xfId="1" applyNumberFormat="1" applyFont="1" applyBorder="1"/>
    <xf numFmtId="3" fontId="12" fillId="0" borderId="47" xfId="1" applyNumberFormat="1" applyFont="1" applyBorder="1"/>
    <xf numFmtId="3" fontId="10" fillId="0" borderId="49" xfId="1" applyNumberFormat="1" applyFont="1" applyBorder="1"/>
    <xf numFmtId="3" fontId="10" fillId="0" borderId="50" xfId="1" applyNumberFormat="1" applyFont="1" applyBorder="1"/>
    <xf numFmtId="3" fontId="13" fillId="0" borderId="51" xfId="1" applyNumberFormat="1" applyFont="1" applyBorder="1"/>
    <xf numFmtId="3" fontId="13" fillId="0" borderId="47" xfId="1" applyNumberFormat="1" applyFont="1" applyBorder="1"/>
    <xf numFmtId="3" fontId="10" fillId="0" borderId="47" xfId="1" applyNumberFormat="1" applyFont="1" applyFill="1" applyBorder="1"/>
    <xf numFmtId="3" fontId="10" fillId="0" borderId="49" xfId="1" applyNumberFormat="1" applyFont="1" applyFill="1" applyBorder="1"/>
    <xf numFmtId="3" fontId="6" fillId="0" borderId="50" xfId="1" applyNumberFormat="1" applyFont="1" applyBorder="1"/>
    <xf numFmtId="3" fontId="6" fillId="0" borderId="53" xfId="1" applyNumberFormat="1" applyFont="1" applyBorder="1"/>
    <xf numFmtId="3" fontId="6" fillId="0" borderId="18" xfId="1" applyNumberFormat="1" applyFont="1" applyBorder="1"/>
    <xf numFmtId="3" fontId="11" fillId="12" borderId="51" xfId="1" applyNumberFormat="1" applyFont="1" applyFill="1" applyBorder="1"/>
    <xf numFmtId="3" fontId="8" fillId="14" borderId="47" xfId="1" applyNumberFormat="1" applyFont="1" applyFill="1" applyBorder="1"/>
    <xf numFmtId="165" fontId="10" fillId="14" borderId="47" xfId="1" applyNumberFormat="1" applyFont="1" applyFill="1" applyBorder="1"/>
    <xf numFmtId="3" fontId="10" fillId="14" borderId="48" xfId="1" applyNumberFormat="1" applyFont="1" applyFill="1" applyBorder="1"/>
    <xf numFmtId="3" fontId="10" fillId="14" borderId="47" xfId="1" applyNumberFormat="1" applyFont="1" applyFill="1" applyBorder="1"/>
    <xf numFmtId="3" fontId="10" fillId="14" borderId="49" xfId="1" applyNumberFormat="1" applyFont="1" applyFill="1" applyBorder="1"/>
    <xf numFmtId="3" fontId="13" fillId="14" borderId="51" xfId="1" applyNumberFormat="1" applyFont="1" applyFill="1" applyBorder="1"/>
    <xf numFmtId="3" fontId="13" fillId="14" borderId="47" xfId="1" applyNumberFormat="1" applyFont="1" applyFill="1" applyBorder="1"/>
    <xf numFmtId="3" fontId="10" fillId="15" borderId="47" xfId="1" applyNumberFormat="1" applyFont="1" applyFill="1" applyBorder="1"/>
    <xf numFmtId="3" fontId="10" fillId="16" borderId="48" xfId="1" applyNumberFormat="1" applyFont="1" applyFill="1" applyBorder="1"/>
    <xf numFmtId="3" fontId="12" fillId="16" borderId="47" xfId="1" applyNumberFormat="1" applyFont="1" applyFill="1" applyBorder="1"/>
    <xf numFmtId="3" fontId="10" fillId="0" borderId="19" xfId="1" quotePrefix="1" applyNumberFormat="1" applyFont="1" applyBorder="1" applyAlignment="1">
      <alignment horizontal="centerContinuous"/>
    </xf>
    <xf numFmtId="165" fontId="10" fillId="0" borderId="20" xfId="1" applyNumberFormat="1" applyFont="1" applyBorder="1"/>
    <xf numFmtId="3" fontId="10" fillId="0" borderId="20" xfId="1" applyNumberFormat="1" applyFont="1" applyBorder="1"/>
    <xf numFmtId="3" fontId="12" fillId="0" borderId="20" xfId="1" applyNumberFormat="1" applyFont="1" applyBorder="1"/>
    <xf numFmtId="3" fontId="10" fillId="0" borderId="26" xfId="1" applyNumberFormat="1" applyFont="1" applyBorder="1"/>
    <xf numFmtId="3" fontId="13" fillId="0" borderId="21" xfId="1" applyNumberFormat="1" applyFont="1" applyBorder="1"/>
    <xf numFmtId="3" fontId="13" fillId="0" borderId="20" xfId="1" applyNumberFormat="1" applyFont="1" applyBorder="1"/>
    <xf numFmtId="3" fontId="6" fillId="0" borderId="54" xfId="1" applyNumberFormat="1" applyFont="1" applyBorder="1"/>
    <xf numFmtId="3" fontId="9" fillId="16" borderId="47" xfId="1" applyNumberFormat="1" applyFont="1" applyFill="1" applyBorder="1"/>
    <xf numFmtId="165" fontId="10" fillId="17" borderId="47" xfId="1" applyNumberFormat="1" applyFont="1" applyFill="1" applyBorder="1"/>
    <xf numFmtId="3" fontId="10" fillId="13" borderId="48" xfId="1" applyNumberFormat="1" applyFont="1" applyFill="1" applyBorder="1"/>
    <xf numFmtId="3" fontId="10" fillId="17" borderId="48" xfId="1" applyNumberFormat="1" applyFont="1" applyFill="1" applyBorder="1"/>
    <xf numFmtId="3" fontId="10" fillId="17" borderId="47" xfId="1" applyNumberFormat="1" applyFont="1" applyFill="1" applyBorder="1"/>
    <xf numFmtId="3" fontId="10" fillId="17" borderId="51" xfId="1" applyNumberFormat="1" applyFont="1" applyFill="1" applyBorder="1"/>
    <xf numFmtId="3" fontId="9" fillId="16" borderId="55" xfId="1" applyNumberFormat="1" applyFont="1" applyFill="1" applyBorder="1"/>
    <xf numFmtId="165" fontId="10" fillId="16" borderId="55" xfId="1" applyNumberFormat="1" applyFont="1" applyFill="1" applyBorder="1"/>
    <xf numFmtId="3" fontId="10" fillId="16" borderId="20" xfId="1" applyNumberFormat="1" applyFont="1" applyFill="1" applyBorder="1"/>
    <xf numFmtId="3" fontId="12" fillId="16" borderId="55" xfId="1" applyNumberFormat="1" applyFont="1" applyFill="1" applyBorder="1"/>
    <xf numFmtId="3" fontId="10" fillId="16" borderId="55" xfId="1" applyNumberFormat="1" applyFont="1" applyFill="1" applyBorder="1"/>
    <xf numFmtId="3" fontId="10" fillId="16" borderId="56" xfId="1" applyNumberFormat="1" applyFont="1" applyFill="1" applyBorder="1"/>
    <xf numFmtId="3" fontId="13" fillId="16" borderId="57" xfId="1" applyNumberFormat="1" applyFont="1" applyFill="1" applyBorder="1"/>
    <xf numFmtId="3" fontId="13" fillId="16" borderId="55" xfId="1" applyNumberFormat="1" applyFont="1" applyFill="1" applyBorder="1"/>
    <xf numFmtId="3" fontId="6" fillId="2" borderId="54" xfId="1" applyNumberFormat="1" applyFont="1" applyFill="1" applyBorder="1"/>
    <xf numFmtId="3" fontId="10" fillId="0" borderId="58" xfId="1" quotePrefix="1" applyNumberFormat="1" applyFont="1" applyBorder="1" applyAlignment="1">
      <alignment horizontal="centerContinuous"/>
    </xf>
    <xf numFmtId="3" fontId="9" fillId="14" borderId="55" xfId="1" applyNumberFormat="1" applyFont="1" applyFill="1" applyBorder="1"/>
    <xf numFmtId="165" fontId="10" fillId="14" borderId="55" xfId="1" applyNumberFormat="1" applyFont="1" applyFill="1" applyBorder="1"/>
    <xf numFmtId="3" fontId="10" fillId="14" borderId="55" xfId="1" applyNumberFormat="1" applyFont="1" applyFill="1" applyBorder="1"/>
    <xf numFmtId="3" fontId="12" fillId="14" borderId="55" xfId="1" applyNumberFormat="1" applyFont="1" applyFill="1" applyBorder="1"/>
    <xf numFmtId="3" fontId="10" fillId="14" borderId="56" xfId="1" applyNumberFormat="1" applyFont="1" applyFill="1" applyBorder="1"/>
    <xf numFmtId="3" fontId="10" fillId="14" borderId="50" xfId="1" applyNumberFormat="1" applyFont="1" applyFill="1" applyBorder="1"/>
    <xf numFmtId="3" fontId="13" fillId="14" borderId="57" xfId="1" applyNumberFormat="1" applyFont="1" applyFill="1" applyBorder="1"/>
    <xf numFmtId="3" fontId="13" fillId="14" borderId="55" xfId="1" applyNumberFormat="1" applyFont="1" applyFill="1" applyBorder="1"/>
    <xf numFmtId="3" fontId="10" fillId="0" borderId="20" xfId="1" applyNumberFormat="1" applyFont="1" applyFill="1" applyBorder="1"/>
    <xf numFmtId="3" fontId="10" fillId="0" borderId="59" xfId="1" applyNumberFormat="1" applyFont="1" applyBorder="1"/>
    <xf numFmtId="3" fontId="10" fillId="0" borderId="55" xfId="1" applyNumberFormat="1" applyFont="1" applyFill="1" applyBorder="1"/>
    <xf numFmtId="3" fontId="6" fillId="0" borderId="60" xfId="1" applyNumberFormat="1" applyFont="1" applyBorder="1"/>
    <xf numFmtId="3" fontId="10" fillId="12" borderId="36" xfId="1" quotePrefix="1" applyNumberFormat="1" applyFont="1" applyFill="1" applyBorder="1" applyAlignment="1">
      <alignment horizontal="centerContinuous"/>
    </xf>
    <xf numFmtId="3" fontId="12" fillId="12" borderId="37" xfId="1" applyNumberFormat="1" applyFont="1" applyFill="1" applyBorder="1"/>
    <xf numFmtId="165" fontId="12" fillId="12" borderId="37" xfId="1" applyNumberFormat="1" applyFont="1" applyFill="1" applyBorder="1"/>
    <xf numFmtId="3" fontId="12" fillId="13" borderId="37" xfId="1" applyNumberFormat="1" applyFont="1" applyFill="1" applyBorder="1"/>
    <xf numFmtId="3" fontId="12" fillId="12" borderId="39" xfId="1" applyNumberFormat="1" applyFont="1" applyFill="1" applyBorder="1"/>
    <xf numFmtId="3" fontId="12" fillId="12" borderId="61" xfId="1" applyNumberFormat="1" applyFont="1" applyFill="1" applyBorder="1"/>
    <xf numFmtId="3" fontId="12" fillId="12" borderId="62" xfId="1" applyNumberFormat="1" applyFont="1" applyFill="1" applyBorder="1"/>
    <xf numFmtId="3" fontId="12" fillId="12" borderId="36" xfId="1" applyNumberFormat="1" applyFont="1" applyFill="1" applyBorder="1"/>
    <xf numFmtId="3" fontId="6" fillId="12" borderId="0" xfId="1" applyNumberFormat="1" applyFont="1" applyFill="1" applyBorder="1"/>
    <xf numFmtId="3" fontId="6" fillId="10" borderId="36" xfId="1" applyNumberFormat="1" applyFont="1" applyFill="1" applyBorder="1"/>
    <xf numFmtId="165" fontId="6" fillId="10" borderId="37" xfId="1" applyNumberFormat="1" applyFont="1" applyFill="1" applyBorder="1"/>
    <xf numFmtId="3" fontId="6" fillId="10" borderId="37" xfId="1" applyNumberFormat="1" applyFont="1" applyFill="1" applyBorder="1"/>
    <xf numFmtId="3" fontId="6" fillId="10" borderId="61" xfId="1" applyNumberFormat="1" applyFont="1" applyFill="1" applyBorder="1"/>
    <xf numFmtId="3" fontId="6" fillId="10" borderId="62" xfId="1" applyNumberFormat="1" applyFont="1" applyFill="1" applyBorder="1"/>
    <xf numFmtId="3" fontId="6" fillId="16" borderId="63" xfId="1" applyNumberFormat="1" applyFont="1" applyFill="1" applyBorder="1" applyAlignment="1">
      <alignment horizontal="center"/>
    </xf>
    <xf numFmtId="3" fontId="6" fillId="16" borderId="63" xfId="1" applyNumberFormat="1" applyFont="1" applyFill="1" applyBorder="1"/>
    <xf numFmtId="165" fontId="10" fillId="16" borderId="63" xfId="1" applyNumberFormat="1" applyFont="1" applyFill="1" applyBorder="1"/>
    <xf numFmtId="3" fontId="6" fillId="18" borderId="63" xfId="1" applyNumberFormat="1" applyFont="1" applyFill="1" applyBorder="1"/>
    <xf numFmtId="3" fontId="11" fillId="18" borderId="63" xfId="1" applyNumberFormat="1" applyFont="1" applyFill="1" applyBorder="1"/>
    <xf numFmtId="3" fontId="8" fillId="18" borderId="63" xfId="1" applyNumberFormat="1" applyFont="1" applyFill="1" applyBorder="1"/>
    <xf numFmtId="3" fontId="11" fillId="16" borderId="63" xfId="1" applyNumberFormat="1" applyFont="1" applyFill="1" applyBorder="1"/>
    <xf numFmtId="3" fontId="6" fillId="0" borderId="63" xfId="1" applyNumberFormat="1" applyFont="1" applyBorder="1"/>
    <xf numFmtId="3" fontId="7" fillId="10" borderId="36" xfId="1" quotePrefix="1" applyNumberFormat="1" applyFont="1" applyFill="1" applyBorder="1" applyAlignment="1">
      <alignment horizontal="centerContinuous"/>
    </xf>
    <xf numFmtId="3" fontId="7" fillId="10" borderId="37" xfId="1" applyNumberFormat="1" applyFont="1" applyFill="1" applyBorder="1"/>
    <xf numFmtId="3" fontId="12" fillId="10" borderId="38" xfId="1" applyNumberFormat="1" applyFont="1" applyFill="1" applyBorder="1"/>
    <xf numFmtId="3" fontId="12" fillId="10" borderId="64" xfId="1" applyNumberFormat="1" applyFont="1" applyFill="1" applyBorder="1"/>
    <xf numFmtId="3" fontId="12" fillId="10" borderId="36" xfId="1" applyNumberFormat="1" applyFont="1" applyFill="1" applyBorder="1"/>
    <xf numFmtId="3" fontId="11" fillId="10" borderId="37" xfId="1" applyNumberFormat="1" applyFont="1" applyFill="1" applyBorder="1"/>
    <xf numFmtId="3" fontId="12" fillId="10" borderId="61" xfId="1" applyNumberFormat="1" applyFont="1" applyFill="1" applyBorder="1"/>
    <xf numFmtId="3" fontId="8" fillId="16" borderId="63" xfId="1" quotePrefix="1" applyNumberFormat="1" applyFont="1" applyFill="1" applyBorder="1" applyAlignment="1">
      <alignment horizontal="centerContinuous"/>
    </xf>
    <xf numFmtId="3" fontId="8" fillId="16" borderId="63" xfId="1" applyNumberFormat="1" applyFont="1" applyFill="1" applyBorder="1"/>
    <xf numFmtId="3" fontId="10" fillId="16" borderId="63" xfId="1" applyNumberFormat="1" applyFont="1" applyFill="1" applyBorder="1"/>
    <xf numFmtId="3" fontId="6" fillId="0" borderId="0" xfId="1" applyNumberFormat="1" applyFont="1" applyBorder="1"/>
    <xf numFmtId="3" fontId="8" fillId="12" borderId="36" xfId="1" quotePrefix="1" applyNumberFormat="1" applyFont="1" applyFill="1" applyBorder="1" applyAlignment="1">
      <alignment horizontal="centerContinuous"/>
    </xf>
    <xf numFmtId="165" fontId="12" fillId="12" borderId="38" xfId="1" applyNumberFormat="1" applyFont="1" applyFill="1" applyBorder="1"/>
    <xf numFmtId="3" fontId="12" fillId="12" borderId="38" xfId="1" applyNumberFormat="1" applyFont="1" applyFill="1" applyBorder="1"/>
    <xf numFmtId="3" fontId="12" fillId="12" borderId="64" xfId="1" applyNumberFormat="1" applyFont="1" applyFill="1" applyBorder="1"/>
    <xf numFmtId="3" fontId="6" fillId="12" borderId="43" xfId="1" applyNumberFormat="1" applyFont="1" applyFill="1" applyBorder="1"/>
    <xf numFmtId="3" fontId="10" fillId="12" borderId="37" xfId="1" applyNumberFormat="1" applyFont="1" applyFill="1" applyBorder="1"/>
    <xf numFmtId="3" fontId="10" fillId="12" borderId="62" xfId="1" applyNumberFormat="1" applyFont="1" applyFill="1" applyBorder="1"/>
    <xf numFmtId="3" fontId="8" fillId="10" borderId="65" xfId="1" quotePrefix="1" applyNumberFormat="1" applyFont="1" applyFill="1" applyBorder="1" applyAlignment="1">
      <alignment horizontal="centerContinuous"/>
    </xf>
    <xf numFmtId="3" fontId="12" fillId="10" borderId="66" xfId="1" applyNumberFormat="1" applyFont="1" applyFill="1" applyBorder="1"/>
    <xf numFmtId="165" fontId="12" fillId="10" borderId="67" xfId="1" applyNumberFormat="1" applyFont="1" applyFill="1" applyBorder="1"/>
    <xf numFmtId="3" fontId="12" fillId="10" borderId="67" xfId="1" applyNumberFormat="1" applyFont="1" applyFill="1" applyBorder="1"/>
    <xf numFmtId="3" fontId="12" fillId="10" borderId="68" xfId="1" applyNumberFormat="1" applyFont="1" applyFill="1" applyBorder="1"/>
    <xf numFmtId="3" fontId="12" fillId="10" borderId="69" xfId="1" applyNumberFormat="1" applyFont="1" applyFill="1" applyBorder="1"/>
    <xf numFmtId="3" fontId="8" fillId="16" borderId="2" xfId="1" quotePrefix="1" applyNumberFormat="1" applyFont="1" applyFill="1" applyBorder="1" applyAlignment="1">
      <alignment horizontal="centerContinuous"/>
    </xf>
    <xf numFmtId="3" fontId="12" fillId="16" borderId="2" xfId="1" applyNumberFormat="1" applyFont="1" applyFill="1" applyBorder="1"/>
    <xf numFmtId="165" fontId="12" fillId="16" borderId="2" xfId="1" applyNumberFormat="1" applyFont="1" applyFill="1" applyBorder="1"/>
    <xf numFmtId="3" fontId="6" fillId="16" borderId="2" xfId="1" applyNumberFormat="1" applyFont="1" applyFill="1" applyBorder="1"/>
    <xf numFmtId="3" fontId="12" fillId="16" borderId="0" xfId="1" applyNumberFormat="1" applyFont="1" applyFill="1" applyBorder="1"/>
    <xf numFmtId="3" fontId="11" fillId="16" borderId="0" xfId="1" applyNumberFormat="1" applyFont="1" applyFill="1" applyBorder="1"/>
    <xf numFmtId="3" fontId="6" fillId="0" borderId="41" xfId="1" applyNumberFormat="1" applyFont="1" applyBorder="1"/>
    <xf numFmtId="3" fontId="6" fillId="0" borderId="42" xfId="1" applyNumberFormat="1" applyFont="1" applyBorder="1" applyAlignment="1">
      <alignment horizontal="left"/>
    </xf>
    <xf numFmtId="165" fontId="6" fillId="0" borderId="45" xfId="1" applyNumberFormat="1" applyFont="1" applyBorder="1"/>
    <xf numFmtId="3" fontId="6" fillId="0" borderId="42" xfId="1" applyNumberFormat="1" applyFont="1" applyBorder="1"/>
    <xf numFmtId="3" fontId="6" fillId="0" borderId="45" xfId="1" applyNumberFormat="1" applyFont="1" applyBorder="1"/>
    <xf numFmtId="3" fontId="6" fillId="0" borderId="43" xfId="1" applyNumberFormat="1" applyFont="1" applyBorder="1"/>
    <xf numFmtId="3" fontId="6" fillId="0" borderId="70" xfId="1" applyNumberFormat="1" applyFont="1" applyBorder="1"/>
    <xf numFmtId="3" fontId="6" fillId="0" borderId="42" xfId="1" applyNumberFormat="1" applyFont="1" applyFill="1" applyBorder="1"/>
    <xf numFmtId="3" fontId="6" fillId="0" borderId="45" xfId="1" applyNumberFormat="1" applyFont="1" applyFill="1" applyBorder="1"/>
    <xf numFmtId="3" fontId="6" fillId="2" borderId="43" xfId="1" applyNumberFormat="1" applyFont="1" applyFill="1" applyBorder="1"/>
    <xf numFmtId="3" fontId="6" fillId="11" borderId="41" xfId="1" applyNumberFormat="1" applyFont="1" applyFill="1" applyBorder="1"/>
    <xf numFmtId="3" fontId="6" fillId="0" borderId="3" xfId="1" applyNumberFormat="1" applyFont="1" applyBorder="1"/>
    <xf numFmtId="3" fontId="5" fillId="0" borderId="0" xfId="1" applyNumberFormat="1" applyFont="1" applyBorder="1"/>
    <xf numFmtId="3" fontId="1" fillId="0" borderId="0" xfId="1" applyNumberFormat="1" applyFont="1" applyBorder="1"/>
    <xf numFmtId="3" fontId="8" fillId="0" borderId="46" xfId="1" quotePrefix="1" applyNumberFormat="1" applyFont="1" applyBorder="1" applyAlignment="1">
      <alignment horizontal="centerContinuous"/>
    </xf>
    <xf numFmtId="3" fontId="8" fillId="0" borderId="48" xfId="1" applyNumberFormat="1" applyFont="1" applyBorder="1"/>
    <xf numFmtId="165" fontId="14" fillId="0" borderId="47" xfId="1" applyNumberFormat="1" applyFont="1" applyBorder="1"/>
    <xf numFmtId="3" fontId="14" fillId="0" borderId="47" xfId="1" applyNumberFormat="1" applyFont="1" applyBorder="1"/>
    <xf numFmtId="3" fontId="15" fillId="0" borderId="47" xfId="1" applyNumberFormat="1" applyFont="1" applyBorder="1"/>
    <xf numFmtId="3" fontId="14" fillId="0" borderId="49" xfId="1" applyNumberFormat="1" applyFont="1" applyBorder="1"/>
    <xf numFmtId="3" fontId="14" fillId="0" borderId="50" xfId="1" applyNumberFormat="1" applyFont="1" applyBorder="1"/>
    <xf numFmtId="3" fontId="14" fillId="0" borderId="51" xfId="1" applyNumberFormat="1" applyFont="1" applyBorder="1"/>
    <xf numFmtId="3" fontId="16" fillId="0" borderId="47" xfId="1" applyNumberFormat="1" applyFont="1" applyBorder="1"/>
    <xf numFmtId="3" fontId="14" fillId="0" borderId="47" xfId="1" applyNumberFormat="1" applyFont="1" applyFill="1" applyBorder="1"/>
    <xf numFmtId="3" fontId="14" fillId="0" borderId="49" xfId="1" applyNumberFormat="1" applyFont="1" applyFill="1" applyBorder="1"/>
    <xf numFmtId="3" fontId="15" fillId="2" borderId="50" xfId="1" applyNumberFormat="1" applyFont="1" applyFill="1" applyBorder="1"/>
    <xf numFmtId="3" fontId="8" fillId="0" borderId="52" xfId="1" quotePrefix="1" applyNumberFormat="1" applyFont="1" applyBorder="1" applyAlignment="1">
      <alignment horizontal="centerContinuous"/>
    </xf>
    <xf numFmtId="165" fontId="14" fillId="16" borderId="47" xfId="1" applyNumberFormat="1" applyFont="1" applyFill="1" applyBorder="1"/>
    <xf numFmtId="3" fontId="14" fillId="16" borderId="47" xfId="1" applyNumberFormat="1" applyFont="1" applyFill="1" applyBorder="1"/>
    <xf numFmtId="3" fontId="15" fillId="16" borderId="47" xfId="1" applyNumberFormat="1" applyFont="1" applyFill="1" applyBorder="1"/>
    <xf numFmtId="3" fontId="14" fillId="16" borderId="49" xfId="1" applyNumberFormat="1" applyFont="1" applyFill="1" applyBorder="1"/>
    <xf numFmtId="3" fontId="14" fillId="16" borderId="51" xfId="1" applyNumberFormat="1" applyFont="1" applyFill="1" applyBorder="1"/>
    <xf numFmtId="3" fontId="8" fillId="16" borderId="0" xfId="1" applyNumberFormat="1" applyFont="1" applyFill="1"/>
    <xf numFmtId="3" fontId="10" fillId="16" borderId="47" xfId="1" applyNumberFormat="1" applyFont="1" applyFill="1" applyBorder="1"/>
    <xf numFmtId="3" fontId="6" fillId="16" borderId="50" xfId="1" applyNumberFormat="1" applyFont="1" applyFill="1" applyBorder="1"/>
    <xf numFmtId="3" fontId="6" fillId="16" borderId="53" xfId="1" applyNumberFormat="1" applyFont="1" applyFill="1" applyBorder="1"/>
    <xf numFmtId="165" fontId="10" fillId="19" borderId="47" xfId="1" applyNumberFormat="1" applyFont="1" applyFill="1" applyBorder="1"/>
    <xf numFmtId="3" fontId="14" fillId="19" borderId="47" xfId="1" applyNumberFormat="1" applyFont="1" applyFill="1" applyBorder="1"/>
    <xf numFmtId="3" fontId="10" fillId="19" borderId="47" xfId="1" applyNumberFormat="1" applyFont="1" applyFill="1" applyBorder="1"/>
    <xf numFmtId="3" fontId="15" fillId="19" borderId="47" xfId="1" applyNumberFormat="1" applyFont="1" applyFill="1" applyBorder="1"/>
    <xf numFmtId="3" fontId="16" fillId="19" borderId="47" xfId="1" applyNumberFormat="1" applyFont="1" applyFill="1" applyBorder="1"/>
    <xf numFmtId="3" fontId="16" fillId="19" borderId="50" xfId="1" applyNumberFormat="1" applyFont="1" applyFill="1" applyBorder="1"/>
    <xf numFmtId="3" fontId="13" fillId="19" borderId="51" xfId="1" applyNumberFormat="1" applyFont="1" applyFill="1" applyBorder="1"/>
    <xf numFmtId="3" fontId="16" fillId="19" borderId="49" xfId="1" applyNumberFormat="1" applyFont="1" applyFill="1" applyBorder="1"/>
    <xf numFmtId="3" fontId="11" fillId="12" borderId="20" xfId="1" applyNumberFormat="1" applyFont="1" applyFill="1" applyBorder="1"/>
    <xf numFmtId="3" fontId="6" fillId="12" borderId="26" xfId="1" applyNumberFormat="1" applyFont="1" applyFill="1" applyBorder="1"/>
    <xf numFmtId="3" fontId="8" fillId="0" borderId="19" xfId="1" quotePrefix="1" applyNumberFormat="1" applyFont="1" applyBorder="1" applyAlignment="1">
      <alignment horizontal="centerContinuous"/>
    </xf>
    <xf numFmtId="3" fontId="8" fillId="0" borderId="20" xfId="1" applyNumberFormat="1" applyFont="1" applyBorder="1"/>
    <xf numFmtId="165" fontId="14" fillId="0" borderId="20" xfId="1" applyNumberFormat="1" applyFont="1" applyBorder="1"/>
    <xf numFmtId="3" fontId="14" fillId="0" borderId="20" xfId="1" applyNumberFormat="1" applyFont="1" applyBorder="1"/>
    <xf numFmtId="3" fontId="15" fillId="0" borderId="20" xfId="1" applyNumberFormat="1" applyFont="1" applyBorder="1"/>
    <xf numFmtId="3" fontId="14" fillId="0" borderId="26" xfId="1" applyNumberFormat="1" applyFont="1" applyBorder="1"/>
    <xf numFmtId="3" fontId="14" fillId="0" borderId="21" xfId="1" applyNumberFormat="1" applyFont="1" applyBorder="1"/>
    <xf numFmtId="3" fontId="10" fillId="0" borderId="0" xfId="1" applyNumberFormat="1" applyFont="1" applyBorder="1"/>
    <xf numFmtId="3" fontId="6" fillId="12" borderId="37" xfId="1" applyNumberFormat="1" applyFont="1" applyFill="1" applyBorder="1" applyAlignment="1">
      <alignment horizontal="left"/>
    </xf>
    <xf numFmtId="3" fontId="15" fillId="12" borderId="64" xfId="1" applyNumberFormat="1" applyFont="1" applyFill="1" applyBorder="1"/>
    <xf numFmtId="3" fontId="12" fillId="12" borderId="63" xfId="1" applyNumberFormat="1" applyFont="1" applyFill="1" applyBorder="1"/>
    <xf numFmtId="3" fontId="8" fillId="0" borderId="63" xfId="1" quotePrefix="1" applyNumberFormat="1" applyFont="1" applyBorder="1" applyAlignment="1">
      <alignment horizontal="centerContinuous"/>
    </xf>
    <xf numFmtId="3" fontId="10" fillId="0" borderId="63" xfId="1" applyNumberFormat="1" applyFont="1" applyBorder="1" applyAlignment="1">
      <alignment horizontal="left"/>
    </xf>
    <xf numFmtId="165" fontId="6" fillId="0" borderId="63" xfId="1" applyNumberFormat="1" applyFont="1" applyBorder="1"/>
    <xf numFmtId="3" fontId="6" fillId="0" borderId="63" xfId="1" applyNumberFormat="1" applyFont="1" applyFill="1" applyBorder="1"/>
    <xf numFmtId="3" fontId="17" fillId="12" borderId="37" xfId="1" applyNumberFormat="1" applyFont="1" applyFill="1" applyBorder="1" applyAlignment="1">
      <alignment horizontal="left"/>
    </xf>
    <xf numFmtId="165" fontId="6" fillId="12" borderId="37" xfId="1" applyNumberFormat="1" applyFont="1" applyFill="1" applyBorder="1"/>
    <xf numFmtId="3" fontId="6" fillId="12" borderId="37" xfId="1" applyNumberFormat="1" applyFont="1" applyFill="1" applyBorder="1"/>
    <xf numFmtId="3" fontId="6" fillId="12" borderId="38" xfId="1" applyNumberFormat="1" applyFont="1" applyFill="1" applyBorder="1"/>
    <xf numFmtId="3" fontId="6" fillId="12" borderId="39" xfId="1" applyNumberFormat="1" applyFont="1" applyFill="1" applyBorder="1"/>
    <xf numFmtId="3" fontId="6" fillId="12" borderId="64" xfId="1" applyNumberFormat="1" applyFont="1" applyFill="1" applyBorder="1"/>
    <xf numFmtId="3" fontId="6" fillId="12" borderId="61" xfId="1" applyNumberFormat="1" applyFont="1" applyFill="1" applyBorder="1"/>
    <xf numFmtId="3" fontId="6" fillId="12" borderId="62" xfId="1" applyNumberFormat="1" applyFont="1" applyFill="1" applyBorder="1"/>
    <xf numFmtId="3" fontId="17" fillId="10" borderId="37" xfId="1" applyNumberFormat="1" applyFont="1" applyFill="1" applyBorder="1" applyAlignment="1">
      <alignment horizontal="left"/>
    </xf>
    <xf numFmtId="3" fontId="6" fillId="10" borderId="64" xfId="1" applyNumberFormat="1" applyFont="1" applyFill="1" applyBorder="1"/>
    <xf numFmtId="3" fontId="3" fillId="0" borderId="0" xfId="1" applyNumberFormat="1" applyFont="1" applyBorder="1" applyAlignment="1">
      <alignment horizontal="center"/>
    </xf>
    <xf numFmtId="165" fontId="1" fillId="0" borderId="0" xfId="1" applyNumberFormat="1" applyFont="1"/>
    <xf numFmtId="3" fontId="18" fillId="0" borderId="0" xfId="1" applyNumberFormat="1" applyFont="1" applyBorder="1" applyAlignment="1">
      <alignment horizontal="center"/>
    </xf>
    <xf numFmtId="3" fontId="19" fillId="0" borderId="0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center"/>
    </xf>
    <xf numFmtId="3" fontId="8" fillId="0" borderId="0" xfId="2" applyNumberFormat="1" applyFont="1"/>
    <xf numFmtId="3" fontId="20" fillId="20" borderId="61" xfId="1" applyNumberFormat="1" applyFont="1" applyFill="1" applyBorder="1"/>
    <xf numFmtId="3" fontId="3" fillId="20" borderId="63" xfId="1" applyNumberFormat="1" applyFont="1" applyFill="1" applyBorder="1" applyAlignment="1">
      <alignment horizontal="center"/>
    </xf>
    <xf numFmtId="165" fontId="5" fillId="20" borderId="37" xfId="1" applyNumberFormat="1" applyFont="1" applyFill="1" applyBorder="1"/>
    <xf numFmtId="3" fontId="18" fillId="20" borderId="37" xfId="1" applyNumberFormat="1" applyFont="1" applyFill="1" applyBorder="1" applyAlignment="1">
      <alignment horizontal="center"/>
    </xf>
    <xf numFmtId="3" fontId="6" fillId="21" borderId="37" xfId="1" applyNumberFormat="1" applyFont="1" applyFill="1" applyBorder="1" applyAlignment="1">
      <alignment horizontal="center"/>
    </xf>
    <xf numFmtId="3" fontId="18" fillId="13" borderId="37" xfId="1" applyNumberFormat="1" applyFont="1" applyFill="1" applyBorder="1" applyAlignment="1">
      <alignment horizontal="center"/>
    </xf>
    <xf numFmtId="3" fontId="6" fillId="20" borderId="37" xfId="1" applyNumberFormat="1" applyFont="1" applyFill="1" applyBorder="1" applyAlignment="1">
      <alignment horizontal="center"/>
    </xf>
    <xf numFmtId="3" fontId="6" fillId="20" borderId="38" xfId="1" applyNumberFormat="1" applyFont="1" applyFill="1" applyBorder="1" applyAlignment="1">
      <alignment horizontal="center"/>
    </xf>
    <xf numFmtId="3" fontId="6" fillId="20" borderId="39" xfId="1" applyNumberFormat="1" applyFont="1" applyFill="1" applyBorder="1" applyAlignment="1">
      <alignment horizontal="center"/>
    </xf>
    <xf numFmtId="3" fontId="6" fillId="20" borderId="64" xfId="1" applyNumberFormat="1" applyFont="1" applyFill="1" applyBorder="1" applyAlignment="1">
      <alignment horizontal="center"/>
    </xf>
    <xf numFmtId="3" fontId="12" fillId="20" borderId="36" xfId="1" applyNumberFormat="1" applyFont="1" applyFill="1" applyBorder="1" applyAlignment="1">
      <alignment horizontal="center"/>
    </xf>
    <xf numFmtId="3" fontId="12" fillId="20" borderId="37" xfId="1" applyNumberFormat="1" applyFont="1" applyFill="1" applyBorder="1" applyAlignment="1">
      <alignment horizontal="center"/>
    </xf>
    <xf numFmtId="3" fontId="12" fillId="20" borderId="38" xfId="1" applyNumberFormat="1" applyFont="1" applyFill="1" applyBorder="1" applyAlignment="1">
      <alignment horizontal="center"/>
    </xf>
    <xf numFmtId="3" fontId="12" fillId="20" borderId="39" xfId="1" applyNumberFormat="1" applyFont="1" applyFill="1" applyBorder="1" applyAlignment="1">
      <alignment horizontal="center"/>
    </xf>
    <xf numFmtId="3" fontId="20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/>
    <xf numFmtId="3" fontId="18" fillId="0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/>
    <xf numFmtId="3" fontId="8" fillId="0" borderId="0" xfId="2" applyNumberFormat="1" applyFont="1" applyFill="1"/>
    <xf numFmtId="3" fontId="12" fillId="0" borderId="0" xfId="1" applyNumberFormat="1" applyFont="1" applyFill="1" applyBorder="1" applyAlignment="1">
      <alignment horizontal="center"/>
    </xf>
    <xf numFmtId="3" fontId="20" fillId="0" borderId="0" xfId="1" applyNumberFormat="1" applyFont="1"/>
    <xf numFmtId="3" fontId="21" fillId="0" borderId="0" xfId="1" applyNumberFormat="1" applyFont="1"/>
    <xf numFmtId="3" fontId="6" fillId="3" borderId="1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center"/>
    </xf>
    <xf numFmtId="3" fontId="6" fillId="3" borderId="3" xfId="1" applyNumberFormat="1" applyFont="1" applyFill="1" applyBorder="1" applyAlignment="1">
      <alignment horizontal="center"/>
    </xf>
    <xf numFmtId="3" fontId="6" fillId="3" borderId="15" xfId="1" applyNumberFormat="1" applyFont="1" applyFill="1" applyBorder="1" applyAlignment="1">
      <alignment horizontal="center"/>
    </xf>
    <xf numFmtId="3" fontId="6" fillId="3" borderId="16" xfId="1" applyNumberFormat="1" applyFont="1" applyFill="1" applyBorder="1" applyAlignment="1">
      <alignment horizontal="center"/>
    </xf>
    <xf numFmtId="3" fontId="6" fillId="3" borderId="17" xfId="1" applyNumberFormat="1" applyFont="1" applyFill="1" applyBorder="1" applyAlignment="1">
      <alignment horizontal="center"/>
    </xf>
    <xf numFmtId="3" fontId="7" fillId="4" borderId="8" xfId="1" applyNumberFormat="1" applyFont="1" applyFill="1" applyBorder="1" applyAlignment="1">
      <alignment horizontal="center" vertical="center" wrapText="1"/>
    </xf>
    <xf numFmtId="3" fontId="7" fillId="4" borderId="14" xfId="1" applyNumberFormat="1" applyFont="1" applyFill="1" applyBorder="1" applyAlignment="1">
      <alignment horizontal="center" vertical="center" wrapText="1"/>
    </xf>
    <xf numFmtId="3" fontId="7" fillId="4" borderId="3" xfId="1" applyNumberFormat="1" applyFont="1" applyFill="1" applyBorder="1" applyAlignment="1">
      <alignment horizontal="center" vertical="center" wrapText="1"/>
    </xf>
    <xf numFmtId="3" fontId="7" fillId="4" borderId="18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center"/>
    </xf>
    <xf numFmtId="3" fontId="8" fillId="7" borderId="23" xfId="1" applyNumberFormat="1" applyFont="1" applyFill="1" applyBorder="1" applyAlignment="1">
      <alignment horizontal="center" vertical="center" wrapText="1"/>
    </xf>
    <xf numFmtId="3" fontId="8" fillId="7" borderId="20" xfId="1" applyNumberFormat="1" applyFont="1" applyFill="1" applyBorder="1" applyAlignment="1">
      <alignment horizontal="center" vertical="center" wrapText="1"/>
    </xf>
    <xf numFmtId="3" fontId="8" fillId="7" borderId="30" xfId="1" applyNumberFormat="1" applyFont="1" applyFill="1" applyBorder="1" applyAlignment="1">
      <alignment horizontal="center" vertical="center" wrapText="1"/>
    </xf>
    <xf numFmtId="3" fontId="8" fillId="0" borderId="24" xfId="1" applyNumberFormat="1" applyFont="1" applyBorder="1" applyAlignment="1">
      <alignment horizontal="center" vertical="center" wrapText="1"/>
    </xf>
    <xf numFmtId="3" fontId="8" fillId="0" borderId="26" xfId="1" applyNumberFormat="1" applyFont="1" applyBorder="1" applyAlignment="1">
      <alignment horizontal="center" vertical="center" wrapText="1"/>
    </xf>
    <xf numFmtId="3" fontId="8" fillId="0" borderId="31" xfId="1" applyNumberFormat="1" applyFont="1" applyBorder="1" applyAlignment="1">
      <alignment horizontal="center" vertical="center" wrapText="1"/>
    </xf>
    <xf numFmtId="3" fontId="8" fillId="4" borderId="20" xfId="1" applyNumberFormat="1" applyFont="1" applyFill="1" applyBorder="1" applyAlignment="1">
      <alignment horizontal="center" vertical="top" wrapText="1"/>
    </xf>
    <xf numFmtId="3" fontId="8" fillId="4" borderId="30" xfId="1" applyNumberFormat="1" applyFont="1" applyFill="1" applyBorder="1" applyAlignment="1">
      <alignment horizontal="center" vertical="top" wrapText="1"/>
    </xf>
    <xf numFmtId="3" fontId="7" fillId="6" borderId="20" xfId="1" applyNumberFormat="1" applyFont="1" applyFill="1" applyBorder="1" applyAlignment="1">
      <alignment horizontal="center" vertical="top" wrapText="1"/>
    </xf>
    <xf numFmtId="3" fontId="7" fillId="6" borderId="30" xfId="1" applyNumberFormat="1" applyFont="1" applyFill="1" applyBorder="1" applyAlignment="1">
      <alignment horizontal="center" vertical="top" wrapText="1"/>
    </xf>
    <xf numFmtId="3" fontId="2" fillId="2" borderId="1" xfId="1" quotePrefix="1" applyNumberFormat="1" applyFont="1" applyFill="1" applyBorder="1" applyAlignment="1">
      <alignment horizontal="center" vertical="center"/>
    </xf>
    <xf numFmtId="3" fontId="2" fillId="2" borderId="2" xfId="1" quotePrefix="1" applyNumberFormat="1" applyFont="1" applyFill="1" applyBorder="1" applyAlignment="1">
      <alignment horizontal="center" vertical="center"/>
    </xf>
    <xf numFmtId="3" fontId="2" fillId="2" borderId="3" xfId="1" quotePrefix="1" applyNumberFormat="1" applyFont="1" applyFill="1" applyBorder="1" applyAlignment="1">
      <alignment horizontal="center" vertical="center"/>
    </xf>
    <xf numFmtId="3" fontId="3" fillId="3" borderId="4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</cellXfs>
  <cellStyles count="3">
    <cellStyle name="Normál" xfId="0" builtinId="0"/>
    <cellStyle name="Normál 2" xfId="1"/>
    <cellStyle name="Százalék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AF71"/>
  <sheetViews>
    <sheetView tabSelected="1" view="pageBreakPreview" topLeftCell="C12" zoomScaleNormal="100" zoomScaleSheetLayoutView="100" workbookViewId="0">
      <selection activeCell="M66" sqref="M66"/>
    </sheetView>
  </sheetViews>
  <sheetFormatPr defaultRowHeight="12.75" x14ac:dyDescent="0.2"/>
  <cols>
    <col min="1" max="1" width="3.28515625" style="71" customWidth="1"/>
    <col min="2" max="2" width="24.5703125" style="71" customWidth="1"/>
    <col min="3" max="3" width="7.42578125" style="71" customWidth="1"/>
    <col min="4" max="4" width="8.7109375" style="71" customWidth="1"/>
    <col min="5" max="6" width="8.140625" style="71" customWidth="1"/>
    <col min="7" max="7" width="7.85546875" style="71" customWidth="1"/>
    <col min="8" max="8" width="8.5703125" style="71" customWidth="1"/>
    <col min="9" max="10" width="8.28515625" style="71" customWidth="1"/>
    <col min="11" max="12" width="8.140625" style="71" customWidth="1"/>
    <col min="13" max="13" width="6.85546875" style="71" customWidth="1"/>
    <col min="14" max="14" width="9.5703125" style="71" customWidth="1"/>
    <col min="15" max="15" width="7.85546875" style="71" customWidth="1"/>
    <col min="16" max="16" width="8.42578125" style="71" customWidth="1"/>
    <col min="17" max="17" width="7.85546875" style="71" customWidth="1"/>
    <col min="18" max="18" width="8.140625" style="71" customWidth="1"/>
    <col min="19" max="19" width="8.28515625" style="71" customWidth="1"/>
    <col min="20" max="20" width="8.140625" style="71" customWidth="1"/>
    <col min="21" max="21" width="8.42578125" style="71" customWidth="1"/>
    <col min="22" max="22" width="10" style="71" customWidth="1"/>
    <col min="23" max="23" width="3.5703125" style="71" hidden="1" customWidth="1"/>
    <col min="24" max="24" width="1.85546875" style="71" hidden="1" customWidth="1"/>
    <col min="25" max="25" width="12.85546875" style="71" hidden="1" customWidth="1"/>
    <col min="26" max="26" width="12.42578125" style="71" hidden="1" customWidth="1"/>
    <col min="27" max="27" width="11.42578125" style="71" hidden="1" customWidth="1"/>
    <col min="28" max="28" width="11" style="71" hidden="1" customWidth="1"/>
    <col min="29" max="29" width="11.5703125" style="71" hidden="1" customWidth="1"/>
    <col min="30" max="30" width="9.5703125" style="71" hidden="1" customWidth="1"/>
    <col min="31" max="31" width="13" style="71" hidden="1" customWidth="1"/>
    <col min="32" max="16384" width="9.140625" style="71"/>
  </cols>
  <sheetData>
    <row r="1" spans="1:32" s="1" customFormat="1" ht="36.75" customHeight="1" thickBot="1" x14ac:dyDescent="0.25">
      <c r="A1" s="357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9"/>
    </row>
    <row r="2" spans="1:32" s="1" customFormat="1" ht="39.75" customHeight="1" thickBot="1" x14ac:dyDescent="0.3">
      <c r="A2" s="360" t="s">
        <v>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O2" s="363" t="s">
        <v>2</v>
      </c>
      <c r="P2" s="361"/>
      <c r="Q2" s="361"/>
      <c r="R2" s="361"/>
      <c r="S2" s="361"/>
      <c r="T2" s="361"/>
      <c r="U2" s="361"/>
      <c r="V2" s="2" t="s">
        <v>3</v>
      </c>
      <c r="W2" s="3"/>
      <c r="X2" s="4"/>
      <c r="Y2" s="334" t="s">
        <v>4</v>
      </c>
      <c r="Z2" s="335"/>
      <c r="AA2" s="335"/>
      <c r="AB2" s="335"/>
      <c r="AC2" s="336"/>
      <c r="AD2" s="340" t="s">
        <v>5</v>
      </c>
      <c r="AE2" s="342" t="s">
        <v>6</v>
      </c>
    </row>
    <row r="3" spans="1:32" s="12" customFormat="1" ht="12.75" customHeight="1" thickBot="1" x14ac:dyDescent="0.3">
      <c r="A3" s="5"/>
      <c r="B3" s="6"/>
      <c r="C3" s="7" t="s">
        <v>7</v>
      </c>
      <c r="D3" s="344" t="s">
        <v>8</v>
      </c>
      <c r="E3" s="345"/>
      <c r="F3" s="345"/>
      <c r="G3" s="345"/>
      <c r="H3" s="345"/>
      <c r="I3" s="345"/>
      <c r="J3" s="345"/>
      <c r="K3" s="345"/>
      <c r="L3" s="345"/>
      <c r="M3" s="345"/>
      <c r="N3" s="8" t="s">
        <v>9</v>
      </c>
      <c r="O3" s="346" t="s">
        <v>10</v>
      </c>
      <c r="P3" s="346"/>
      <c r="Q3" s="346"/>
      <c r="R3" s="346"/>
      <c r="S3" s="346"/>
      <c r="T3" s="346"/>
      <c r="U3" s="346"/>
      <c r="V3" s="9" t="s">
        <v>11</v>
      </c>
      <c r="W3" s="10"/>
      <c r="X3" s="11"/>
      <c r="Y3" s="337"/>
      <c r="Z3" s="338"/>
      <c r="AA3" s="338"/>
      <c r="AB3" s="338"/>
      <c r="AC3" s="339"/>
      <c r="AD3" s="341"/>
      <c r="AE3" s="343"/>
    </row>
    <row r="4" spans="1:32" s="12" customFormat="1" ht="24" customHeight="1" x14ac:dyDescent="0.2">
      <c r="A4" s="13"/>
      <c r="B4" s="14"/>
      <c r="C4" s="15" t="s">
        <v>12</v>
      </c>
      <c r="D4" s="16" t="s">
        <v>13</v>
      </c>
      <c r="E4" s="17" t="s">
        <v>14</v>
      </c>
      <c r="F4" s="18" t="s">
        <v>15</v>
      </c>
      <c r="G4" s="347" t="s">
        <v>16</v>
      </c>
      <c r="H4" s="16" t="s">
        <v>17</v>
      </c>
      <c r="I4" s="16" t="s">
        <v>18</v>
      </c>
      <c r="J4" s="16" t="s">
        <v>19</v>
      </c>
      <c r="K4" s="19" t="s">
        <v>20</v>
      </c>
      <c r="L4" s="20" t="s">
        <v>21</v>
      </c>
      <c r="M4" s="350" t="s">
        <v>22</v>
      </c>
      <c r="N4" s="21" t="s">
        <v>23</v>
      </c>
      <c r="O4" s="22"/>
      <c r="P4" s="23" t="s">
        <v>24</v>
      </c>
      <c r="Q4" s="16" t="s">
        <v>25</v>
      </c>
      <c r="R4" s="17" t="s">
        <v>25</v>
      </c>
      <c r="S4" s="16" t="s">
        <v>26</v>
      </c>
      <c r="T4" s="24" t="s">
        <v>27</v>
      </c>
      <c r="U4" s="24"/>
      <c r="V4" s="9" t="s">
        <v>28</v>
      </c>
      <c r="W4" s="10"/>
      <c r="X4" s="25"/>
      <c r="Y4" s="26" t="s">
        <v>29</v>
      </c>
      <c r="Z4" s="27" t="s">
        <v>30</v>
      </c>
      <c r="AA4" s="27" t="s">
        <v>31</v>
      </c>
      <c r="AB4" s="28" t="s">
        <v>32</v>
      </c>
      <c r="AC4" s="29" t="s">
        <v>33</v>
      </c>
      <c r="AD4" s="341"/>
      <c r="AE4" s="343"/>
    </row>
    <row r="5" spans="1:32" s="12" customFormat="1" ht="14.25" customHeight="1" x14ac:dyDescent="0.2">
      <c r="A5" s="30" t="s">
        <v>34</v>
      </c>
      <c r="B5" s="15" t="s">
        <v>35</v>
      </c>
      <c r="C5" s="15" t="s">
        <v>36</v>
      </c>
      <c r="D5" s="353" t="s">
        <v>37</v>
      </c>
      <c r="E5" s="27" t="s">
        <v>38</v>
      </c>
      <c r="F5" s="355" t="s">
        <v>39</v>
      </c>
      <c r="G5" s="348"/>
      <c r="H5" s="31" t="s">
        <v>40</v>
      </c>
      <c r="I5" s="15" t="s">
        <v>41</v>
      </c>
      <c r="J5" s="15" t="s">
        <v>42</v>
      </c>
      <c r="K5" s="32" t="s">
        <v>43</v>
      </c>
      <c r="L5" s="33" t="s">
        <v>44</v>
      </c>
      <c r="M5" s="351"/>
      <c r="N5" s="34" t="s">
        <v>45</v>
      </c>
      <c r="O5" s="15" t="s">
        <v>46</v>
      </c>
      <c r="P5" s="35"/>
      <c r="Q5" s="36" t="s">
        <v>47</v>
      </c>
      <c r="R5" s="15" t="s">
        <v>48</v>
      </c>
      <c r="S5" s="15" t="s">
        <v>49</v>
      </c>
      <c r="T5" s="37" t="s">
        <v>50</v>
      </c>
      <c r="U5" s="38" t="s">
        <v>45</v>
      </c>
      <c r="V5" s="9"/>
      <c r="W5" s="10"/>
      <c r="X5" s="11"/>
      <c r="Y5" s="26" t="s">
        <v>51</v>
      </c>
      <c r="Z5" s="27" t="s">
        <v>52</v>
      </c>
      <c r="AA5" s="27" t="s">
        <v>53</v>
      </c>
      <c r="AB5" s="28" t="s">
        <v>54</v>
      </c>
      <c r="AC5" s="29" t="s">
        <v>45</v>
      </c>
      <c r="AD5" s="341"/>
      <c r="AE5" s="343"/>
    </row>
    <row r="6" spans="1:32" s="12" customFormat="1" ht="42.75" customHeight="1" x14ac:dyDescent="0.2">
      <c r="A6" s="39"/>
      <c r="B6" s="40"/>
      <c r="C6" s="40" t="s">
        <v>55</v>
      </c>
      <c r="D6" s="354"/>
      <c r="E6" s="41" t="s">
        <v>56</v>
      </c>
      <c r="F6" s="356"/>
      <c r="G6" s="349"/>
      <c r="H6" s="15" t="s">
        <v>57</v>
      </c>
      <c r="I6" s="42" t="s">
        <v>58</v>
      </c>
      <c r="J6" s="43" t="s">
        <v>59</v>
      </c>
      <c r="K6" s="44" t="s">
        <v>60</v>
      </c>
      <c r="L6" s="45" t="s">
        <v>61</v>
      </c>
      <c r="M6" s="352"/>
      <c r="N6" s="46" t="s">
        <v>62</v>
      </c>
      <c r="O6" s="47" t="s">
        <v>63</v>
      </c>
      <c r="P6" s="48" t="s">
        <v>64</v>
      </c>
      <c r="Q6" s="47" t="s">
        <v>65</v>
      </c>
      <c r="R6" s="49" t="s">
        <v>66</v>
      </c>
      <c r="S6" s="47" t="s">
        <v>65</v>
      </c>
      <c r="T6" s="50" t="s">
        <v>67</v>
      </c>
      <c r="U6" s="51" t="s">
        <v>68</v>
      </c>
      <c r="V6" s="52" t="s">
        <v>69</v>
      </c>
      <c r="W6" s="11"/>
      <c r="X6" s="11"/>
      <c r="Y6" s="26"/>
      <c r="Z6" s="53">
        <v>0.19500000000000001</v>
      </c>
      <c r="AA6" s="54" t="s">
        <v>70</v>
      </c>
      <c r="AB6" s="28" t="s">
        <v>71</v>
      </c>
      <c r="AC6" s="29"/>
      <c r="AD6" s="341"/>
      <c r="AE6" s="343"/>
    </row>
    <row r="7" spans="1:32" ht="12" customHeight="1" thickBot="1" x14ac:dyDescent="0.25">
      <c r="A7" s="55">
        <v>1</v>
      </c>
      <c r="B7" s="15">
        <v>2</v>
      </c>
      <c r="C7" s="56">
        <v>3</v>
      </c>
      <c r="D7" s="57">
        <v>4</v>
      </c>
      <c r="E7" s="58">
        <v>5</v>
      </c>
      <c r="F7" s="57">
        <v>8</v>
      </c>
      <c r="G7" s="58">
        <v>6</v>
      </c>
      <c r="H7" s="58">
        <v>7</v>
      </c>
      <c r="I7" s="59">
        <v>9</v>
      </c>
      <c r="J7" s="59">
        <v>10</v>
      </c>
      <c r="K7" s="59">
        <v>11</v>
      </c>
      <c r="L7" s="60">
        <v>12</v>
      </c>
      <c r="M7" s="60">
        <v>13</v>
      </c>
      <c r="N7" s="61">
        <v>14</v>
      </c>
      <c r="O7" s="56">
        <v>15</v>
      </c>
      <c r="P7" s="62">
        <v>16</v>
      </c>
      <c r="Q7" s="62">
        <v>17</v>
      </c>
      <c r="R7" s="62">
        <v>18</v>
      </c>
      <c r="S7" s="62">
        <v>19</v>
      </c>
      <c r="T7" s="63">
        <v>20</v>
      </c>
      <c r="U7" s="64">
        <v>21</v>
      </c>
      <c r="V7" s="65">
        <v>22</v>
      </c>
      <c r="W7" s="11"/>
      <c r="X7" s="11"/>
      <c r="Y7" s="66">
        <v>1</v>
      </c>
      <c r="Z7" s="67">
        <v>2</v>
      </c>
      <c r="AA7" s="67">
        <v>3</v>
      </c>
      <c r="AB7" s="68">
        <v>4</v>
      </c>
      <c r="AC7" s="69">
        <v>5</v>
      </c>
      <c r="AD7" s="70">
        <v>6</v>
      </c>
      <c r="AE7" s="70">
        <v>7</v>
      </c>
    </row>
    <row r="8" spans="1:32" ht="20.25" customHeight="1" thickBot="1" x14ac:dyDescent="0.25">
      <c r="A8" s="72" t="s">
        <v>72</v>
      </c>
      <c r="B8" s="73" t="s">
        <v>73</v>
      </c>
      <c r="C8" s="74">
        <v>150</v>
      </c>
      <c r="D8" s="75">
        <f>H8-F8-E8</f>
        <v>325416</v>
      </c>
      <c r="E8" s="75">
        <v>7658</v>
      </c>
      <c r="F8" s="76">
        <v>22626</v>
      </c>
      <c r="G8" s="75"/>
      <c r="H8" s="75">
        <v>355700</v>
      </c>
      <c r="I8" s="75"/>
      <c r="J8" s="75">
        <v>7771</v>
      </c>
      <c r="K8" s="75">
        <v>74</v>
      </c>
      <c r="L8" s="77">
        <v>24749</v>
      </c>
      <c r="M8" s="77">
        <v>7013</v>
      </c>
      <c r="N8" s="78">
        <f>SUM(H8:M8)</f>
        <v>395307</v>
      </c>
      <c r="O8" s="75">
        <v>5550</v>
      </c>
      <c r="P8" s="75">
        <f>C8*8*12</f>
        <v>14400</v>
      </c>
      <c r="Q8" s="75">
        <v>356</v>
      </c>
      <c r="R8" s="75">
        <v>80</v>
      </c>
      <c r="S8" s="75">
        <f>+(H8-27093-Q8)/22</f>
        <v>14920.5</v>
      </c>
      <c r="T8" s="75">
        <f>C8*60</f>
        <v>9000</v>
      </c>
      <c r="U8" s="79">
        <f>SUM(O8:T8)</f>
        <v>44306.5</v>
      </c>
      <c r="V8" s="80">
        <f>+N8+U8</f>
        <v>439613.5</v>
      </c>
      <c r="W8" s="81"/>
      <c r="X8" s="12"/>
      <c r="Y8" s="82">
        <f>+V8-P8</f>
        <v>425213.5</v>
      </c>
      <c r="Z8" s="75">
        <f>+ROUND(Y8*0.195,0)</f>
        <v>82917</v>
      </c>
      <c r="AA8" s="75">
        <v>0</v>
      </c>
      <c r="AB8" s="77">
        <f>+H8*0.004</f>
        <v>1422.8</v>
      </c>
      <c r="AC8" s="80">
        <f>SUM(Z8:AB8)</f>
        <v>84339.8</v>
      </c>
      <c r="AD8" s="83">
        <f>+P8*0.4071</f>
        <v>5862.2400000000007</v>
      </c>
      <c r="AE8" s="80">
        <v>9315</v>
      </c>
      <c r="AF8" s="84"/>
    </row>
    <row r="9" spans="1:32" ht="19.5" customHeight="1" x14ac:dyDescent="0.2">
      <c r="A9" s="85" t="s">
        <v>74</v>
      </c>
      <c r="B9" s="86" t="s">
        <v>75</v>
      </c>
      <c r="C9" s="87"/>
      <c r="D9" s="88"/>
      <c r="E9" s="89"/>
      <c r="F9" s="90"/>
      <c r="G9" s="89"/>
      <c r="H9" s="89"/>
      <c r="I9" s="91"/>
      <c r="J9" s="91"/>
      <c r="K9" s="91"/>
      <c r="L9" s="92"/>
      <c r="M9" s="92"/>
      <c r="N9" s="93"/>
      <c r="O9" s="94"/>
      <c r="P9" s="95"/>
      <c r="Q9" s="96"/>
      <c r="R9" s="95"/>
      <c r="S9" s="95"/>
      <c r="T9" s="97"/>
      <c r="U9" s="98"/>
      <c r="V9" s="99"/>
      <c r="W9" s="12"/>
      <c r="X9" s="100"/>
      <c r="Y9" s="101"/>
      <c r="Z9" s="88"/>
      <c r="AA9" s="88"/>
      <c r="AB9" s="102"/>
      <c r="AC9" s="103"/>
      <c r="AD9" s="104"/>
      <c r="AE9" s="104"/>
      <c r="AF9" s="84"/>
    </row>
    <row r="10" spans="1:32" ht="12" customHeight="1" x14ac:dyDescent="0.2">
      <c r="A10" s="105" t="s">
        <v>76</v>
      </c>
      <c r="B10" s="106" t="s">
        <v>77</v>
      </c>
      <c r="C10" s="107">
        <v>26</v>
      </c>
      <c r="D10" s="108">
        <f t="shared" ref="D10:D27" si="0">H10-G10-F10-E10</f>
        <v>73347</v>
      </c>
      <c r="E10" s="109">
        <v>452</v>
      </c>
      <c r="F10" s="110">
        <v>2252</v>
      </c>
      <c r="G10" s="111">
        <v>2085</v>
      </c>
      <c r="H10" s="112">
        <v>78136</v>
      </c>
      <c r="I10" s="109"/>
      <c r="J10" s="109">
        <v>1675</v>
      </c>
      <c r="K10" s="109">
        <v>180</v>
      </c>
      <c r="L10" s="113"/>
      <c r="M10" s="113"/>
      <c r="N10" s="114">
        <f>SUM(H10:M10)</f>
        <v>79991</v>
      </c>
      <c r="O10" s="115">
        <v>1827</v>
      </c>
      <c r="P10" s="109">
        <f t="shared" ref="P10:P27" si="1">C10*8*12</f>
        <v>2496</v>
      </c>
      <c r="Q10" s="109">
        <v>329</v>
      </c>
      <c r="R10" s="109">
        <v>80</v>
      </c>
      <c r="S10" s="109">
        <f>+(H10-6265-Q10)/22</f>
        <v>3251.909090909091</v>
      </c>
      <c r="T10" s="109">
        <f t="shared" ref="T10:T27" si="2">C10*60</f>
        <v>1560</v>
      </c>
      <c r="U10" s="113">
        <f t="shared" ref="U10:U35" si="3">SUM(O10:T10)</f>
        <v>9543.9090909090919</v>
      </c>
      <c r="V10" s="116">
        <f t="shared" ref="V10:V33" si="4">+N10+U10</f>
        <v>89534.909090909088</v>
      </c>
      <c r="W10" s="12"/>
      <c r="X10" s="12"/>
      <c r="Y10" s="117">
        <f t="shared" ref="Y10:Y37" si="5">+V10-P10</f>
        <v>87038.909090909088</v>
      </c>
      <c r="Z10" s="109">
        <f t="shared" ref="Z10:Z27" si="6">+ROUND(Y10*0.195,0)</f>
        <v>16973</v>
      </c>
      <c r="AA10" s="109">
        <v>0</v>
      </c>
      <c r="AB10" s="113">
        <f t="shared" ref="AB10:AB37" si="7">+H10*0.004</f>
        <v>312.54399999999998</v>
      </c>
      <c r="AC10" s="118">
        <f t="shared" ref="AC10:AC37" si="8">SUM(Z10:AB10)</f>
        <v>17285.544000000002</v>
      </c>
      <c r="AD10" s="119">
        <f t="shared" ref="AD10:AD27" si="9">+P10*0.4071</f>
        <v>1016.1216000000001</v>
      </c>
      <c r="AE10" s="120">
        <v>1615</v>
      </c>
      <c r="AF10" s="84"/>
    </row>
    <row r="11" spans="1:32" ht="12" customHeight="1" x14ac:dyDescent="0.2">
      <c r="A11" s="105"/>
      <c r="B11" s="106" t="s">
        <v>78</v>
      </c>
      <c r="C11" s="121">
        <v>1.5</v>
      </c>
      <c r="D11" s="122">
        <f t="shared" si="0"/>
        <v>2919</v>
      </c>
      <c r="E11" s="123"/>
      <c r="F11" s="124">
        <v>322</v>
      </c>
      <c r="G11" s="123">
        <v>298</v>
      </c>
      <c r="H11" s="123">
        <v>3539</v>
      </c>
      <c r="I11" s="123"/>
      <c r="J11" s="123">
        <v>58</v>
      </c>
      <c r="K11" s="123"/>
      <c r="L11" s="125"/>
      <c r="M11" s="125"/>
      <c r="N11" s="126">
        <f>SUM(H11:M11)</f>
        <v>3597</v>
      </c>
      <c r="O11" s="127"/>
      <c r="P11" s="123">
        <f t="shared" si="1"/>
        <v>144</v>
      </c>
      <c r="Q11" s="128"/>
      <c r="R11" s="123"/>
      <c r="S11" s="123">
        <f>+(H11-263-Q11)/22</f>
        <v>148.90909090909091</v>
      </c>
      <c r="T11" s="129">
        <f t="shared" si="2"/>
        <v>90</v>
      </c>
      <c r="U11" s="130">
        <f t="shared" si="3"/>
        <v>382.90909090909088</v>
      </c>
      <c r="V11" s="116">
        <f t="shared" si="4"/>
        <v>3979.909090909091</v>
      </c>
      <c r="W11" s="12"/>
      <c r="X11" s="12"/>
      <c r="Y11" s="117">
        <f t="shared" si="5"/>
        <v>3835.909090909091</v>
      </c>
      <c r="Z11" s="123">
        <f t="shared" si="6"/>
        <v>748</v>
      </c>
      <c r="AA11" s="123">
        <v>0</v>
      </c>
      <c r="AB11" s="125">
        <f t="shared" si="7"/>
        <v>14.156000000000001</v>
      </c>
      <c r="AC11" s="131">
        <f t="shared" si="8"/>
        <v>762.15599999999995</v>
      </c>
      <c r="AD11" s="132">
        <f t="shared" si="9"/>
        <v>58.622399999999999</v>
      </c>
      <c r="AE11" s="133">
        <v>93</v>
      </c>
      <c r="AF11" s="84"/>
    </row>
    <row r="12" spans="1:32" ht="12" customHeight="1" x14ac:dyDescent="0.2">
      <c r="A12" s="105" t="s">
        <v>79</v>
      </c>
      <c r="B12" s="106" t="s">
        <v>80</v>
      </c>
      <c r="C12" s="107">
        <v>32</v>
      </c>
      <c r="D12" s="108">
        <f t="shared" si="0"/>
        <v>92213</v>
      </c>
      <c r="E12" s="109">
        <v>904</v>
      </c>
      <c r="F12" s="110">
        <v>2789</v>
      </c>
      <c r="G12" s="111">
        <v>2581</v>
      </c>
      <c r="H12" s="109">
        <f>97491+996</f>
        <v>98487</v>
      </c>
      <c r="I12" s="109"/>
      <c r="J12" s="109">
        <v>2984</v>
      </c>
      <c r="K12" s="109">
        <v>390</v>
      </c>
      <c r="L12" s="113"/>
      <c r="M12" s="113"/>
      <c r="N12" s="114">
        <f>SUM(H12:M12)</f>
        <v>101861</v>
      </c>
      <c r="O12" s="115">
        <v>2393</v>
      </c>
      <c r="P12" s="109">
        <f t="shared" si="1"/>
        <v>3072</v>
      </c>
      <c r="Q12" s="109">
        <v>364</v>
      </c>
      <c r="R12" s="109">
        <v>80</v>
      </c>
      <c r="S12" s="109">
        <f>+(H12-7802-Q12)/22</f>
        <v>4105.5</v>
      </c>
      <c r="T12" s="109">
        <f t="shared" si="2"/>
        <v>1920</v>
      </c>
      <c r="U12" s="113">
        <f t="shared" si="3"/>
        <v>11934.5</v>
      </c>
      <c r="V12" s="116">
        <f t="shared" si="4"/>
        <v>113795.5</v>
      </c>
      <c r="W12" s="12"/>
      <c r="X12" s="12"/>
      <c r="Y12" s="117">
        <f t="shared" si="5"/>
        <v>110723.5</v>
      </c>
      <c r="Z12" s="109">
        <f t="shared" si="6"/>
        <v>21591</v>
      </c>
      <c r="AA12" s="109">
        <v>0</v>
      </c>
      <c r="AB12" s="113">
        <f t="shared" si="7"/>
        <v>393.94800000000004</v>
      </c>
      <c r="AC12" s="118">
        <f t="shared" si="8"/>
        <v>21984.948</v>
      </c>
      <c r="AD12" s="119">
        <f t="shared" si="9"/>
        <v>1250.6112000000001</v>
      </c>
      <c r="AE12" s="120">
        <v>1987</v>
      </c>
      <c r="AF12" s="84"/>
    </row>
    <row r="13" spans="1:32" ht="12" customHeight="1" x14ac:dyDescent="0.2">
      <c r="A13" s="105"/>
      <c r="B13" s="106" t="s">
        <v>78</v>
      </c>
      <c r="C13" s="121">
        <v>6</v>
      </c>
      <c r="D13" s="122">
        <f t="shared" si="0"/>
        <v>14239</v>
      </c>
      <c r="E13" s="123">
        <v>112</v>
      </c>
      <c r="F13" s="124">
        <v>858</v>
      </c>
      <c r="G13" s="123">
        <v>794</v>
      </c>
      <c r="H13" s="123">
        <v>16003</v>
      </c>
      <c r="I13" s="123"/>
      <c r="J13" s="123">
        <v>240</v>
      </c>
      <c r="K13" s="123"/>
      <c r="L13" s="125"/>
      <c r="M13" s="125"/>
      <c r="N13" s="126">
        <f t="shared" ref="N13:N35" si="10">SUM(H13:M13)</f>
        <v>16243</v>
      </c>
      <c r="O13" s="127"/>
      <c r="P13" s="123">
        <f t="shared" si="1"/>
        <v>576</v>
      </c>
      <c r="Q13" s="128"/>
      <c r="R13" s="123"/>
      <c r="S13" s="123">
        <f>+(H13-1249-Q13)/22</f>
        <v>670.63636363636363</v>
      </c>
      <c r="T13" s="129">
        <f t="shared" si="2"/>
        <v>360</v>
      </c>
      <c r="U13" s="130">
        <f t="shared" si="3"/>
        <v>1606.6363636363635</v>
      </c>
      <c r="V13" s="116">
        <f t="shared" si="4"/>
        <v>17849.636363636364</v>
      </c>
      <c r="W13" s="12"/>
      <c r="X13" s="12"/>
      <c r="Y13" s="117">
        <f t="shared" si="5"/>
        <v>17273.636363636364</v>
      </c>
      <c r="Z13" s="123">
        <f t="shared" si="6"/>
        <v>3368</v>
      </c>
      <c r="AA13" s="123">
        <v>0</v>
      </c>
      <c r="AB13" s="125">
        <f t="shared" si="7"/>
        <v>64.012</v>
      </c>
      <c r="AC13" s="131">
        <f t="shared" si="8"/>
        <v>3432.0120000000002</v>
      </c>
      <c r="AD13" s="132">
        <f t="shared" si="9"/>
        <v>234.4896</v>
      </c>
      <c r="AE13" s="133">
        <v>373</v>
      </c>
      <c r="AF13" s="84"/>
    </row>
    <row r="14" spans="1:32" ht="12" customHeight="1" x14ac:dyDescent="0.2">
      <c r="A14" s="105" t="s">
        <v>81</v>
      </c>
      <c r="B14" s="106" t="s">
        <v>82</v>
      </c>
      <c r="C14" s="107">
        <v>23</v>
      </c>
      <c r="D14" s="108">
        <f t="shared" si="0"/>
        <v>64754</v>
      </c>
      <c r="E14" s="109">
        <v>603</v>
      </c>
      <c r="F14" s="110">
        <v>2145</v>
      </c>
      <c r="G14" s="111">
        <v>1986</v>
      </c>
      <c r="H14" s="109">
        <v>69488</v>
      </c>
      <c r="I14" s="109"/>
      <c r="J14" s="109">
        <v>1965</v>
      </c>
      <c r="K14" s="109">
        <v>240</v>
      </c>
      <c r="L14" s="113"/>
      <c r="M14" s="113"/>
      <c r="N14" s="114">
        <f t="shared" si="10"/>
        <v>71693</v>
      </c>
      <c r="O14" s="115"/>
      <c r="P14" s="109">
        <f t="shared" si="1"/>
        <v>2208</v>
      </c>
      <c r="Q14" s="109">
        <v>311</v>
      </c>
      <c r="R14" s="109">
        <v>80</v>
      </c>
      <c r="S14" s="109">
        <f>+(H14-5544-Q14)/22</f>
        <v>2892.409090909091</v>
      </c>
      <c r="T14" s="109">
        <f t="shared" si="2"/>
        <v>1380</v>
      </c>
      <c r="U14" s="113">
        <f t="shared" si="3"/>
        <v>6871.409090909091</v>
      </c>
      <c r="V14" s="116">
        <f t="shared" si="4"/>
        <v>78564.409090909088</v>
      </c>
      <c r="W14" s="12"/>
      <c r="X14" s="12"/>
      <c r="Y14" s="117">
        <f t="shared" si="5"/>
        <v>76356.409090909088</v>
      </c>
      <c r="Z14" s="109">
        <f t="shared" si="6"/>
        <v>14889</v>
      </c>
      <c r="AA14" s="109">
        <v>0</v>
      </c>
      <c r="AB14" s="113">
        <f t="shared" si="7"/>
        <v>277.952</v>
      </c>
      <c r="AC14" s="118">
        <f t="shared" si="8"/>
        <v>15166.951999999999</v>
      </c>
      <c r="AD14" s="119">
        <f t="shared" si="9"/>
        <v>898.8768</v>
      </c>
      <c r="AE14" s="120">
        <v>1429</v>
      </c>
      <c r="AF14" s="84"/>
    </row>
    <row r="15" spans="1:32" ht="12" customHeight="1" x14ac:dyDescent="0.2">
      <c r="A15" s="105"/>
      <c r="B15" s="106" t="s">
        <v>78</v>
      </c>
      <c r="C15" s="121">
        <v>3</v>
      </c>
      <c r="D15" s="122">
        <f t="shared" si="0"/>
        <v>7063</v>
      </c>
      <c r="E15" s="123"/>
      <c r="F15" s="124">
        <v>429</v>
      </c>
      <c r="G15" s="123">
        <v>397</v>
      </c>
      <c r="H15" s="123">
        <v>7889</v>
      </c>
      <c r="I15" s="123"/>
      <c r="J15" s="123"/>
      <c r="K15" s="123"/>
      <c r="L15" s="125"/>
      <c r="M15" s="125"/>
      <c r="N15" s="126">
        <f t="shared" si="10"/>
        <v>7889</v>
      </c>
      <c r="O15" s="127"/>
      <c r="P15" s="123">
        <f t="shared" si="1"/>
        <v>288</v>
      </c>
      <c r="Q15" s="128"/>
      <c r="R15" s="123"/>
      <c r="S15" s="123">
        <f>+(H15-618-Q15)/22</f>
        <v>330.5</v>
      </c>
      <c r="T15" s="129">
        <f t="shared" si="2"/>
        <v>180</v>
      </c>
      <c r="U15" s="130">
        <f t="shared" si="3"/>
        <v>798.5</v>
      </c>
      <c r="V15" s="116">
        <f t="shared" si="4"/>
        <v>8687.5</v>
      </c>
      <c r="W15" s="12"/>
      <c r="X15" s="12"/>
      <c r="Y15" s="117">
        <f t="shared" si="5"/>
        <v>8399.5</v>
      </c>
      <c r="Z15" s="123">
        <f t="shared" si="6"/>
        <v>1638</v>
      </c>
      <c r="AA15" s="123">
        <v>0</v>
      </c>
      <c r="AB15" s="125">
        <f t="shared" si="7"/>
        <v>31.556000000000001</v>
      </c>
      <c r="AC15" s="131">
        <f t="shared" si="8"/>
        <v>1669.556</v>
      </c>
      <c r="AD15" s="132">
        <f t="shared" si="9"/>
        <v>117.2448</v>
      </c>
      <c r="AE15" s="133">
        <v>186</v>
      </c>
      <c r="AF15" s="84"/>
    </row>
    <row r="16" spans="1:32" ht="12" customHeight="1" x14ac:dyDescent="0.2">
      <c r="A16" s="105" t="s">
        <v>83</v>
      </c>
      <c r="B16" s="106" t="s">
        <v>84</v>
      </c>
      <c r="C16" s="107">
        <v>23</v>
      </c>
      <c r="D16" s="108">
        <f t="shared" si="0"/>
        <v>62195</v>
      </c>
      <c r="E16" s="109">
        <v>2378</v>
      </c>
      <c r="F16" s="110">
        <v>2038</v>
      </c>
      <c r="G16" s="111">
        <v>1886</v>
      </c>
      <c r="H16" s="109">
        <v>68497</v>
      </c>
      <c r="I16" s="109"/>
      <c r="J16" s="109">
        <v>1675</v>
      </c>
      <c r="K16" s="109">
        <v>180</v>
      </c>
      <c r="L16" s="113"/>
      <c r="M16" s="113"/>
      <c r="N16" s="114">
        <f t="shared" si="10"/>
        <v>70352</v>
      </c>
      <c r="O16" s="115"/>
      <c r="P16" s="109">
        <f t="shared" si="1"/>
        <v>2208</v>
      </c>
      <c r="Q16" s="109">
        <v>356</v>
      </c>
      <c r="R16" s="109">
        <v>80</v>
      </c>
      <c r="S16" s="109">
        <f>+(H16-5328-Q16)/22</f>
        <v>2855.1363636363635</v>
      </c>
      <c r="T16" s="109">
        <f t="shared" si="2"/>
        <v>1380</v>
      </c>
      <c r="U16" s="113">
        <f t="shared" si="3"/>
        <v>6879.136363636364</v>
      </c>
      <c r="V16" s="116">
        <f t="shared" si="4"/>
        <v>77231.136363636368</v>
      </c>
      <c r="W16" s="12"/>
      <c r="X16" s="12"/>
      <c r="Y16" s="117">
        <f t="shared" si="5"/>
        <v>75023.136363636368</v>
      </c>
      <c r="Z16" s="109">
        <f t="shared" si="6"/>
        <v>14630</v>
      </c>
      <c r="AA16" s="109">
        <v>0</v>
      </c>
      <c r="AB16" s="113">
        <f t="shared" si="7"/>
        <v>273.988</v>
      </c>
      <c r="AC16" s="118">
        <f t="shared" si="8"/>
        <v>14903.987999999999</v>
      </c>
      <c r="AD16" s="119">
        <f t="shared" si="9"/>
        <v>898.8768</v>
      </c>
      <c r="AE16" s="120">
        <v>1428</v>
      </c>
      <c r="AF16" s="84"/>
    </row>
    <row r="17" spans="1:32" ht="12" customHeight="1" x14ac:dyDescent="0.2">
      <c r="A17" s="105"/>
      <c r="B17" s="106" t="s">
        <v>78</v>
      </c>
      <c r="C17" s="121">
        <v>2</v>
      </c>
      <c r="D17" s="122">
        <f t="shared" si="0"/>
        <v>4452</v>
      </c>
      <c r="E17" s="123">
        <v>50</v>
      </c>
      <c r="F17" s="124">
        <v>322</v>
      </c>
      <c r="G17" s="123">
        <v>298</v>
      </c>
      <c r="H17" s="123">
        <v>5122</v>
      </c>
      <c r="I17" s="123"/>
      <c r="J17" s="123"/>
      <c r="K17" s="123"/>
      <c r="L17" s="125"/>
      <c r="M17" s="125"/>
      <c r="N17" s="126">
        <f t="shared" si="10"/>
        <v>5122</v>
      </c>
      <c r="O17" s="127"/>
      <c r="P17" s="123">
        <f t="shared" si="1"/>
        <v>192</v>
      </c>
      <c r="Q17" s="128"/>
      <c r="R17" s="123"/>
      <c r="S17" s="123">
        <f>+(H17-398-Q17)/22</f>
        <v>214.72727272727272</v>
      </c>
      <c r="T17" s="129">
        <f t="shared" si="2"/>
        <v>120</v>
      </c>
      <c r="U17" s="130">
        <f t="shared" si="3"/>
        <v>526.72727272727275</v>
      </c>
      <c r="V17" s="116">
        <f t="shared" si="4"/>
        <v>5648.727272727273</v>
      </c>
      <c r="W17" s="12"/>
      <c r="X17" s="12"/>
      <c r="Y17" s="117">
        <f t="shared" si="5"/>
        <v>5456.727272727273</v>
      </c>
      <c r="Z17" s="123">
        <f t="shared" si="6"/>
        <v>1064</v>
      </c>
      <c r="AA17" s="123">
        <v>0</v>
      </c>
      <c r="AB17" s="125">
        <f t="shared" si="7"/>
        <v>20.488</v>
      </c>
      <c r="AC17" s="131">
        <f t="shared" si="8"/>
        <v>1084.4880000000001</v>
      </c>
      <c r="AD17" s="132">
        <f t="shared" si="9"/>
        <v>78.163200000000003</v>
      </c>
      <c r="AE17" s="133">
        <v>124</v>
      </c>
      <c r="AF17" s="84"/>
    </row>
    <row r="18" spans="1:32" ht="12" customHeight="1" x14ac:dyDescent="0.2">
      <c r="A18" s="105" t="s">
        <v>85</v>
      </c>
      <c r="B18" s="106" t="s">
        <v>86</v>
      </c>
      <c r="C18" s="107">
        <v>45</v>
      </c>
      <c r="D18" s="108">
        <f t="shared" si="0"/>
        <v>133569</v>
      </c>
      <c r="E18" s="109">
        <v>904</v>
      </c>
      <c r="F18" s="110">
        <v>4290</v>
      </c>
      <c r="G18" s="111">
        <v>3971</v>
      </c>
      <c r="H18" s="109">
        <v>142734</v>
      </c>
      <c r="I18" s="109"/>
      <c r="J18" s="109">
        <v>3101</v>
      </c>
      <c r="K18" s="109">
        <v>408</v>
      </c>
      <c r="L18" s="113"/>
      <c r="M18" s="113"/>
      <c r="N18" s="114">
        <f t="shared" si="10"/>
        <v>146243</v>
      </c>
      <c r="O18" s="115">
        <v>1827</v>
      </c>
      <c r="P18" s="109">
        <f t="shared" si="1"/>
        <v>4320</v>
      </c>
      <c r="Q18" s="109">
        <v>365</v>
      </c>
      <c r="R18" s="109">
        <v>80</v>
      </c>
      <c r="S18" s="109">
        <f>+(H18-11430-Q18)/22</f>
        <v>5951.772727272727</v>
      </c>
      <c r="T18" s="109">
        <f t="shared" si="2"/>
        <v>2700</v>
      </c>
      <c r="U18" s="113">
        <f t="shared" si="3"/>
        <v>15243.772727272728</v>
      </c>
      <c r="V18" s="116">
        <f t="shared" si="4"/>
        <v>161486.77272727274</v>
      </c>
      <c r="W18" s="12"/>
      <c r="X18" s="12"/>
      <c r="Y18" s="117">
        <f t="shared" si="5"/>
        <v>157166.77272727274</v>
      </c>
      <c r="Z18" s="109">
        <f t="shared" si="6"/>
        <v>30648</v>
      </c>
      <c r="AA18" s="109">
        <v>0</v>
      </c>
      <c r="AB18" s="113">
        <f t="shared" si="7"/>
        <v>570.93600000000004</v>
      </c>
      <c r="AC18" s="118">
        <f t="shared" si="8"/>
        <v>31218.936000000002</v>
      </c>
      <c r="AD18" s="119">
        <f t="shared" si="9"/>
        <v>1758.672</v>
      </c>
      <c r="AE18" s="120">
        <v>2795</v>
      </c>
      <c r="AF18" s="84"/>
    </row>
    <row r="19" spans="1:32" ht="12" customHeight="1" x14ac:dyDescent="0.2">
      <c r="A19" s="105"/>
      <c r="B19" s="106" t="s">
        <v>78</v>
      </c>
      <c r="C19" s="121">
        <v>5</v>
      </c>
      <c r="D19" s="122">
        <f t="shared" si="0"/>
        <v>13310</v>
      </c>
      <c r="E19" s="123">
        <v>301</v>
      </c>
      <c r="F19" s="124">
        <v>644</v>
      </c>
      <c r="G19" s="123">
        <v>596</v>
      </c>
      <c r="H19" s="123">
        <v>14851</v>
      </c>
      <c r="I19" s="123"/>
      <c r="J19" s="123">
        <v>360</v>
      </c>
      <c r="K19" s="123"/>
      <c r="L19" s="125"/>
      <c r="M19" s="125"/>
      <c r="N19" s="126">
        <f t="shared" si="10"/>
        <v>15211</v>
      </c>
      <c r="O19" s="127"/>
      <c r="P19" s="123">
        <f t="shared" si="1"/>
        <v>480</v>
      </c>
      <c r="Q19" s="128"/>
      <c r="R19" s="123"/>
      <c r="S19" s="123">
        <f>+(H19-1153-Q19)/22</f>
        <v>622.63636363636363</v>
      </c>
      <c r="T19" s="129">
        <f t="shared" si="2"/>
        <v>300</v>
      </c>
      <c r="U19" s="130">
        <f t="shared" si="3"/>
        <v>1402.6363636363635</v>
      </c>
      <c r="V19" s="116">
        <f t="shared" si="4"/>
        <v>16613.636363636364</v>
      </c>
      <c r="W19" s="12"/>
      <c r="X19" s="12"/>
      <c r="Y19" s="117">
        <f t="shared" si="5"/>
        <v>16133.636363636364</v>
      </c>
      <c r="Z19" s="123">
        <f t="shared" si="6"/>
        <v>3146</v>
      </c>
      <c r="AA19" s="123">
        <v>0</v>
      </c>
      <c r="AB19" s="125">
        <f t="shared" si="7"/>
        <v>59.404000000000003</v>
      </c>
      <c r="AC19" s="131">
        <f t="shared" si="8"/>
        <v>3205.404</v>
      </c>
      <c r="AD19" s="132">
        <f t="shared" si="9"/>
        <v>195.40800000000002</v>
      </c>
      <c r="AE19" s="133">
        <v>311</v>
      </c>
      <c r="AF19" s="84"/>
    </row>
    <row r="20" spans="1:32" ht="12" customHeight="1" x14ac:dyDescent="0.2">
      <c r="A20" s="105" t="s">
        <v>87</v>
      </c>
      <c r="B20" s="106" t="s">
        <v>88</v>
      </c>
      <c r="C20" s="107">
        <v>24</v>
      </c>
      <c r="D20" s="108">
        <f t="shared" si="0"/>
        <v>70476</v>
      </c>
      <c r="E20" s="109">
        <v>502</v>
      </c>
      <c r="F20" s="110">
        <v>2145</v>
      </c>
      <c r="G20" s="111">
        <v>1986</v>
      </c>
      <c r="H20" s="109">
        <v>75109</v>
      </c>
      <c r="I20" s="109"/>
      <c r="J20" s="109">
        <v>1973</v>
      </c>
      <c r="K20" s="109"/>
      <c r="L20" s="113"/>
      <c r="M20" s="113"/>
      <c r="N20" s="114">
        <f t="shared" si="10"/>
        <v>77082</v>
      </c>
      <c r="O20" s="134">
        <v>1827</v>
      </c>
      <c r="P20" s="109">
        <f t="shared" si="1"/>
        <v>2304</v>
      </c>
      <c r="Q20" s="109">
        <v>385</v>
      </c>
      <c r="R20" s="109">
        <v>80</v>
      </c>
      <c r="S20" s="109">
        <f>+(H20-6011-Q20)/22</f>
        <v>3123.318181818182</v>
      </c>
      <c r="T20" s="109">
        <f t="shared" si="2"/>
        <v>1440</v>
      </c>
      <c r="U20" s="113">
        <f t="shared" si="3"/>
        <v>9159.318181818182</v>
      </c>
      <c r="V20" s="116">
        <f t="shared" si="4"/>
        <v>86241.318181818177</v>
      </c>
      <c r="W20" s="12"/>
      <c r="X20" s="12"/>
      <c r="Y20" s="117">
        <f t="shared" si="5"/>
        <v>83937.318181818177</v>
      </c>
      <c r="Z20" s="109">
        <f t="shared" si="6"/>
        <v>16368</v>
      </c>
      <c r="AA20" s="109">
        <v>0</v>
      </c>
      <c r="AB20" s="113">
        <f t="shared" si="7"/>
        <v>300.43599999999998</v>
      </c>
      <c r="AC20" s="118">
        <f t="shared" si="8"/>
        <v>16668.436000000002</v>
      </c>
      <c r="AD20" s="119">
        <f t="shared" si="9"/>
        <v>937.95839999999998</v>
      </c>
      <c r="AE20" s="120">
        <v>1490</v>
      </c>
      <c r="AF20" s="84"/>
    </row>
    <row r="21" spans="1:32" ht="12" customHeight="1" x14ac:dyDescent="0.2">
      <c r="A21" s="105"/>
      <c r="B21" s="106" t="s">
        <v>78</v>
      </c>
      <c r="C21" s="121">
        <v>2.5</v>
      </c>
      <c r="D21" s="122">
        <f t="shared" si="0"/>
        <v>5671</v>
      </c>
      <c r="E21" s="123">
        <v>50</v>
      </c>
      <c r="F21" s="124">
        <v>429</v>
      </c>
      <c r="G21" s="123">
        <v>397</v>
      </c>
      <c r="H21" s="123">
        <v>6547</v>
      </c>
      <c r="I21" s="123"/>
      <c r="J21" s="123"/>
      <c r="K21" s="123"/>
      <c r="L21" s="125"/>
      <c r="M21" s="125"/>
      <c r="N21" s="126">
        <f t="shared" si="10"/>
        <v>6547</v>
      </c>
      <c r="O21" s="127">
        <v>3289</v>
      </c>
      <c r="P21" s="123">
        <f t="shared" si="1"/>
        <v>240</v>
      </c>
      <c r="Q21" s="128"/>
      <c r="R21" s="123"/>
      <c r="S21" s="123">
        <f>+(H21-502-Q21)/22</f>
        <v>274.77272727272725</v>
      </c>
      <c r="T21" s="129">
        <f t="shared" si="2"/>
        <v>150</v>
      </c>
      <c r="U21" s="130">
        <f t="shared" si="3"/>
        <v>3953.772727272727</v>
      </c>
      <c r="V21" s="116">
        <f t="shared" si="4"/>
        <v>10500.772727272728</v>
      </c>
      <c r="W21" s="12"/>
      <c r="X21" s="12"/>
      <c r="Y21" s="117">
        <f t="shared" si="5"/>
        <v>10260.772727272728</v>
      </c>
      <c r="Z21" s="123">
        <f t="shared" si="6"/>
        <v>2001</v>
      </c>
      <c r="AA21" s="123">
        <v>0</v>
      </c>
      <c r="AB21" s="125">
        <f t="shared" si="7"/>
        <v>26.187999999999999</v>
      </c>
      <c r="AC21" s="131">
        <f t="shared" si="8"/>
        <v>2027.1880000000001</v>
      </c>
      <c r="AD21" s="132">
        <f t="shared" si="9"/>
        <v>97.704000000000008</v>
      </c>
      <c r="AE21" s="133">
        <v>155</v>
      </c>
      <c r="AF21" s="84"/>
    </row>
    <row r="22" spans="1:32" ht="12" customHeight="1" x14ac:dyDescent="0.2">
      <c r="A22" s="105" t="s">
        <v>89</v>
      </c>
      <c r="B22" s="106" t="s">
        <v>90</v>
      </c>
      <c r="C22" s="107">
        <v>23</v>
      </c>
      <c r="D22" s="108">
        <f t="shared" si="0"/>
        <v>64863</v>
      </c>
      <c r="E22" s="109">
        <v>2010</v>
      </c>
      <c r="F22" s="110">
        <v>2145</v>
      </c>
      <c r="G22" s="111">
        <v>1986</v>
      </c>
      <c r="H22" s="109">
        <f>69908+1096</f>
        <v>71004</v>
      </c>
      <c r="I22" s="109"/>
      <c r="J22" s="109">
        <v>1739</v>
      </c>
      <c r="K22" s="109">
        <v>180</v>
      </c>
      <c r="L22" s="113"/>
      <c r="M22" s="113"/>
      <c r="N22" s="114">
        <f t="shared" si="10"/>
        <v>72923</v>
      </c>
      <c r="O22" s="115">
        <v>1827</v>
      </c>
      <c r="P22" s="109">
        <f t="shared" si="1"/>
        <v>2208</v>
      </c>
      <c r="Q22" s="109">
        <v>429</v>
      </c>
      <c r="R22" s="109">
        <v>80</v>
      </c>
      <c r="S22" s="109">
        <f>+(H22-5442-Q22)/22</f>
        <v>2960.590909090909</v>
      </c>
      <c r="T22" s="109">
        <f t="shared" si="2"/>
        <v>1380</v>
      </c>
      <c r="U22" s="113">
        <f t="shared" si="3"/>
        <v>8884.5909090909081</v>
      </c>
      <c r="V22" s="116">
        <f t="shared" si="4"/>
        <v>81807.590909090912</v>
      </c>
      <c r="W22" s="12"/>
      <c r="X22" s="12"/>
      <c r="Y22" s="117">
        <f t="shared" si="5"/>
        <v>79599.590909090912</v>
      </c>
      <c r="Z22" s="109">
        <f t="shared" si="6"/>
        <v>15522</v>
      </c>
      <c r="AA22" s="109">
        <v>0</v>
      </c>
      <c r="AB22" s="113">
        <f t="shared" si="7"/>
        <v>284.01600000000002</v>
      </c>
      <c r="AC22" s="118">
        <f t="shared" si="8"/>
        <v>15806.016</v>
      </c>
      <c r="AD22" s="119">
        <f t="shared" si="9"/>
        <v>898.8768</v>
      </c>
      <c r="AE22" s="120">
        <v>0</v>
      </c>
      <c r="AF22" s="84"/>
    </row>
    <row r="23" spans="1:32" ht="12" customHeight="1" x14ac:dyDescent="0.2">
      <c r="A23" s="105"/>
      <c r="B23" s="106" t="s">
        <v>78</v>
      </c>
      <c r="C23" s="121">
        <v>1.5</v>
      </c>
      <c r="D23" s="122">
        <f t="shared" si="0"/>
        <v>3314</v>
      </c>
      <c r="E23" s="123"/>
      <c r="F23" s="124">
        <v>248</v>
      </c>
      <c r="G23" s="123">
        <v>263</v>
      </c>
      <c r="H23" s="123">
        <v>3825</v>
      </c>
      <c r="I23" s="123"/>
      <c r="J23" s="123">
        <v>240</v>
      </c>
      <c r="K23" s="123"/>
      <c r="L23" s="125"/>
      <c r="M23" s="125"/>
      <c r="N23" s="126">
        <f t="shared" si="10"/>
        <v>4065</v>
      </c>
      <c r="O23" s="127"/>
      <c r="P23" s="123">
        <f t="shared" si="1"/>
        <v>144</v>
      </c>
      <c r="Q23" s="128"/>
      <c r="R23" s="123"/>
      <c r="S23" s="123">
        <f>+(H23-339-Q23)/22</f>
        <v>158.45454545454547</v>
      </c>
      <c r="T23" s="129">
        <f t="shared" si="2"/>
        <v>90</v>
      </c>
      <c r="U23" s="130">
        <f t="shared" si="3"/>
        <v>392.4545454545455</v>
      </c>
      <c r="V23" s="116">
        <f t="shared" si="4"/>
        <v>4457.454545454546</v>
      </c>
      <c r="W23" s="12"/>
      <c r="X23" s="12"/>
      <c r="Y23" s="117">
        <f t="shared" si="5"/>
        <v>4313.454545454546</v>
      </c>
      <c r="Z23" s="123">
        <f t="shared" si="6"/>
        <v>841</v>
      </c>
      <c r="AA23" s="123">
        <v>0</v>
      </c>
      <c r="AB23" s="125">
        <f t="shared" si="7"/>
        <v>15.3</v>
      </c>
      <c r="AC23" s="131">
        <f t="shared" si="8"/>
        <v>856.3</v>
      </c>
      <c r="AD23" s="132">
        <f t="shared" si="9"/>
        <v>58.622399999999999</v>
      </c>
      <c r="AE23" s="133">
        <v>0</v>
      </c>
      <c r="AF23" s="84"/>
    </row>
    <row r="24" spans="1:32" ht="12" customHeight="1" x14ac:dyDescent="0.2">
      <c r="A24" s="105" t="s">
        <v>91</v>
      </c>
      <c r="B24" s="106" t="s">
        <v>92</v>
      </c>
      <c r="C24" s="107">
        <v>44</v>
      </c>
      <c r="D24" s="108">
        <f t="shared" si="0"/>
        <v>134573</v>
      </c>
      <c r="E24" s="109">
        <v>2021</v>
      </c>
      <c r="F24" s="110">
        <v>4076</v>
      </c>
      <c r="G24" s="111">
        <v>3772</v>
      </c>
      <c r="H24" s="109">
        <v>144442</v>
      </c>
      <c r="I24" s="109"/>
      <c r="J24" s="109">
        <v>3091</v>
      </c>
      <c r="K24" s="109">
        <v>408</v>
      </c>
      <c r="L24" s="113"/>
      <c r="M24" s="113"/>
      <c r="N24" s="114">
        <f t="shared" si="10"/>
        <v>147941</v>
      </c>
      <c r="O24" s="115">
        <v>3009</v>
      </c>
      <c r="P24" s="109">
        <f t="shared" si="1"/>
        <v>4224</v>
      </c>
      <c r="Q24" s="109">
        <v>375</v>
      </c>
      <c r="R24" s="109">
        <v>80</v>
      </c>
      <c r="S24" s="109">
        <f>+(H24-11166-Q24)/22</f>
        <v>6040.954545454545</v>
      </c>
      <c r="T24" s="109">
        <f t="shared" si="2"/>
        <v>2640</v>
      </c>
      <c r="U24" s="113">
        <f t="shared" si="3"/>
        <v>16368.954545454544</v>
      </c>
      <c r="V24" s="116">
        <f t="shared" si="4"/>
        <v>164309.95454545453</v>
      </c>
      <c r="W24" s="12"/>
      <c r="X24" s="12"/>
      <c r="Y24" s="117">
        <f t="shared" si="5"/>
        <v>160085.95454545453</v>
      </c>
      <c r="Z24" s="109">
        <f t="shared" si="6"/>
        <v>31217</v>
      </c>
      <c r="AA24" s="109">
        <v>0</v>
      </c>
      <c r="AB24" s="113">
        <f t="shared" si="7"/>
        <v>577.76800000000003</v>
      </c>
      <c r="AC24" s="118">
        <f t="shared" si="8"/>
        <v>31794.768</v>
      </c>
      <c r="AD24" s="119">
        <f t="shared" si="9"/>
        <v>1719.5904</v>
      </c>
      <c r="AE24" s="120">
        <v>2732</v>
      </c>
      <c r="AF24" s="84"/>
    </row>
    <row r="25" spans="1:32" ht="12" customHeight="1" x14ac:dyDescent="0.2">
      <c r="A25" s="105"/>
      <c r="B25" s="106" t="s">
        <v>78</v>
      </c>
      <c r="C25" s="121">
        <v>9</v>
      </c>
      <c r="D25" s="122">
        <f t="shared" si="0"/>
        <v>22656</v>
      </c>
      <c r="E25" s="123"/>
      <c r="F25" s="124">
        <v>1180</v>
      </c>
      <c r="G25" s="123">
        <v>1092</v>
      </c>
      <c r="H25" s="123">
        <v>24928</v>
      </c>
      <c r="I25" s="123"/>
      <c r="J25" s="123">
        <v>360</v>
      </c>
      <c r="K25" s="123"/>
      <c r="L25" s="125"/>
      <c r="M25" s="125"/>
      <c r="N25" s="126">
        <f t="shared" si="10"/>
        <v>25288</v>
      </c>
      <c r="O25" s="127"/>
      <c r="P25" s="123">
        <f t="shared" si="1"/>
        <v>864</v>
      </c>
      <c r="Q25" s="128"/>
      <c r="R25" s="123"/>
      <c r="S25" s="123">
        <f>+(H25-1960-Q25)/22</f>
        <v>1044</v>
      </c>
      <c r="T25" s="129">
        <f t="shared" si="2"/>
        <v>540</v>
      </c>
      <c r="U25" s="130">
        <f t="shared" si="3"/>
        <v>2448</v>
      </c>
      <c r="V25" s="116">
        <f t="shared" si="4"/>
        <v>27736</v>
      </c>
      <c r="W25" s="12"/>
      <c r="X25" s="12"/>
      <c r="Y25" s="117">
        <f t="shared" si="5"/>
        <v>26872</v>
      </c>
      <c r="Z25" s="123">
        <f t="shared" si="6"/>
        <v>5240</v>
      </c>
      <c r="AA25" s="123">
        <v>0</v>
      </c>
      <c r="AB25" s="125">
        <f t="shared" si="7"/>
        <v>99.712000000000003</v>
      </c>
      <c r="AC25" s="131">
        <f t="shared" si="8"/>
        <v>5339.7120000000004</v>
      </c>
      <c r="AD25" s="132">
        <f t="shared" si="9"/>
        <v>351.73439999999999</v>
      </c>
      <c r="AE25" s="133">
        <v>559</v>
      </c>
      <c r="AF25" s="84"/>
    </row>
    <row r="26" spans="1:32" ht="12" customHeight="1" x14ac:dyDescent="0.2">
      <c r="A26" s="105" t="s">
        <v>93</v>
      </c>
      <c r="B26" s="106" t="s">
        <v>94</v>
      </c>
      <c r="C26" s="107">
        <v>34</v>
      </c>
      <c r="D26" s="108">
        <f t="shared" si="0"/>
        <v>97404</v>
      </c>
      <c r="E26" s="109">
        <v>1619</v>
      </c>
      <c r="F26" s="110">
        <v>3003</v>
      </c>
      <c r="G26" s="111">
        <v>3003</v>
      </c>
      <c r="H26" s="109">
        <v>105029</v>
      </c>
      <c r="I26" s="109"/>
      <c r="J26" s="109">
        <v>2333</v>
      </c>
      <c r="K26" s="109">
        <v>180</v>
      </c>
      <c r="L26" s="113"/>
      <c r="M26" s="113"/>
      <c r="N26" s="114">
        <f t="shared" si="10"/>
        <v>107542</v>
      </c>
      <c r="O26" s="115">
        <v>932</v>
      </c>
      <c r="P26" s="109">
        <f t="shared" si="1"/>
        <v>3264</v>
      </c>
      <c r="Q26" s="109">
        <v>338</v>
      </c>
      <c r="R26" s="109">
        <v>80</v>
      </c>
      <c r="S26" s="109">
        <f>+(H26-8339-Q26)/22</f>
        <v>4379.636363636364</v>
      </c>
      <c r="T26" s="109">
        <f t="shared" si="2"/>
        <v>2040</v>
      </c>
      <c r="U26" s="113">
        <f t="shared" si="3"/>
        <v>11033.636363636364</v>
      </c>
      <c r="V26" s="116">
        <f t="shared" si="4"/>
        <v>118575.63636363637</v>
      </c>
      <c r="W26" s="12"/>
      <c r="X26" s="12"/>
      <c r="Y26" s="117">
        <f t="shared" si="5"/>
        <v>115311.63636363637</v>
      </c>
      <c r="Z26" s="109">
        <f t="shared" si="6"/>
        <v>22486</v>
      </c>
      <c r="AA26" s="109">
        <v>0</v>
      </c>
      <c r="AB26" s="113">
        <f t="shared" si="7"/>
        <v>420.11599999999999</v>
      </c>
      <c r="AC26" s="118">
        <f t="shared" si="8"/>
        <v>22906.116000000002</v>
      </c>
      <c r="AD26" s="119">
        <f t="shared" si="9"/>
        <v>1328.7744</v>
      </c>
      <c r="AE26" s="120">
        <v>2111</v>
      </c>
      <c r="AF26" s="84"/>
    </row>
    <row r="27" spans="1:32" ht="12" customHeight="1" x14ac:dyDescent="0.2">
      <c r="A27" s="105"/>
      <c r="B27" s="106" t="s">
        <v>78</v>
      </c>
      <c r="C27" s="121">
        <v>6</v>
      </c>
      <c r="D27" s="122">
        <f t="shared" si="0"/>
        <v>14023</v>
      </c>
      <c r="E27" s="123">
        <v>112</v>
      </c>
      <c r="F27" s="124">
        <v>858</v>
      </c>
      <c r="G27" s="123">
        <v>794</v>
      </c>
      <c r="H27" s="123">
        <v>15787</v>
      </c>
      <c r="I27" s="123"/>
      <c r="J27" s="123"/>
      <c r="K27" s="123"/>
      <c r="L27" s="125"/>
      <c r="M27" s="125"/>
      <c r="N27" s="126">
        <f t="shared" si="10"/>
        <v>15787</v>
      </c>
      <c r="O27" s="127"/>
      <c r="P27" s="123">
        <f t="shared" si="1"/>
        <v>576</v>
      </c>
      <c r="Q27" s="128"/>
      <c r="R27" s="123"/>
      <c r="S27" s="123">
        <f>+(H27-1223-Q27)/22</f>
        <v>662</v>
      </c>
      <c r="T27" s="129">
        <f t="shared" si="2"/>
        <v>360</v>
      </c>
      <c r="U27" s="130">
        <f t="shared" si="3"/>
        <v>1598</v>
      </c>
      <c r="V27" s="116">
        <f t="shared" si="4"/>
        <v>17385</v>
      </c>
      <c r="W27" s="12"/>
      <c r="X27" s="12"/>
      <c r="Y27" s="117">
        <f t="shared" si="5"/>
        <v>16809</v>
      </c>
      <c r="Z27" s="123">
        <f t="shared" si="6"/>
        <v>3278</v>
      </c>
      <c r="AA27" s="123">
        <v>0</v>
      </c>
      <c r="AB27" s="125">
        <f t="shared" si="7"/>
        <v>63.148000000000003</v>
      </c>
      <c r="AC27" s="131">
        <f t="shared" si="8"/>
        <v>3341.1480000000001</v>
      </c>
      <c r="AD27" s="132">
        <f t="shared" si="9"/>
        <v>234.4896</v>
      </c>
      <c r="AE27" s="133">
        <v>373</v>
      </c>
      <c r="AF27" s="84"/>
    </row>
    <row r="28" spans="1:32" ht="12" hidden="1" customHeight="1" x14ac:dyDescent="0.2">
      <c r="A28" s="105"/>
      <c r="B28" s="135" t="s">
        <v>95</v>
      </c>
      <c r="C28" s="136"/>
      <c r="D28" s="137">
        <f>+H28-E28-G28</f>
        <v>0</v>
      </c>
      <c r="E28" s="138"/>
      <c r="F28" s="138"/>
      <c r="G28" s="138"/>
      <c r="H28" s="138"/>
      <c r="I28" s="138"/>
      <c r="J28" s="138"/>
      <c r="K28" s="138"/>
      <c r="L28" s="139"/>
      <c r="M28" s="139"/>
      <c r="N28" s="114">
        <f t="shared" si="10"/>
        <v>0</v>
      </c>
      <c r="O28" s="140"/>
      <c r="P28" s="138"/>
      <c r="Q28" s="141"/>
      <c r="R28" s="138"/>
      <c r="S28" s="138" t="e">
        <f>+(H28+#REF!-Q28)/8</f>
        <v>#REF!</v>
      </c>
      <c r="T28" s="138"/>
      <c r="U28" s="139" t="e">
        <f t="shared" si="3"/>
        <v>#REF!</v>
      </c>
      <c r="V28" s="116" t="e">
        <f t="shared" si="4"/>
        <v>#REF!</v>
      </c>
      <c r="W28" s="12"/>
      <c r="X28" s="12"/>
      <c r="Y28" s="117" t="e">
        <f t="shared" si="5"/>
        <v>#REF!</v>
      </c>
      <c r="Z28" s="109" t="e">
        <f>+ROUND(Y28*0.27,0)</f>
        <v>#REF!</v>
      </c>
      <c r="AA28" s="142"/>
      <c r="AB28" s="113">
        <f t="shared" si="7"/>
        <v>0</v>
      </c>
      <c r="AC28" s="118" t="e">
        <f t="shared" si="8"/>
        <v>#REF!</v>
      </c>
      <c r="AD28" s="119">
        <f>+P28*0.357</f>
        <v>0</v>
      </c>
      <c r="AE28" s="120"/>
      <c r="AF28" s="84"/>
    </row>
    <row r="29" spans="1:32" ht="12" hidden="1" customHeight="1" x14ac:dyDescent="0.2">
      <c r="A29" s="105"/>
      <c r="B29" s="106"/>
      <c r="C29" s="121"/>
      <c r="D29" s="143">
        <f>+H29-E29</f>
        <v>0</v>
      </c>
      <c r="E29" s="123"/>
      <c r="F29" s="144"/>
      <c r="G29" s="123"/>
      <c r="H29" s="123"/>
      <c r="I29" s="123"/>
      <c r="J29" s="123"/>
      <c r="K29" s="123"/>
      <c r="L29" s="125"/>
      <c r="M29" s="125"/>
      <c r="N29" s="126">
        <f t="shared" si="10"/>
        <v>0</v>
      </c>
      <c r="O29" s="127"/>
      <c r="P29" s="123"/>
      <c r="Q29" s="128"/>
      <c r="R29" s="123"/>
      <c r="S29" s="123" t="e">
        <f>+(H29+#REF!-Q29)/8</f>
        <v>#REF!</v>
      </c>
      <c r="T29" s="129"/>
      <c r="U29" s="130" t="e">
        <f t="shared" si="3"/>
        <v>#REF!</v>
      </c>
      <c r="V29" s="116" t="e">
        <f t="shared" si="4"/>
        <v>#REF!</v>
      </c>
      <c r="W29" s="12"/>
      <c r="X29" s="12"/>
      <c r="Y29" s="117" t="e">
        <f t="shared" si="5"/>
        <v>#REF!</v>
      </c>
      <c r="Z29" s="123" t="e">
        <f>+ROUND(Y29*0.27,0)</f>
        <v>#REF!</v>
      </c>
      <c r="AA29" s="123"/>
      <c r="AB29" s="125">
        <f t="shared" si="7"/>
        <v>0</v>
      </c>
      <c r="AC29" s="131" t="e">
        <f t="shared" si="8"/>
        <v>#REF!</v>
      </c>
      <c r="AD29" s="132">
        <f>+P29*0.357</f>
        <v>0</v>
      </c>
      <c r="AE29" s="133"/>
      <c r="AF29" s="84"/>
    </row>
    <row r="30" spans="1:32" ht="12" customHeight="1" x14ac:dyDescent="0.2">
      <c r="A30" s="105" t="s">
        <v>96</v>
      </c>
      <c r="B30" s="106" t="s">
        <v>97</v>
      </c>
      <c r="C30" s="107">
        <v>26</v>
      </c>
      <c r="D30" s="108">
        <f t="shared" ref="D30:D35" si="11">H30-G30-F30-E30</f>
        <v>70293</v>
      </c>
      <c r="E30" s="109">
        <v>469</v>
      </c>
      <c r="F30" s="110">
        <v>2145</v>
      </c>
      <c r="G30" s="111">
        <v>1986</v>
      </c>
      <c r="H30" s="109">
        <v>74893</v>
      </c>
      <c r="I30" s="109"/>
      <c r="J30" s="109">
        <v>1608</v>
      </c>
      <c r="K30" s="109">
        <v>420</v>
      </c>
      <c r="L30" s="113"/>
      <c r="M30" s="113"/>
      <c r="N30" s="114">
        <f t="shared" si="10"/>
        <v>76921</v>
      </c>
      <c r="O30" s="115">
        <v>1873</v>
      </c>
      <c r="P30" s="109">
        <f t="shared" ref="P30:P35" si="12">C30*8*12</f>
        <v>2496</v>
      </c>
      <c r="Q30" s="109">
        <v>375</v>
      </c>
      <c r="R30" s="109">
        <v>80</v>
      </c>
      <c r="S30" s="109">
        <f>+(H30-5985-Q30)/22</f>
        <v>3115.1363636363635</v>
      </c>
      <c r="T30" s="109">
        <f t="shared" ref="T30:T35" si="13">C30*60</f>
        <v>1560</v>
      </c>
      <c r="U30" s="113">
        <f t="shared" si="3"/>
        <v>9499.136363636364</v>
      </c>
      <c r="V30" s="116">
        <f t="shared" si="4"/>
        <v>86420.136363636368</v>
      </c>
      <c r="W30" s="12"/>
      <c r="X30" s="12"/>
      <c r="Y30" s="117">
        <f t="shared" si="5"/>
        <v>83924.136363636368</v>
      </c>
      <c r="Z30" s="109">
        <f t="shared" ref="Z30:Z35" si="14">+ROUND(Y30*0.195,0)</f>
        <v>16365</v>
      </c>
      <c r="AA30" s="109">
        <v>0</v>
      </c>
      <c r="AB30" s="113">
        <f t="shared" si="7"/>
        <v>299.572</v>
      </c>
      <c r="AC30" s="118">
        <f t="shared" si="8"/>
        <v>16664.572</v>
      </c>
      <c r="AD30" s="119">
        <f t="shared" ref="AD30:AD35" si="15">+P30*0.4071</f>
        <v>1016.1216000000001</v>
      </c>
      <c r="AE30" s="120">
        <v>1615</v>
      </c>
      <c r="AF30" s="84"/>
    </row>
    <row r="31" spans="1:32" ht="12" customHeight="1" x14ac:dyDescent="0.2">
      <c r="A31" s="105"/>
      <c r="B31" s="106" t="s">
        <v>78</v>
      </c>
      <c r="C31" s="121">
        <v>2.5</v>
      </c>
      <c r="D31" s="122">
        <f t="shared" si="11"/>
        <v>5677</v>
      </c>
      <c r="E31" s="123">
        <v>112</v>
      </c>
      <c r="F31" s="124">
        <v>536</v>
      </c>
      <c r="G31" s="123">
        <v>496</v>
      </c>
      <c r="H31" s="123">
        <v>6821</v>
      </c>
      <c r="I31" s="123"/>
      <c r="J31" s="123"/>
      <c r="K31" s="123"/>
      <c r="L31" s="125"/>
      <c r="M31" s="125"/>
      <c r="N31" s="126">
        <f t="shared" si="10"/>
        <v>6821</v>
      </c>
      <c r="O31" s="127"/>
      <c r="P31" s="123">
        <f t="shared" si="12"/>
        <v>240</v>
      </c>
      <c r="Q31" s="128"/>
      <c r="R31" s="123"/>
      <c r="S31" s="123">
        <f>+(H31-530-Q31)/22</f>
        <v>285.95454545454544</v>
      </c>
      <c r="T31" s="129">
        <f t="shared" si="13"/>
        <v>150</v>
      </c>
      <c r="U31" s="130">
        <f t="shared" si="3"/>
        <v>675.9545454545455</v>
      </c>
      <c r="V31" s="116">
        <f t="shared" si="4"/>
        <v>7496.954545454546</v>
      </c>
      <c r="W31" s="12"/>
      <c r="X31" s="12"/>
      <c r="Y31" s="117">
        <f t="shared" si="5"/>
        <v>7256.954545454546</v>
      </c>
      <c r="Z31" s="123">
        <f t="shared" si="14"/>
        <v>1415</v>
      </c>
      <c r="AA31" s="123">
        <v>0</v>
      </c>
      <c r="AB31" s="125">
        <f t="shared" si="7"/>
        <v>27.283999999999999</v>
      </c>
      <c r="AC31" s="131">
        <f t="shared" si="8"/>
        <v>1442.2840000000001</v>
      </c>
      <c r="AD31" s="132">
        <f t="shared" si="15"/>
        <v>97.704000000000008</v>
      </c>
      <c r="AE31" s="133">
        <v>155</v>
      </c>
      <c r="AF31" s="84"/>
    </row>
    <row r="32" spans="1:32" ht="12" customHeight="1" x14ac:dyDescent="0.2">
      <c r="A32" s="105" t="s">
        <v>98</v>
      </c>
      <c r="B32" s="106" t="s">
        <v>99</v>
      </c>
      <c r="C32" s="107">
        <v>37</v>
      </c>
      <c r="D32" s="108">
        <f t="shared" si="11"/>
        <v>105770</v>
      </c>
      <c r="E32" s="109">
        <v>1306</v>
      </c>
      <c r="F32" s="110">
        <v>3003</v>
      </c>
      <c r="G32" s="111">
        <v>2780</v>
      </c>
      <c r="H32" s="109">
        <v>112859</v>
      </c>
      <c r="I32" s="109"/>
      <c r="J32" s="109">
        <v>2412</v>
      </c>
      <c r="K32" s="109">
        <v>540</v>
      </c>
      <c r="L32" s="113"/>
      <c r="M32" s="113"/>
      <c r="N32" s="114">
        <f t="shared" si="10"/>
        <v>115811</v>
      </c>
      <c r="O32" s="115"/>
      <c r="P32" s="109">
        <f t="shared" si="12"/>
        <v>3552</v>
      </c>
      <c r="Q32" s="109">
        <v>328</v>
      </c>
      <c r="R32" s="109">
        <v>80</v>
      </c>
      <c r="S32" s="109">
        <f>+(H32-8981-Q32)/22</f>
        <v>4706.818181818182</v>
      </c>
      <c r="T32" s="109">
        <f t="shared" si="13"/>
        <v>2220</v>
      </c>
      <c r="U32" s="113">
        <f t="shared" si="3"/>
        <v>10886.818181818182</v>
      </c>
      <c r="V32" s="116">
        <f t="shared" si="4"/>
        <v>126697.81818181818</v>
      </c>
      <c r="W32" s="12"/>
      <c r="X32" s="12"/>
      <c r="Y32" s="117">
        <f t="shared" si="5"/>
        <v>123145.81818181818</v>
      </c>
      <c r="Z32" s="109">
        <f t="shared" si="14"/>
        <v>24013</v>
      </c>
      <c r="AA32" s="109">
        <v>0</v>
      </c>
      <c r="AB32" s="113">
        <f t="shared" si="7"/>
        <v>451.43600000000004</v>
      </c>
      <c r="AC32" s="118">
        <f t="shared" si="8"/>
        <v>24464.436000000002</v>
      </c>
      <c r="AD32" s="119">
        <f t="shared" si="15"/>
        <v>1446.0192</v>
      </c>
      <c r="AE32" s="120">
        <v>2298</v>
      </c>
      <c r="AF32" s="84"/>
    </row>
    <row r="33" spans="1:32" ht="12" customHeight="1" x14ac:dyDescent="0.2">
      <c r="A33" s="145"/>
      <c r="B33" s="106" t="s">
        <v>78</v>
      </c>
      <c r="C33" s="146">
        <v>4.5</v>
      </c>
      <c r="D33" s="122">
        <f t="shared" si="11"/>
        <v>9884</v>
      </c>
      <c r="E33" s="147"/>
      <c r="F33" s="148">
        <v>1073</v>
      </c>
      <c r="G33" s="147">
        <v>993</v>
      </c>
      <c r="H33" s="147">
        <v>11950</v>
      </c>
      <c r="I33" s="147"/>
      <c r="J33" s="147">
        <v>360</v>
      </c>
      <c r="K33" s="147"/>
      <c r="L33" s="149"/>
      <c r="M33" s="149"/>
      <c r="N33" s="126">
        <f t="shared" si="10"/>
        <v>12310</v>
      </c>
      <c r="O33" s="150"/>
      <c r="P33" s="123">
        <f t="shared" si="12"/>
        <v>432</v>
      </c>
      <c r="Q33" s="151"/>
      <c r="R33" s="147"/>
      <c r="S33" s="123">
        <f>+(H33-937-Q33)/22</f>
        <v>500.59090909090907</v>
      </c>
      <c r="T33" s="129">
        <f t="shared" si="13"/>
        <v>270</v>
      </c>
      <c r="U33" s="130">
        <f t="shared" si="3"/>
        <v>1202.590909090909</v>
      </c>
      <c r="V33" s="116">
        <f t="shared" si="4"/>
        <v>13512.590909090908</v>
      </c>
      <c r="W33" s="12"/>
      <c r="X33" s="12"/>
      <c r="Y33" s="117">
        <f t="shared" si="5"/>
        <v>13080.590909090908</v>
      </c>
      <c r="Z33" s="123">
        <f t="shared" si="14"/>
        <v>2551</v>
      </c>
      <c r="AA33" s="123">
        <v>0</v>
      </c>
      <c r="AB33" s="125">
        <f t="shared" si="7"/>
        <v>47.800000000000004</v>
      </c>
      <c r="AC33" s="152">
        <f t="shared" si="8"/>
        <v>2598.8000000000002</v>
      </c>
      <c r="AD33" s="132">
        <f t="shared" si="15"/>
        <v>175.8672</v>
      </c>
      <c r="AE33" s="133">
        <v>279</v>
      </c>
      <c r="AF33" s="84"/>
    </row>
    <row r="34" spans="1:32" ht="12" customHeight="1" x14ac:dyDescent="0.2">
      <c r="A34" s="105" t="s">
        <v>100</v>
      </c>
      <c r="B34" s="153" t="s">
        <v>101</v>
      </c>
      <c r="C34" s="154">
        <v>34</v>
      </c>
      <c r="D34" s="108">
        <f t="shared" si="11"/>
        <v>91477</v>
      </c>
      <c r="E34" s="112">
        <v>1306</v>
      </c>
      <c r="F34" s="110">
        <v>3218</v>
      </c>
      <c r="G34" s="155">
        <v>2978</v>
      </c>
      <c r="H34" s="156">
        <f>97915+1064</f>
        <v>98979</v>
      </c>
      <c r="I34" s="110"/>
      <c r="J34" s="157">
        <v>1864</v>
      </c>
      <c r="K34" s="157">
        <v>403</v>
      </c>
      <c r="L34" s="157"/>
      <c r="M34" s="110"/>
      <c r="N34" s="114">
        <f t="shared" si="10"/>
        <v>101246</v>
      </c>
      <c r="O34" s="158">
        <v>932</v>
      </c>
      <c r="P34" s="109">
        <f t="shared" si="12"/>
        <v>3264</v>
      </c>
      <c r="Q34" s="157">
        <v>362</v>
      </c>
      <c r="R34" s="157">
        <v>80</v>
      </c>
      <c r="S34" s="109">
        <f>+(H34-7783-Q34)/22</f>
        <v>4128.818181818182</v>
      </c>
      <c r="T34" s="109">
        <f t="shared" si="13"/>
        <v>2040</v>
      </c>
      <c r="U34" s="113">
        <f t="shared" si="3"/>
        <v>10806.818181818182</v>
      </c>
      <c r="V34" s="116">
        <f>+N34+U34</f>
        <v>112052.81818181818</v>
      </c>
      <c r="W34" s="12"/>
      <c r="X34" s="12"/>
      <c r="Y34" s="117">
        <f t="shared" si="5"/>
        <v>108788.81818181818</v>
      </c>
      <c r="Z34" s="109">
        <f t="shared" si="14"/>
        <v>21214</v>
      </c>
      <c r="AA34" s="109"/>
      <c r="AB34" s="113">
        <f t="shared" si="7"/>
        <v>395.916</v>
      </c>
      <c r="AC34" s="118">
        <f t="shared" si="8"/>
        <v>21609.916000000001</v>
      </c>
      <c r="AD34" s="119">
        <f t="shared" si="15"/>
        <v>1328.7744</v>
      </c>
      <c r="AE34" s="120">
        <v>2111</v>
      </c>
      <c r="AF34" s="84"/>
    </row>
    <row r="35" spans="1:32" ht="12" customHeight="1" x14ac:dyDescent="0.2">
      <c r="A35" s="145"/>
      <c r="B35" s="159" t="s">
        <v>78</v>
      </c>
      <c r="C35" s="160">
        <v>12</v>
      </c>
      <c r="D35" s="122">
        <f t="shared" si="11"/>
        <v>27472</v>
      </c>
      <c r="E35" s="161">
        <v>112</v>
      </c>
      <c r="F35" s="162">
        <v>2145</v>
      </c>
      <c r="G35" s="161">
        <v>1986</v>
      </c>
      <c r="H35" s="161">
        <v>31715</v>
      </c>
      <c r="I35" s="163"/>
      <c r="J35" s="163"/>
      <c r="K35" s="163"/>
      <c r="L35" s="164"/>
      <c r="M35" s="164"/>
      <c r="N35" s="126">
        <f t="shared" si="10"/>
        <v>31715</v>
      </c>
      <c r="O35" s="165"/>
      <c r="P35" s="123">
        <f t="shared" si="12"/>
        <v>1152</v>
      </c>
      <c r="Q35" s="166"/>
      <c r="R35" s="163"/>
      <c r="S35" s="123">
        <f>+(H35-2457-Q35)/22</f>
        <v>1329.909090909091</v>
      </c>
      <c r="T35" s="129">
        <f t="shared" si="13"/>
        <v>720</v>
      </c>
      <c r="U35" s="130">
        <f t="shared" si="3"/>
        <v>3201.909090909091</v>
      </c>
      <c r="V35" s="167">
        <f>+N35+U35</f>
        <v>34916.909090909088</v>
      </c>
      <c r="W35" s="12"/>
      <c r="X35" s="12"/>
      <c r="Y35" s="117">
        <f t="shared" si="5"/>
        <v>33764.909090909088</v>
      </c>
      <c r="Z35" s="123">
        <f t="shared" si="14"/>
        <v>6584</v>
      </c>
      <c r="AA35" s="147"/>
      <c r="AB35" s="125">
        <f t="shared" si="7"/>
        <v>126.86</v>
      </c>
      <c r="AC35" s="152">
        <f t="shared" si="8"/>
        <v>6710.86</v>
      </c>
      <c r="AD35" s="132">
        <f t="shared" si="15"/>
        <v>468.97919999999999</v>
      </c>
      <c r="AE35" s="133">
        <v>745</v>
      </c>
      <c r="AF35" s="84"/>
    </row>
    <row r="36" spans="1:32" ht="12" customHeight="1" x14ac:dyDescent="0.2">
      <c r="A36" s="168"/>
      <c r="B36" s="169"/>
      <c r="C36" s="170"/>
      <c r="D36" s="137">
        <f>+H36-E36</f>
        <v>0</v>
      </c>
      <c r="E36" s="171"/>
      <c r="F36" s="172"/>
      <c r="G36" s="171"/>
      <c r="H36" s="171"/>
      <c r="I36" s="171"/>
      <c r="J36" s="171"/>
      <c r="K36" s="171"/>
      <c r="L36" s="173"/>
      <c r="M36" s="173"/>
      <c r="N36" s="174"/>
      <c r="O36" s="175"/>
      <c r="P36" s="171"/>
      <c r="Q36" s="176"/>
      <c r="R36" s="171"/>
      <c r="S36" s="109">
        <f>+(H36-Q36)/22</f>
        <v>0</v>
      </c>
      <c r="T36" s="138"/>
      <c r="U36" s="139"/>
      <c r="V36" s="167">
        <f>+N36+U36</f>
        <v>0</v>
      </c>
      <c r="W36" s="12"/>
      <c r="X36" s="12"/>
      <c r="Y36" s="117">
        <f t="shared" si="5"/>
        <v>0</v>
      </c>
      <c r="Z36" s="109">
        <f>+ROUND(Y36*0.22,0)</f>
        <v>0</v>
      </c>
      <c r="AA36" s="109"/>
      <c r="AB36" s="113">
        <f t="shared" si="7"/>
        <v>0</v>
      </c>
      <c r="AC36" s="118">
        <f>+P36*0.357</f>
        <v>0</v>
      </c>
      <c r="AD36" s="119">
        <f>+P36*0.357</f>
        <v>0</v>
      </c>
      <c r="AE36" s="120"/>
      <c r="AF36" s="84"/>
    </row>
    <row r="37" spans="1:32" ht="12" customHeight="1" thickBot="1" x14ac:dyDescent="0.25">
      <c r="A37" s="168"/>
      <c r="B37" s="106"/>
      <c r="C37" s="160"/>
      <c r="D37" s="177">
        <f>+H37-E37</f>
        <v>0</v>
      </c>
      <c r="E37" s="163"/>
      <c r="F37" s="162"/>
      <c r="G37" s="163"/>
      <c r="H37" s="163"/>
      <c r="I37" s="163"/>
      <c r="J37" s="163"/>
      <c r="K37" s="163"/>
      <c r="L37" s="164"/>
      <c r="M37" s="164"/>
      <c r="N37" s="178"/>
      <c r="O37" s="165"/>
      <c r="P37" s="163"/>
      <c r="Q37" s="166"/>
      <c r="R37" s="163"/>
      <c r="S37" s="123">
        <f>+(H37-Q37)/22</f>
        <v>0</v>
      </c>
      <c r="T37" s="179"/>
      <c r="U37" s="164"/>
      <c r="V37" s="167">
        <f>+N37+U37</f>
        <v>0</v>
      </c>
      <c r="W37" s="12"/>
      <c r="X37" s="12"/>
      <c r="Y37" s="117">
        <f t="shared" si="5"/>
        <v>0</v>
      </c>
      <c r="Z37" s="123">
        <f>+ROUND(Y37*0.22,0)</f>
        <v>0</v>
      </c>
      <c r="AA37" s="147"/>
      <c r="AB37" s="125">
        <f t="shared" si="7"/>
        <v>0</v>
      </c>
      <c r="AC37" s="152">
        <f t="shared" si="8"/>
        <v>0</v>
      </c>
      <c r="AD37" s="180">
        <f>+C37*8*0.357*12</f>
        <v>0</v>
      </c>
      <c r="AE37" s="133"/>
      <c r="AF37" s="84"/>
    </row>
    <row r="38" spans="1:32" ht="15.75" customHeight="1" thickBot="1" x14ac:dyDescent="0.25">
      <c r="A38" s="181"/>
      <c r="B38" s="182" t="s">
        <v>102</v>
      </c>
      <c r="C38" s="183">
        <f t="shared" ref="C38:F39" si="16">+C10+C12+C14+C16+C18+C20+C22+C24+C26+C28+C30+C32+C34+C36</f>
        <v>371</v>
      </c>
      <c r="D38" s="182">
        <f t="shared" si="16"/>
        <v>1060934</v>
      </c>
      <c r="E38" s="182">
        <f t="shared" si="16"/>
        <v>14474</v>
      </c>
      <c r="F38" s="182">
        <f t="shared" si="16"/>
        <v>33249</v>
      </c>
      <c r="G38" s="184">
        <f>+G10+G12+G14+G16+G18+G20+G22+G24+G26+G28+G30+G32+G34+G36</f>
        <v>31000</v>
      </c>
      <c r="H38" s="182">
        <f t="shared" ref="H38:T39" si="17">+H10+H12+H14+H16+H18+H20+H22+H24+H26+H28+H30+H32+H34+H36</f>
        <v>1139657</v>
      </c>
      <c r="I38" s="182">
        <f t="shared" si="17"/>
        <v>0</v>
      </c>
      <c r="J38" s="182">
        <f t="shared" si="17"/>
        <v>26420</v>
      </c>
      <c r="K38" s="182">
        <f t="shared" si="17"/>
        <v>3529</v>
      </c>
      <c r="L38" s="182">
        <f t="shared" si="17"/>
        <v>0</v>
      </c>
      <c r="M38" s="182">
        <f t="shared" si="17"/>
        <v>0</v>
      </c>
      <c r="N38" s="182">
        <f t="shared" si="17"/>
        <v>1169606</v>
      </c>
      <c r="O38" s="182">
        <f t="shared" si="17"/>
        <v>16447</v>
      </c>
      <c r="P38" s="182">
        <f t="shared" si="17"/>
        <v>35616</v>
      </c>
      <c r="Q38" s="182">
        <f t="shared" si="17"/>
        <v>4317</v>
      </c>
      <c r="R38" s="182">
        <f t="shared" si="17"/>
        <v>960</v>
      </c>
      <c r="S38" s="182">
        <f>S10+S12+S14+S16+S18+S20+S22+S24+S26+S30+S32+S34</f>
        <v>47512</v>
      </c>
      <c r="T38" s="182">
        <f t="shared" si="17"/>
        <v>22260</v>
      </c>
      <c r="U38" s="182">
        <f>U10+U12+U14+U16+U18+U20+U22+U24+U26+U30+U32+U34</f>
        <v>127112</v>
      </c>
      <c r="V38" s="182">
        <f>V10+V12+V14+V16+V18+V20+V22+V24+V26+V30+V32+V34</f>
        <v>1296717.9999999998</v>
      </c>
      <c r="W38" s="12"/>
      <c r="X38" s="12"/>
      <c r="Y38" s="185">
        <f>Y10+Y12+Y14+Y16+Y18+Y20+Y22+Y24+Y26+Y30+Y32+Y34</f>
        <v>1261101.9999999998</v>
      </c>
      <c r="Z38" s="186">
        <f>Z10+Z12+Z14+Z16+Z18+Z20+Z22+Z24+Z26+Z30+Z32+Z34</f>
        <v>245916</v>
      </c>
      <c r="AA38" s="182">
        <f t="shared" ref="AA38:AE39" si="18">+AA10+AA12+AA14+AA16+AA18+AA20+AA22+AA24+AA26+AA28+AA30+AA32+AA34+AA36</f>
        <v>0</v>
      </c>
      <c r="AB38" s="187">
        <f t="shared" si="18"/>
        <v>4558.6280000000006</v>
      </c>
      <c r="AC38" s="188">
        <f>AC10+AC12+AC14+AC16+AC18+AC20+AC22+AC24+AC26+AC30+AC32+AC34</f>
        <v>250474.628</v>
      </c>
      <c r="AD38" s="185">
        <f t="shared" si="18"/>
        <v>14499.2736</v>
      </c>
      <c r="AE38" s="185">
        <f t="shared" si="18"/>
        <v>21611</v>
      </c>
      <c r="AF38" s="189"/>
    </row>
    <row r="39" spans="1:32" ht="13.5" thickBot="1" x14ac:dyDescent="0.25">
      <c r="A39" s="190"/>
      <c r="B39" s="73" t="s">
        <v>103</v>
      </c>
      <c r="C39" s="191">
        <f t="shared" si="16"/>
        <v>55.5</v>
      </c>
      <c r="D39" s="192">
        <f t="shared" si="16"/>
        <v>130680</v>
      </c>
      <c r="E39" s="192">
        <f t="shared" si="16"/>
        <v>849</v>
      </c>
      <c r="F39" s="192">
        <f t="shared" si="16"/>
        <v>9044</v>
      </c>
      <c r="G39" s="192">
        <f>+G11+G13+G15+G17+G19+G21+G23+G25+G27+G29+G31+G33+G35+G37</f>
        <v>8404</v>
      </c>
      <c r="H39" s="192">
        <f t="shared" si="17"/>
        <v>148977</v>
      </c>
      <c r="I39" s="192">
        <f t="shared" si="17"/>
        <v>0</v>
      </c>
      <c r="J39" s="192">
        <f t="shared" si="17"/>
        <v>1618</v>
      </c>
      <c r="K39" s="192">
        <f t="shared" si="17"/>
        <v>0</v>
      </c>
      <c r="L39" s="192">
        <f t="shared" si="17"/>
        <v>0</v>
      </c>
      <c r="M39" s="192">
        <f t="shared" si="17"/>
        <v>0</v>
      </c>
      <c r="N39" s="192">
        <f t="shared" si="17"/>
        <v>150595</v>
      </c>
      <c r="O39" s="192">
        <f t="shared" si="17"/>
        <v>3289</v>
      </c>
      <c r="P39" s="192">
        <f t="shared" si="17"/>
        <v>5328</v>
      </c>
      <c r="Q39" s="192">
        <f t="shared" si="17"/>
        <v>0</v>
      </c>
      <c r="R39" s="192">
        <f t="shared" si="17"/>
        <v>0</v>
      </c>
      <c r="S39" s="192">
        <f>S11+S13+S15+S17+S19+S21+S23+S25+S27+S31+S33+S35</f>
        <v>6243.090909090909</v>
      </c>
      <c r="T39" s="192">
        <f t="shared" si="17"/>
        <v>3330</v>
      </c>
      <c r="U39" s="192">
        <f>U11+U13+U15+U17+U19+U21+U23+U25+U27+U31+U33+U35</f>
        <v>18190.090909090908</v>
      </c>
      <c r="V39" s="192">
        <f>V11+V13+V15+V17+V19+V21+V23+V25+V27+V31+V33+V35</f>
        <v>168785.09090909091</v>
      </c>
      <c r="W39" s="81"/>
      <c r="X39" s="100"/>
      <c r="Y39" s="80">
        <f>Y11+Y13+Y15+Y17+Y19+Y21+Y23+Y25+Y27+Y31+Y33+Y35</f>
        <v>163457.09090909091</v>
      </c>
      <c r="Z39" s="193">
        <f>Z11+Z13+Z15+Z17+Z19+Z21+Z23+Z25+Z27+Z31+Z33+Z35</f>
        <v>31874</v>
      </c>
      <c r="AA39" s="192">
        <f t="shared" si="18"/>
        <v>0</v>
      </c>
      <c r="AB39" s="194">
        <f t="shared" si="18"/>
        <v>595.90800000000002</v>
      </c>
      <c r="AC39" s="190">
        <f>AC11+AC13+AC15+AC17+AC19+AC21+AC23+AC25+AC27+AC31+AC33+AC35</f>
        <v>32469.907999999999</v>
      </c>
      <c r="AD39" s="80">
        <f t="shared" si="18"/>
        <v>2169.0288</v>
      </c>
      <c r="AE39" s="80">
        <f t="shared" si="18"/>
        <v>3353</v>
      </c>
      <c r="AF39" s="189"/>
    </row>
    <row r="40" spans="1:32" ht="21" customHeight="1" thickBot="1" x14ac:dyDescent="0.25">
      <c r="A40" s="195"/>
      <c r="B40" s="196"/>
      <c r="C40" s="197"/>
      <c r="D40" s="196"/>
      <c r="E40" s="196"/>
      <c r="F40" s="198"/>
      <c r="G40" s="196"/>
      <c r="H40" s="199"/>
      <c r="I40" s="198"/>
      <c r="J40" s="198"/>
      <c r="K40" s="198"/>
      <c r="L40" s="198"/>
      <c r="M40" s="198"/>
      <c r="N40" s="196"/>
      <c r="O40" s="198"/>
      <c r="P40" s="198"/>
      <c r="Q40" s="198"/>
      <c r="R40" s="198"/>
      <c r="S40" s="198"/>
      <c r="T40" s="196"/>
      <c r="U40" s="196"/>
      <c r="V40" s="200"/>
      <c r="W40" s="12"/>
      <c r="X40" s="12"/>
      <c r="Y40" s="201"/>
      <c r="Z40" s="202"/>
      <c r="AA40" s="202"/>
      <c r="AB40" s="202"/>
      <c r="AC40" s="202"/>
      <c r="AD40" s="202"/>
      <c r="AE40" s="202"/>
      <c r="AF40" s="84"/>
    </row>
    <row r="41" spans="1:32" ht="15" customHeight="1" thickBot="1" x14ac:dyDescent="0.25">
      <c r="A41" s="203" t="s">
        <v>104</v>
      </c>
      <c r="B41" s="204" t="s">
        <v>105</v>
      </c>
      <c r="C41" s="74">
        <v>76</v>
      </c>
      <c r="D41" s="76">
        <f>H41-F41</f>
        <v>147199</v>
      </c>
      <c r="E41" s="76"/>
      <c r="F41" s="76">
        <v>13660</v>
      </c>
      <c r="G41" s="76"/>
      <c r="H41" s="76">
        <v>160859</v>
      </c>
      <c r="I41" s="76"/>
      <c r="J41" s="76">
        <v>360</v>
      </c>
      <c r="K41" s="76"/>
      <c r="L41" s="205"/>
      <c r="M41" s="205"/>
      <c r="N41" s="78">
        <f>SUM(H41:M41)</f>
        <v>161219</v>
      </c>
      <c r="O41" s="206">
        <v>207</v>
      </c>
      <c r="P41" s="76">
        <f>C41*8*12</f>
        <v>7296</v>
      </c>
      <c r="Q41" s="76">
        <v>437</v>
      </c>
      <c r="R41" s="76">
        <v>80</v>
      </c>
      <c r="S41" s="76">
        <f>(H41-12267-Q41)/22</f>
        <v>6734.318181818182</v>
      </c>
      <c r="T41" s="76">
        <f>C41*60</f>
        <v>4560</v>
      </c>
      <c r="U41" s="205">
        <f>+O41+P41+Q41+R41+S41+T41</f>
        <v>19314.318181818184</v>
      </c>
      <c r="V41" s="78">
        <f>+N41+U41</f>
        <v>180533.31818181818</v>
      </c>
      <c r="W41" s="12"/>
      <c r="X41" s="12"/>
      <c r="Y41" s="207">
        <f>+V41-P41</f>
        <v>173237.31818181818</v>
      </c>
      <c r="Z41" s="208">
        <f>+ROUND(Y41*0.195,0)</f>
        <v>33781</v>
      </c>
      <c r="AA41" s="208">
        <v>0</v>
      </c>
      <c r="AB41" s="208">
        <f>H41*0.004</f>
        <v>643.43600000000004</v>
      </c>
      <c r="AC41" s="78">
        <f>SUM(Z41:AB41)</f>
        <v>34424.436000000002</v>
      </c>
      <c r="AD41" s="209">
        <f>+P41*0.4071</f>
        <v>2970.2016000000003</v>
      </c>
      <c r="AE41" s="80">
        <v>4720</v>
      </c>
      <c r="AF41" s="84"/>
    </row>
    <row r="42" spans="1:32" ht="15.75" customHeight="1" thickBot="1" x14ac:dyDescent="0.25">
      <c r="A42" s="210"/>
      <c r="B42" s="211"/>
      <c r="C42" s="197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196"/>
      <c r="W42" s="12"/>
      <c r="X42" s="12"/>
      <c r="Y42" s="201"/>
      <c r="Z42" s="212"/>
      <c r="AA42" s="212"/>
      <c r="AB42" s="212"/>
      <c r="AC42" s="196"/>
      <c r="AD42" s="196"/>
      <c r="AE42" s="213"/>
    </row>
    <row r="43" spans="1:32" ht="23.25" customHeight="1" thickBot="1" x14ac:dyDescent="0.25">
      <c r="A43" s="214"/>
      <c r="B43" s="182" t="s">
        <v>106</v>
      </c>
      <c r="C43" s="215">
        <f>+C38</f>
        <v>371</v>
      </c>
      <c r="D43" s="182">
        <f t="shared" ref="D43:U43" si="19">+D38</f>
        <v>1060934</v>
      </c>
      <c r="E43" s="182">
        <f t="shared" si="19"/>
        <v>14474</v>
      </c>
      <c r="F43" s="182">
        <f>+F38</f>
        <v>33249</v>
      </c>
      <c r="G43" s="182">
        <f t="shared" si="19"/>
        <v>31000</v>
      </c>
      <c r="H43" s="182">
        <f t="shared" si="19"/>
        <v>1139657</v>
      </c>
      <c r="I43" s="182">
        <f t="shared" si="19"/>
        <v>0</v>
      </c>
      <c r="J43" s="182">
        <f t="shared" si="19"/>
        <v>26420</v>
      </c>
      <c r="K43" s="182">
        <f t="shared" si="19"/>
        <v>3529</v>
      </c>
      <c r="L43" s="182">
        <f t="shared" si="19"/>
        <v>0</v>
      </c>
      <c r="M43" s="216">
        <f t="shared" si="19"/>
        <v>0</v>
      </c>
      <c r="N43" s="185">
        <f t="shared" si="19"/>
        <v>1169606</v>
      </c>
      <c r="O43" s="217">
        <f t="shared" si="19"/>
        <v>16447</v>
      </c>
      <c r="P43" s="182">
        <f t="shared" si="19"/>
        <v>35616</v>
      </c>
      <c r="Q43" s="182">
        <f t="shared" si="19"/>
        <v>4317</v>
      </c>
      <c r="R43" s="182">
        <f t="shared" si="19"/>
        <v>960</v>
      </c>
      <c r="S43" s="182">
        <f t="shared" si="19"/>
        <v>47512</v>
      </c>
      <c r="T43" s="182">
        <f t="shared" si="19"/>
        <v>22260</v>
      </c>
      <c r="U43" s="216">
        <f t="shared" si="19"/>
        <v>127112</v>
      </c>
      <c r="V43" s="218">
        <f>+N43+U43</f>
        <v>1296718</v>
      </c>
      <c r="W43" s="12"/>
      <c r="X43" s="12"/>
      <c r="Y43" s="186">
        <f t="shared" ref="Y43:AE43" si="20">+Y38</f>
        <v>1261101.9999999998</v>
      </c>
      <c r="Z43" s="219">
        <f t="shared" si="20"/>
        <v>245916</v>
      </c>
      <c r="AA43" s="219">
        <f t="shared" si="20"/>
        <v>0</v>
      </c>
      <c r="AB43" s="220">
        <f t="shared" si="20"/>
        <v>4558.6280000000006</v>
      </c>
      <c r="AC43" s="188">
        <f t="shared" si="20"/>
        <v>250474.628</v>
      </c>
      <c r="AD43" s="186">
        <f t="shared" si="20"/>
        <v>14499.2736</v>
      </c>
      <c r="AE43" s="185">
        <f t="shared" si="20"/>
        <v>21611</v>
      </c>
    </row>
    <row r="44" spans="1:32" ht="24.75" customHeight="1" thickBot="1" x14ac:dyDescent="0.25">
      <c r="A44" s="221"/>
      <c r="B44" s="222" t="s">
        <v>107</v>
      </c>
      <c r="C44" s="223">
        <f>+C8+C39+C41</f>
        <v>281.5</v>
      </c>
      <c r="D44" s="222">
        <f t="shared" ref="D44:U44" si="21">+D8+D39+D41</f>
        <v>603295</v>
      </c>
      <c r="E44" s="222">
        <f t="shared" si="21"/>
        <v>8507</v>
      </c>
      <c r="F44" s="222">
        <f>+F8+F39+F41</f>
        <v>45330</v>
      </c>
      <c r="G44" s="222">
        <f t="shared" si="21"/>
        <v>8404</v>
      </c>
      <c r="H44" s="222">
        <f t="shared" si="21"/>
        <v>665536</v>
      </c>
      <c r="I44" s="222">
        <f t="shared" si="21"/>
        <v>0</v>
      </c>
      <c r="J44" s="222">
        <f t="shared" si="21"/>
        <v>9749</v>
      </c>
      <c r="K44" s="222">
        <f t="shared" si="21"/>
        <v>74</v>
      </c>
      <c r="L44" s="222">
        <f t="shared" si="21"/>
        <v>24749</v>
      </c>
      <c r="M44" s="224">
        <f t="shared" si="21"/>
        <v>7013</v>
      </c>
      <c r="N44" s="225">
        <f t="shared" si="21"/>
        <v>707121</v>
      </c>
      <c r="O44" s="226">
        <f t="shared" si="21"/>
        <v>9046</v>
      </c>
      <c r="P44" s="222">
        <f t="shared" si="21"/>
        <v>27024</v>
      </c>
      <c r="Q44" s="222">
        <f t="shared" si="21"/>
        <v>793</v>
      </c>
      <c r="R44" s="222">
        <f t="shared" si="21"/>
        <v>160</v>
      </c>
      <c r="S44" s="222">
        <f t="shared" si="21"/>
        <v>27897.909090909088</v>
      </c>
      <c r="T44" s="222">
        <f t="shared" si="21"/>
        <v>16890</v>
      </c>
      <c r="U44" s="224">
        <f t="shared" si="21"/>
        <v>81810.909090909088</v>
      </c>
      <c r="V44" s="80">
        <f>+N44+U44</f>
        <v>788931.90909090906</v>
      </c>
      <c r="W44" s="12"/>
      <c r="X44" s="12"/>
      <c r="Y44" s="222">
        <f t="shared" ref="Y44:AE44" si="22">+Y8+Y39+Y41</f>
        <v>761907.90909090918</v>
      </c>
      <c r="Z44" s="222">
        <f t="shared" si="22"/>
        <v>148572</v>
      </c>
      <c r="AA44" s="222">
        <f t="shared" si="22"/>
        <v>0</v>
      </c>
      <c r="AB44" s="222">
        <f t="shared" si="22"/>
        <v>2662.1440000000002</v>
      </c>
      <c r="AC44" s="222">
        <f t="shared" si="22"/>
        <v>151234.144</v>
      </c>
      <c r="AD44" s="222">
        <f t="shared" si="22"/>
        <v>11001.470400000002</v>
      </c>
      <c r="AE44" s="222">
        <f t="shared" si="22"/>
        <v>17388</v>
      </c>
    </row>
    <row r="45" spans="1:32" ht="17.25" customHeight="1" thickBot="1" x14ac:dyDescent="0.25">
      <c r="A45" s="227"/>
      <c r="B45" s="228"/>
      <c r="C45" s="229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30"/>
      <c r="W45" s="12"/>
      <c r="X45" s="12"/>
      <c r="Y45" s="231"/>
      <c r="Z45" s="232"/>
      <c r="AA45" s="232"/>
      <c r="AB45" s="232"/>
      <c r="AC45" s="231"/>
      <c r="AD45" s="231"/>
      <c r="AE45" s="231"/>
    </row>
    <row r="46" spans="1:32" s="246" customFormat="1" ht="24" customHeight="1" x14ac:dyDescent="0.2">
      <c r="A46" s="233" t="s">
        <v>108</v>
      </c>
      <c r="B46" s="234" t="s">
        <v>109</v>
      </c>
      <c r="C46" s="235"/>
      <c r="D46" s="236"/>
      <c r="E46" s="236"/>
      <c r="F46" s="236"/>
      <c r="G46" s="236"/>
      <c r="H46" s="236"/>
      <c r="I46" s="236"/>
      <c r="J46" s="236"/>
      <c r="K46" s="236"/>
      <c r="L46" s="237"/>
      <c r="M46" s="237"/>
      <c r="N46" s="238"/>
      <c r="O46" s="239"/>
      <c r="P46" s="236"/>
      <c r="Q46" s="236"/>
      <c r="R46" s="236"/>
      <c r="S46" s="236"/>
      <c r="T46" s="240"/>
      <c r="U46" s="241"/>
      <c r="V46" s="242"/>
      <c r="W46" s="12"/>
      <c r="X46" s="12"/>
      <c r="Y46" s="243"/>
      <c r="Z46" s="236"/>
      <c r="AA46" s="236"/>
      <c r="AB46" s="236"/>
      <c r="AC46" s="238"/>
      <c r="AD46" s="238"/>
      <c r="AE46" s="244"/>
      <c r="AF46" s="245"/>
    </row>
    <row r="47" spans="1:32" s="246" customFormat="1" ht="15" customHeight="1" x14ac:dyDescent="0.2">
      <c r="A47" s="247" t="s">
        <v>76</v>
      </c>
      <c r="B47" s="248" t="s">
        <v>110</v>
      </c>
      <c r="C47" s="249">
        <v>11</v>
      </c>
      <c r="D47" s="250">
        <f t="shared" ref="D47:D53" si="23">H47-G47-F47-E47</f>
        <v>20783</v>
      </c>
      <c r="E47" s="250">
        <v>110</v>
      </c>
      <c r="F47" s="251">
        <v>1716</v>
      </c>
      <c r="G47" s="252">
        <v>3574</v>
      </c>
      <c r="H47" s="250">
        <v>26183</v>
      </c>
      <c r="I47" s="250">
        <v>521</v>
      </c>
      <c r="J47" s="250">
        <v>960</v>
      </c>
      <c r="K47" s="250">
        <v>480</v>
      </c>
      <c r="L47" s="252"/>
      <c r="M47" s="252"/>
      <c r="N47" s="253">
        <f t="shared" ref="N47:N53" si="24">H47+I47+J47+K47+M47</f>
        <v>28144</v>
      </c>
      <c r="O47" s="254">
        <v>1089</v>
      </c>
      <c r="P47" s="255">
        <f t="shared" ref="P47:P52" si="25">C47*8*12</f>
        <v>1056</v>
      </c>
      <c r="Q47" s="250">
        <v>300</v>
      </c>
      <c r="R47" s="250">
        <v>80</v>
      </c>
      <c r="S47" s="255">
        <f>+(H47-1732-Q47)/22</f>
        <v>1097.7727272727273</v>
      </c>
      <c r="T47" s="256">
        <v>3120</v>
      </c>
      <c r="U47" s="257">
        <f t="shared" ref="U47:U53" si="26">SUM(O47:T47)</f>
        <v>6742.772727272727</v>
      </c>
      <c r="V47" s="258">
        <f t="shared" ref="V47:V53" si="27">+N47+U47</f>
        <v>34886.772727272728</v>
      </c>
      <c r="W47" s="12"/>
      <c r="X47" s="12"/>
      <c r="Y47" s="117">
        <f t="shared" ref="Y47:Y53" si="28">+V47-P47</f>
        <v>33830.772727272728</v>
      </c>
      <c r="Z47" s="123">
        <f t="shared" ref="Z47:Z53" si="29">+ROUND(Y47*0.195,0)</f>
        <v>6597</v>
      </c>
      <c r="AA47" s="123">
        <v>0</v>
      </c>
      <c r="AB47" s="125">
        <f t="shared" ref="AB47:AB53" si="30">+H47*0.004</f>
        <v>104.732</v>
      </c>
      <c r="AC47" s="131">
        <f t="shared" ref="AC47:AC53" si="31">SUM(Z47:AB47)</f>
        <v>6701.732</v>
      </c>
      <c r="AD47" s="131">
        <f t="shared" ref="AD47:AD53" si="32">+P47*0.4071</f>
        <v>429.89760000000001</v>
      </c>
      <c r="AE47" s="132">
        <v>0</v>
      </c>
      <c r="AF47" s="245"/>
    </row>
    <row r="48" spans="1:32" s="246" customFormat="1" ht="15" customHeight="1" x14ac:dyDescent="0.2">
      <c r="A48" s="259" t="s">
        <v>79</v>
      </c>
      <c r="B48" s="106" t="s">
        <v>111</v>
      </c>
      <c r="C48" s="260">
        <v>27</v>
      </c>
      <c r="D48" s="250">
        <f t="shared" si="23"/>
        <v>52937</v>
      </c>
      <c r="E48" s="261">
        <v>175</v>
      </c>
      <c r="F48" s="262">
        <v>4886</v>
      </c>
      <c r="G48" s="263">
        <v>9422</v>
      </c>
      <c r="H48" s="261">
        <v>67420</v>
      </c>
      <c r="I48" s="261"/>
      <c r="J48" s="261">
        <v>2772</v>
      </c>
      <c r="K48" s="261">
        <v>480</v>
      </c>
      <c r="L48" s="263"/>
      <c r="M48" s="263"/>
      <c r="N48" s="253">
        <f t="shared" si="24"/>
        <v>70672</v>
      </c>
      <c r="O48" s="264">
        <v>903</v>
      </c>
      <c r="P48" s="255">
        <f t="shared" si="25"/>
        <v>2592</v>
      </c>
      <c r="Q48" s="261">
        <v>238</v>
      </c>
      <c r="R48" s="261">
        <v>80</v>
      </c>
      <c r="S48" s="255">
        <f>+(H48-4411-Q48)/22</f>
        <v>2853.2272727272725</v>
      </c>
      <c r="T48" s="261">
        <v>6150</v>
      </c>
      <c r="U48" s="263">
        <f t="shared" si="26"/>
        <v>12816.227272727272</v>
      </c>
      <c r="V48" s="258">
        <f t="shared" si="27"/>
        <v>83488.227272727265</v>
      </c>
      <c r="W48" s="265"/>
      <c r="X48" s="265"/>
      <c r="Y48" s="117">
        <f t="shared" si="28"/>
        <v>80896.227272727265</v>
      </c>
      <c r="Z48" s="123">
        <f t="shared" si="29"/>
        <v>15775</v>
      </c>
      <c r="AA48" s="266">
        <v>0</v>
      </c>
      <c r="AB48" s="125">
        <f t="shared" si="30"/>
        <v>269.68</v>
      </c>
      <c r="AC48" s="267">
        <f t="shared" si="31"/>
        <v>16044.68</v>
      </c>
      <c r="AD48" s="131">
        <f t="shared" si="32"/>
        <v>1055.2032000000002</v>
      </c>
      <c r="AE48" s="268">
        <v>1677</v>
      </c>
      <c r="AF48" s="245"/>
    </row>
    <row r="49" spans="1:32" s="246" customFormat="1" ht="15" customHeight="1" x14ac:dyDescent="0.2">
      <c r="A49" s="259"/>
      <c r="B49" s="106" t="s">
        <v>112</v>
      </c>
      <c r="C49" s="269">
        <v>2</v>
      </c>
      <c r="D49" s="270">
        <f t="shared" si="23"/>
        <v>3864</v>
      </c>
      <c r="E49" s="271"/>
      <c r="F49" s="272">
        <v>429</v>
      </c>
      <c r="G49" s="273">
        <v>0</v>
      </c>
      <c r="H49" s="273">
        <v>4293</v>
      </c>
      <c r="I49" s="273"/>
      <c r="J49" s="273">
        <v>1128</v>
      </c>
      <c r="K49" s="273"/>
      <c r="L49" s="273"/>
      <c r="M49" s="273"/>
      <c r="N49" s="274">
        <f t="shared" si="24"/>
        <v>5421</v>
      </c>
      <c r="O49" s="275"/>
      <c r="P49" s="273">
        <f t="shared" si="25"/>
        <v>192</v>
      </c>
      <c r="Q49" s="270"/>
      <c r="R49" s="271"/>
      <c r="S49" s="273">
        <f>+(H49-322-Q49)/22</f>
        <v>180.5</v>
      </c>
      <c r="T49" s="270"/>
      <c r="U49" s="276">
        <f t="shared" si="26"/>
        <v>372.5</v>
      </c>
      <c r="V49" s="258">
        <f t="shared" si="27"/>
        <v>5793.5</v>
      </c>
      <c r="W49" s="12"/>
      <c r="X49" s="12"/>
      <c r="Y49" s="117">
        <f t="shared" si="28"/>
        <v>5601.5</v>
      </c>
      <c r="Z49" s="277">
        <f t="shared" si="29"/>
        <v>1092</v>
      </c>
      <c r="AA49" s="277"/>
      <c r="AB49" s="277">
        <f t="shared" si="30"/>
        <v>17.172000000000001</v>
      </c>
      <c r="AC49" s="278">
        <f t="shared" si="31"/>
        <v>1109.172</v>
      </c>
      <c r="AD49" s="118">
        <f t="shared" si="32"/>
        <v>78.163200000000003</v>
      </c>
      <c r="AE49" s="119">
        <v>124</v>
      </c>
      <c r="AF49" s="245"/>
    </row>
    <row r="50" spans="1:32" s="246" customFormat="1" ht="15" customHeight="1" x14ac:dyDescent="0.2">
      <c r="A50" s="259" t="s">
        <v>81</v>
      </c>
      <c r="B50" s="106" t="s">
        <v>113</v>
      </c>
      <c r="C50" s="249">
        <v>28</v>
      </c>
      <c r="D50" s="250">
        <f t="shared" si="23"/>
        <v>54480</v>
      </c>
      <c r="E50" s="250"/>
      <c r="F50" s="251">
        <v>5833</v>
      </c>
      <c r="G50" s="252">
        <v>9097</v>
      </c>
      <c r="H50" s="250">
        <v>69410</v>
      </c>
      <c r="I50" s="250"/>
      <c r="J50" s="250">
        <v>1560</v>
      </c>
      <c r="K50" s="250">
        <v>420</v>
      </c>
      <c r="L50" s="252"/>
      <c r="M50" s="252"/>
      <c r="N50" s="253">
        <f t="shared" si="24"/>
        <v>71390</v>
      </c>
      <c r="O50" s="254">
        <v>661</v>
      </c>
      <c r="P50" s="255">
        <f t="shared" si="25"/>
        <v>2688</v>
      </c>
      <c r="Q50" s="250">
        <v>221</v>
      </c>
      <c r="R50" s="250">
        <v>80</v>
      </c>
      <c r="S50" s="255">
        <f>+(H50-4540-Q50)/22</f>
        <v>2938.590909090909</v>
      </c>
      <c r="T50" s="256">
        <v>4028</v>
      </c>
      <c r="U50" s="257">
        <f t="shared" si="26"/>
        <v>10616.590909090908</v>
      </c>
      <c r="V50" s="258">
        <f t="shared" si="27"/>
        <v>82006.590909090912</v>
      </c>
      <c r="W50" s="12"/>
      <c r="X50" s="12"/>
      <c r="Y50" s="117">
        <f t="shared" si="28"/>
        <v>79318.590909090912</v>
      </c>
      <c r="Z50" s="123">
        <f t="shared" si="29"/>
        <v>15467</v>
      </c>
      <c r="AA50" s="123">
        <v>0</v>
      </c>
      <c r="AB50" s="125">
        <f t="shared" si="30"/>
        <v>277.64</v>
      </c>
      <c r="AC50" s="131">
        <f t="shared" si="31"/>
        <v>15744.64</v>
      </c>
      <c r="AD50" s="131">
        <f t="shared" si="32"/>
        <v>1094.2848000000001</v>
      </c>
      <c r="AE50" s="132">
        <v>1739</v>
      </c>
      <c r="AF50" s="245"/>
    </row>
    <row r="51" spans="1:32" s="246" customFormat="1" ht="15" customHeight="1" x14ac:dyDescent="0.2">
      <c r="A51" s="259" t="s">
        <v>83</v>
      </c>
      <c r="B51" s="106" t="s">
        <v>114</v>
      </c>
      <c r="C51" s="249">
        <v>16</v>
      </c>
      <c r="D51" s="250">
        <f t="shared" si="23"/>
        <v>32979</v>
      </c>
      <c r="E51" s="250"/>
      <c r="F51" s="251">
        <v>3154</v>
      </c>
      <c r="G51" s="252">
        <v>5198</v>
      </c>
      <c r="H51" s="250">
        <v>41331</v>
      </c>
      <c r="I51" s="250">
        <v>118</v>
      </c>
      <c r="J51" s="250">
        <v>840</v>
      </c>
      <c r="K51" s="250">
        <v>420</v>
      </c>
      <c r="L51" s="252"/>
      <c r="M51" s="252"/>
      <c r="N51" s="253">
        <f t="shared" si="24"/>
        <v>42709</v>
      </c>
      <c r="O51" s="127"/>
      <c r="P51" s="255">
        <f t="shared" si="25"/>
        <v>1536</v>
      </c>
      <c r="Q51" s="250">
        <v>218</v>
      </c>
      <c r="R51" s="250">
        <v>80</v>
      </c>
      <c r="S51" s="255">
        <f>+(H51-2748-Q51)/22</f>
        <v>1743.8636363636363</v>
      </c>
      <c r="T51" s="256">
        <v>2439</v>
      </c>
      <c r="U51" s="257">
        <f t="shared" si="26"/>
        <v>6016.863636363636</v>
      </c>
      <c r="V51" s="258">
        <f t="shared" si="27"/>
        <v>48725.863636363632</v>
      </c>
      <c r="W51" s="12"/>
      <c r="X51" s="12"/>
      <c r="Y51" s="117">
        <f t="shared" si="28"/>
        <v>47189.863636363632</v>
      </c>
      <c r="Z51" s="123">
        <f t="shared" si="29"/>
        <v>9202</v>
      </c>
      <c r="AA51" s="123">
        <v>0</v>
      </c>
      <c r="AB51" s="125">
        <f t="shared" si="30"/>
        <v>165.32400000000001</v>
      </c>
      <c r="AC51" s="131">
        <f t="shared" si="31"/>
        <v>9367.3240000000005</v>
      </c>
      <c r="AD51" s="131">
        <f t="shared" si="32"/>
        <v>625.30560000000003</v>
      </c>
      <c r="AE51" s="132">
        <v>0</v>
      </c>
      <c r="AF51" s="245"/>
    </row>
    <row r="52" spans="1:32" s="246" customFormat="1" ht="15" customHeight="1" x14ac:dyDescent="0.2">
      <c r="A52" s="259" t="s">
        <v>85</v>
      </c>
      <c r="B52" s="106" t="s">
        <v>115</v>
      </c>
      <c r="C52" s="249">
        <v>33</v>
      </c>
      <c r="D52" s="250">
        <f t="shared" si="23"/>
        <v>68161</v>
      </c>
      <c r="E52" s="250">
        <v>186</v>
      </c>
      <c r="F52" s="251">
        <v>5125</v>
      </c>
      <c r="G52" s="252">
        <v>10722</v>
      </c>
      <c r="H52" s="250">
        <v>84194</v>
      </c>
      <c r="I52" s="250">
        <v>2514</v>
      </c>
      <c r="J52" s="250">
        <v>1080</v>
      </c>
      <c r="K52" s="250">
        <v>288</v>
      </c>
      <c r="L52" s="252"/>
      <c r="M52" s="252"/>
      <c r="N52" s="253">
        <f t="shared" si="24"/>
        <v>88076</v>
      </c>
      <c r="O52" s="254">
        <v>2361</v>
      </c>
      <c r="P52" s="255">
        <f t="shared" si="25"/>
        <v>3168</v>
      </c>
      <c r="Q52" s="250">
        <v>262</v>
      </c>
      <c r="R52" s="250">
        <v>80</v>
      </c>
      <c r="S52" s="255">
        <f>+(H52-5680-Q52)/22</f>
        <v>3556.909090909091</v>
      </c>
      <c r="T52" s="256">
        <v>17565</v>
      </c>
      <c r="U52" s="257">
        <f t="shared" si="26"/>
        <v>26992.909090909092</v>
      </c>
      <c r="V52" s="258">
        <f t="shared" si="27"/>
        <v>115068.90909090909</v>
      </c>
      <c r="W52" s="12"/>
      <c r="X52" s="12"/>
      <c r="Y52" s="117">
        <f t="shared" si="28"/>
        <v>111900.90909090909</v>
      </c>
      <c r="Z52" s="123">
        <f t="shared" si="29"/>
        <v>21821</v>
      </c>
      <c r="AA52" s="123">
        <v>0</v>
      </c>
      <c r="AB52" s="125">
        <f t="shared" si="30"/>
        <v>336.77600000000001</v>
      </c>
      <c r="AC52" s="131">
        <f t="shared" si="31"/>
        <v>22157.776000000002</v>
      </c>
      <c r="AD52" s="131">
        <f t="shared" si="32"/>
        <v>1289.6928</v>
      </c>
      <c r="AE52" s="133">
        <v>2049</v>
      </c>
      <c r="AF52" s="245"/>
    </row>
    <row r="53" spans="1:32" s="246" customFormat="1" ht="15" customHeight="1" thickBot="1" x14ac:dyDescent="0.25">
      <c r="A53" s="279"/>
      <c r="B53" s="280" t="s">
        <v>116</v>
      </c>
      <c r="C53" s="281">
        <v>3</v>
      </c>
      <c r="D53" s="250">
        <f t="shared" si="23"/>
        <v>1818</v>
      </c>
      <c r="E53" s="282"/>
      <c r="F53" s="283"/>
      <c r="G53" s="282"/>
      <c r="H53" s="282">
        <v>1818</v>
      </c>
      <c r="I53" s="282"/>
      <c r="J53" s="282"/>
      <c r="K53" s="282"/>
      <c r="L53" s="284"/>
      <c r="M53" s="284"/>
      <c r="N53" s="253">
        <f t="shared" si="24"/>
        <v>1818</v>
      </c>
      <c r="O53" s="285"/>
      <c r="P53" s="255">
        <f>C53*8*3</f>
        <v>72</v>
      </c>
      <c r="Q53" s="285"/>
      <c r="R53" s="285"/>
      <c r="S53" s="285"/>
      <c r="T53" s="256"/>
      <c r="U53" s="257">
        <f t="shared" si="26"/>
        <v>72</v>
      </c>
      <c r="V53" s="258">
        <f t="shared" si="27"/>
        <v>1890</v>
      </c>
      <c r="W53" s="12"/>
      <c r="X53" s="12"/>
      <c r="Y53" s="117">
        <f t="shared" si="28"/>
        <v>1818</v>
      </c>
      <c r="Z53" s="123">
        <f t="shared" si="29"/>
        <v>355</v>
      </c>
      <c r="AA53" s="147"/>
      <c r="AB53" s="286">
        <f t="shared" si="30"/>
        <v>7.2720000000000002</v>
      </c>
      <c r="AC53" s="131">
        <f t="shared" si="31"/>
        <v>362.27199999999999</v>
      </c>
      <c r="AD53" s="131">
        <f t="shared" si="32"/>
        <v>29.311199999999999</v>
      </c>
      <c r="AE53" s="133">
        <v>47</v>
      </c>
      <c r="AF53" s="245"/>
    </row>
    <row r="54" spans="1:32" s="246" customFormat="1" ht="15" customHeight="1" thickBot="1" x14ac:dyDescent="0.25">
      <c r="A54" s="214"/>
      <c r="B54" s="287" t="s">
        <v>117</v>
      </c>
      <c r="C54" s="183">
        <f t="shared" ref="C54:U54" si="33">+C49</f>
        <v>2</v>
      </c>
      <c r="D54" s="219">
        <f t="shared" si="33"/>
        <v>3864</v>
      </c>
      <c r="E54" s="219">
        <f t="shared" si="33"/>
        <v>0</v>
      </c>
      <c r="F54" s="219">
        <f>+F49</f>
        <v>429</v>
      </c>
      <c r="G54" s="219"/>
      <c r="H54" s="219">
        <f t="shared" si="33"/>
        <v>4293</v>
      </c>
      <c r="I54" s="219">
        <f t="shared" si="33"/>
        <v>0</v>
      </c>
      <c r="J54" s="219">
        <f t="shared" si="33"/>
        <v>1128</v>
      </c>
      <c r="K54" s="219">
        <f t="shared" si="33"/>
        <v>0</v>
      </c>
      <c r="L54" s="219"/>
      <c r="M54" s="219">
        <f t="shared" si="33"/>
        <v>0</v>
      </c>
      <c r="N54" s="185">
        <f t="shared" si="33"/>
        <v>5421</v>
      </c>
      <c r="O54" s="217">
        <f t="shared" si="33"/>
        <v>0</v>
      </c>
      <c r="P54" s="217">
        <f t="shared" si="33"/>
        <v>192</v>
      </c>
      <c r="Q54" s="217">
        <f t="shared" si="33"/>
        <v>0</v>
      </c>
      <c r="R54" s="217">
        <f t="shared" si="33"/>
        <v>0</v>
      </c>
      <c r="S54" s="217">
        <f t="shared" si="33"/>
        <v>180.5</v>
      </c>
      <c r="T54" s="288">
        <f t="shared" si="33"/>
        <v>0</v>
      </c>
      <c r="U54" s="289">
        <f t="shared" si="33"/>
        <v>372.5</v>
      </c>
      <c r="V54" s="185">
        <f>+V49</f>
        <v>5793.5</v>
      </c>
      <c r="W54" s="12"/>
      <c r="X54" s="12"/>
      <c r="Y54" s="288">
        <f t="shared" ref="Y54:AE54" si="34">+Y49</f>
        <v>5601.5</v>
      </c>
      <c r="Z54" s="288">
        <f t="shared" si="34"/>
        <v>1092</v>
      </c>
      <c r="AA54" s="288">
        <f t="shared" si="34"/>
        <v>0</v>
      </c>
      <c r="AB54" s="288">
        <f t="shared" si="34"/>
        <v>17.172000000000001</v>
      </c>
      <c r="AC54" s="288">
        <f t="shared" si="34"/>
        <v>1109.172</v>
      </c>
      <c r="AD54" s="288">
        <f t="shared" si="34"/>
        <v>78.163200000000003</v>
      </c>
      <c r="AE54" s="288">
        <f t="shared" si="34"/>
        <v>124</v>
      </c>
      <c r="AF54" s="245"/>
    </row>
    <row r="55" spans="1:32" s="246" customFormat="1" ht="15" customHeight="1" thickBot="1" x14ac:dyDescent="0.25">
      <c r="A55" s="190"/>
      <c r="B55" s="73" t="s">
        <v>118</v>
      </c>
      <c r="C55" s="191">
        <f t="shared" ref="C55:V55" si="35">+C47+C48+C50+C51+C52+C53</f>
        <v>118</v>
      </c>
      <c r="D55" s="192">
        <f t="shared" si="35"/>
        <v>231158</v>
      </c>
      <c r="E55" s="192">
        <f t="shared" si="35"/>
        <v>471</v>
      </c>
      <c r="F55" s="192">
        <f>+F47+F48+F50+F51+F52+F53</f>
        <v>20714</v>
      </c>
      <c r="G55" s="192">
        <f t="shared" si="35"/>
        <v>38013</v>
      </c>
      <c r="H55" s="192">
        <f>+H47+H48+H50+H51+H52+H53</f>
        <v>290356</v>
      </c>
      <c r="I55" s="192">
        <f t="shared" si="35"/>
        <v>3153</v>
      </c>
      <c r="J55" s="192">
        <f t="shared" si="35"/>
        <v>7212</v>
      </c>
      <c r="K55" s="192">
        <f t="shared" si="35"/>
        <v>2088</v>
      </c>
      <c r="L55" s="192">
        <f t="shared" si="35"/>
        <v>0</v>
      </c>
      <c r="M55" s="192">
        <f t="shared" si="35"/>
        <v>0</v>
      </c>
      <c r="N55" s="192">
        <f t="shared" si="35"/>
        <v>302809</v>
      </c>
      <c r="O55" s="192">
        <f t="shared" si="35"/>
        <v>5014</v>
      </c>
      <c r="P55" s="192">
        <f t="shared" si="35"/>
        <v>11112</v>
      </c>
      <c r="Q55" s="192">
        <f t="shared" si="35"/>
        <v>1239</v>
      </c>
      <c r="R55" s="192">
        <f t="shared" si="35"/>
        <v>400</v>
      </c>
      <c r="S55" s="192">
        <f t="shared" si="35"/>
        <v>12190.363636363636</v>
      </c>
      <c r="T55" s="192">
        <f t="shared" si="35"/>
        <v>33302</v>
      </c>
      <c r="U55" s="192">
        <f t="shared" si="35"/>
        <v>63257.363636363632</v>
      </c>
      <c r="V55" s="192">
        <f t="shared" si="35"/>
        <v>366066.36363636365</v>
      </c>
      <c r="W55" s="12"/>
      <c r="X55" s="100"/>
      <c r="Y55" s="192">
        <f t="shared" ref="Y55:AE55" si="36">+Y47+Y48+Y50+Y51+Y52+Y53</f>
        <v>354954.36363636365</v>
      </c>
      <c r="Z55" s="192">
        <f t="shared" si="36"/>
        <v>69217</v>
      </c>
      <c r="AA55" s="192">
        <f t="shared" si="36"/>
        <v>0</v>
      </c>
      <c r="AB55" s="192">
        <f t="shared" si="36"/>
        <v>1161.424</v>
      </c>
      <c r="AC55" s="192">
        <f t="shared" si="36"/>
        <v>70378.423999999999</v>
      </c>
      <c r="AD55" s="192">
        <f t="shared" si="36"/>
        <v>4523.695200000001</v>
      </c>
      <c r="AE55" s="192">
        <f t="shared" si="36"/>
        <v>5512</v>
      </c>
      <c r="AF55" s="245"/>
    </row>
    <row r="56" spans="1:32" s="246" customFormat="1" ht="15.75" customHeight="1" thickBot="1" x14ac:dyDescent="0.25">
      <c r="A56" s="290"/>
      <c r="B56" s="291"/>
      <c r="C56" s="29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93"/>
      <c r="U56" s="293"/>
      <c r="V56" s="293"/>
      <c r="W56" s="12"/>
      <c r="X56" s="12"/>
      <c r="Y56" s="293"/>
      <c r="Z56" s="202"/>
      <c r="AA56" s="202"/>
      <c r="AB56" s="202"/>
      <c r="AC56" s="202"/>
      <c r="AD56" s="202"/>
      <c r="AE56" s="202"/>
      <c r="AF56" s="245"/>
    </row>
    <row r="57" spans="1:32" s="246" customFormat="1" ht="15.75" customHeight="1" thickBot="1" x14ac:dyDescent="0.3">
      <c r="A57" s="214"/>
      <c r="B57" s="294" t="s">
        <v>119</v>
      </c>
      <c r="C57" s="295">
        <f t="shared" ref="C57:U58" si="37">+C43+C54</f>
        <v>373</v>
      </c>
      <c r="D57" s="296">
        <f t="shared" si="37"/>
        <v>1064798</v>
      </c>
      <c r="E57" s="296">
        <f t="shared" si="37"/>
        <v>14474</v>
      </c>
      <c r="F57" s="296">
        <f>+F43+F54</f>
        <v>33678</v>
      </c>
      <c r="G57" s="182">
        <f t="shared" si="37"/>
        <v>31000</v>
      </c>
      <c r="H57" s="296">
        <f t="shared" si="37"/>
        <v>1143950</v>
      </c>
      <c r="I57" s="296">
        <f t="shared" si="37"/>
        <v>0</v>
      </c>
      <c r="J57" s="296">
        <f t="shared" si="37"/>
        <v>27548</v>
      </c>
      <c r="K57" s="296">
        <f t="shared" si="37"/>
        <v>3529</v>
      </c>
      <c r="L57" s="296">
        <f t="shared" si="37"/>
        <v>0</v>
      </c>
      <c r="M57" s="297">
        <f t="shared" si="37"/>
        <v>0</v>
      </c>
      <c r="N57" s="298">
        <f t="shared" si="37"/>
        <v>1175027</v>
      </c>
      <c r="O57" s="299">
        <f t="shared" si="37"/>
        <v>16447</v>
      </c>
      <c r="P57" s="299">
        <f t="shared" si="37"/>
        <v>35808</v>
      </c>
      <c r="Q57" s="299">
        <f t="shared" si="37"/>
        <v>4317</v>
      </c>
      <c r="R57" s="299">
        <f t="shared" si="37"/>
        <v>960</v>
      </c>
      <c r="S57" s="299">
        <f t="shared" si="37"/>
        <v>47692.5</v>
      </c>
      <c r="T57" s="299">
        <f t="shared" si="37"/>
        <v>22260</v>
      </c>
      <c r="U57" s="297">
        <f t="shared" si="37"/>
        <v>127484.5</v>
      </c>
      <c r="V57" s="218">
        <f>+N57+U57</f>
        <v>1302511.5</v>
      </c>
      <c r="W57" s="12"/>
      <c r="X57" s="12"/>
      <c r="Y57" s="300">
        <f t="shared" ref="Y57:AE58" si="38">+Y43+Y54</f>
        <v>1266703.4999999998</v>
      </c>
      <c r="Z57" s="296">
        <f t="shared" si="38"/>
        <v>247008</v>
      </c>
      <c r="AA57" s="296">
        <f t="shared" si="38"/>
        <v>0</v>
      </c>
      <c r="AB57" s="299">
        <f t="shared" si="38"/>
        <v>4575.8</v>
      </c>
      <c r="AC57" s="296">
        <f t="shared" si="38"/>
        <v>251583.8</v>
      </c>
      <c r="AD57" s="297">
        <f t="shared" si="38"/>
        <v>14577.436800000001</v>
      </c>
      <c r="AE57" s="301">
        <f t="shared" si="38"/>
        <v>21735</v>
      </c>
      <c r="AF57" s="245"/>
    </row>
    <row r="58" spans="1:32" ht="16.5" thickBot="1" x14ac:dyDescent="0.3">
      <c r="A58" s="190"/>
      <c r="B58" s="302" t="s">
        <v>120</v>
      </c>
      <c r="C58" s="191">
        <f t="shared" si="37"/>
        <v>399.5</v>
      </c>
      <c r="D58" s="192">
        <f t="shared" si="37"/>
        <v>834453</v>
      </c>
      <c r="E58" s="192">
        <f t="shared" si="37"/>
        <v>8978</v>
      </c>
      <c r="F58" s="192">
        <f>+F44+F55</f>
        <v>66044</v>
      </c>
      <c r="G58" s="192">
        <f t="shared" si="37"/>
        <v>46417</v>
      </c>
      <c r="H58" s="192">
        <f t="shared" si="37"/>
        <v>955892</v>
      </c>
      <c r="I58" s="192">
        <f t="shared" si="37"/>
        <v>3153</v>
      </c>
      <c r="J58" s="192">
        <f t="shared" si="37"/>
        <v>16961</v>
      </c>
      <c r="K58" s="192">
        <f t="shared" si="37"/>
        <v>2162</v>
      </c>
      <c r="L58" s="192">
        <f t="shared" si="37"/>
        <v>24749</v>
      </c>
      <c r="M58" s="79">
        <f t="shared" si="37"/>
        <v>7013</v>
      </c>
      <c r="N58" s="80">
        <f t="shared" si="37"/>
        <v>1009930</v>
      </c>
      <c r="O58" s="303">
        <f t="shared" si="37"/>
        <v>14060</v>
      </c>
      <c r="P58" s="303">
        <f t="shared" si="37"/>
        <v>38136</v>
      </c>
      <c r="Q58" s="303">
        <f t="shared" si="37"/>
        <v>2032</v>
      </c>
      <c r="R58" s="303">
        <f t="shared" si="37"/>
        <v>560</v>
      </c>
      <c r="S58" s="303">
        <f t="shared" si="37"/>
        <v>40088.272727272721</v>
      </c>
      <c r="T58" s="303">
        <f t="shared" si="37"/>
        <v>50192</v>
      </c>
      <c r="U58" s="79">
        <f t="shared" si="37"/>
        <v>145068.27272727271</v>
      </c>
      <c r="V58" s="80">
        <f>+V44+V55</f>
        <v>1154998.2727272727</v>
      </c>
      <c r="W58" s="81"/>
      <c r="X58" s="100"/>
      <c r="Y58" s="193">
        <f t="shared" si="38"/>
        <v>1116862.2727272729</v>
      </c>
      <c r="Z58" s="192">
        <f t="shared" si="38"/>
        <v>217789</v>
      </c>
      <c r="AA58" s="192">
        <f t="shared" si="38"/>
        <v>0</v>
      </c>
      <c r="AB58" s="303">
        <f t="shared" si="38"/>
        <v>3823.5680000000002</v>
      </c>
      <c r="AC58" s="190">
        <f t="shared" si="38"/>
        <v>221612.568</v>
      </c>
      <c r="AD58" s="193">
        <f t="shared" si="38"/>
        <v>15525.165600000004</v>
      </c>
      <c r="AE58" s="80">
        <f t="shared" si="38"/>
        <v>22900</v>
      </c>
      <c r="AF58" s="84"/>
    </row>
    <row r="59" spans="1:32" ht="18.75" customHeight="1" thickBot="1" x14ac:dyDescent="0.3">
      <c r="B59" s="304"/>
      <c r="C59" s="305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7"/>
      <c r="V59" s="308"/>
      <c r="W59" s="12"/>
      <c r="X59" s="309"/>
      <c r="Y59" s="306"/>
      <c r="Z59" s="306"/>
      <c r="AA59" s="306"/>
      <c r="AB59" s="306"/>
      <c r="AC59" s="307"/>
      <c r="AF59" s="84"/>
    </row>
    <row r="60" spans="1:32" ht="22.5" customHeight="1" thickBot="1" x14ac:dyDescent="0.3">
      <c r="A60" s="310"/>
      <c r="B60" s="311" t="s">
        <v>121</v>
      </c>
      <c r="C60" s="312">
        <f>+C57+C58</f>
        <v>772.5</v>
      </c>
      <c r="D60" s="313">
        <f>+D57+D58</f>
        <v>1899251</v>
      </c>
      <c r="E60" s="313">
        <f t="shared" ref="E60:V60" si="39">+E57+E58</f>
        <v>23452</v>
      </c>
      <c r="F60" s="314">
        <f>+F57+F58</f>
        <v>99722</v>
      </c>
      <c r="G60" s="315">
        <f t="shared" si="39"/>
        <v>77417</v>
      </c>
      <c r="H60" s="313">
        <f>+H57+H58</f>
        <v>2099842</v>
      </c>
      <c r="I60" s="316">
        <f t="shared" si="39"/>
        <v>3153</v>
      </c>
      <c r="J60" s="316">
        <f t="shared" si="39"/>
        <v>44509</v>
      </c>
      <c r="K60" s="316">
        <f t="shared" si="39"/>
        <v>5691</v>
      </c>
      <c r="L60" s="316">
        <f t="shared" si="39"/>
        <v>24749</v>
      </c>
      <c r="M60" s="317">
        <f t="shared" si="39"/>
        <v>7013</v>
      </c>
      <c r="N60" s="318">
        <f t="shared" si="39"/>
        <v>2184957</v>
      </c>
      <c r="O60" s="319">
        <f t="shared" si="39"/>
        <v>30507</v>
      </c>
      <c r="P60" s="316">
        <f t="shared" si="39"/>
        <v>73944</v>
      </c>
      <c r="Q60" s="316">
        <f t="shared" si="39"/>
        <v>6349</v>
      </c>
      <c r="R60" s="316">
        <f t="shared" si="39"/>
        <v>1520</v>
      </c>
      <c r="S60" s="316">
        <f t="shared" si="39"/>
        <v>87780.772727272721</v>
      </c>
      <c r="T60" s="316">
        <f t="shared" si="39"/>
        <v>72452</v>
      </c>
      <c r="U60" s="317">
        <f t="shared" si="39"/>
        <v>272552.77272727271</v>
      </c>
      <c r="V60" s="318">
        <f t="shared" si="39"/>
        <v>2457509.7727272725</v>
      </c>
      <c r="W60" s="12"/>
      <c r="X60" s="309"/>
      <c r="Y60" s="320">
        <f>+Y57+Y58</f>
        <v>2383565.7727272725</v>
      </c>
      <c r="Z60" s="321">
        <f t="shared" ref="Z60:AE60" si="40">+Z57+Z58</f>
        <v>464797</v>
      </c>
      <c r="AA60" s="321">
        <f t="shared" si="40"/>
        <v>0</v>
      </c>
      <c r="AB60" s="322">
        <f t="shared" si="40"/>
        <v>8399.3680000000004</v>
      </c>
      <c r="AC60" s="323">
        <f t="shared" si="40"/>
        <v>473196.36800000002</v>
      </c>
      <c r="AD60" s="323">
        <f t="shared" si="40"/>
        <v>30102.602400000003</v>
      </c>
      <c r="AE60" s="323">
        <f t="shared" si="40"/>
        <v>44635</v>
      </c>
      <c r="AF60" s="84"/>
    </row>
    <row r="61" spans="1:32" ht="15.75" customHeight="1" x14ac:dyDescent="0.25">
      <c r="A61" s="324"/>
      <c r="B61" s="325"/>
      <c r="C61" s="326"/>
      <c r="D61" s="327"/>
      <c r="E61" s="327"/>
      <c r="F61" s="328"/>
      <c r="G61" s="327"/>
      <c r="H61" s="327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9"/>
      <c r="X61" s="330"/>
      <c r="Y61" s="331"/>
      <c r="Z61" s="331"/>
      <c r="AA61" s="331"/>
      <c r="AB61" s="331"/>
      <c r="AC61" s="331"/>
      <c r="AD61" s="331"/>
      <c r="AE61" s="331"/>
    </row>
    <row r="62" spans="1:32" ht="15.75" hidden="1" customHeight="1" x14ac:dyDescent="0.25">
      <c r="A62" s="324"/>
      <c r="B62" s="325" t="s">
        <v>122</v>
      </c>
      <c r="C62" s="326">
        <v>789.5</v>
      </c>
      <c r="D62" s="327">
        <v>1680985</v>
      </c>
      <c r="E62" s="327">
        <v>26469</v>
      </c>
      <c r="F62" s="328">
        <v>155177</v>
      </c>
      <c r="G62" s="327">
        <v>70221</v>
      </c>
      <c r="H62" s="327">
        <f>SUM(D62:G62)</f>
        <v>1932852</v>
      </c>
      <c r="I62" s="328">
        <v>2669</v>
      </c>
      <c r="J62" s="328">
        <v>41437</v>
      </c>
      <c r="K62" s="328">
        <v>5917</v>
      </c>
      <c r="L62" s="328"/>
      <c r="M62" s="328">
        <v>1193</v>
      </c>
      <c r="N62" s="328">
        <f>H62+I62+J62+K62+M62+1676</f>
        <v>1985744</v>
      </c>
      <c r="O62" s="328">
        <v>33459</v>
      </c>
      <c r="P62" s="328">
        <v>73672</v>
      </c>
      <c r="Q62" s="328">
        <v>6011</v>
      </c>
      <c r="R62" s="328">
        <v>560</v>
      </c>
      <c r="S62" s="328">
        <v>78610</v>
      </c>
      <c r="T62" s="328">
        <v>80492</v>
      </c>
      <c r="U62" s="328">
        <f>SUM(O62:T62)</f>
        <v>272804</v>
      </c>
      <c r="V62" s="328">
        <f>N62+U62+960</f>
        <v>2259508</v>
      </c>
      <c r="W62" s="329"/>
      <c r="X62" s="330"/>
      <c r="Y62" s="331">
        <v>2185836</v>
      </c>
      <c r="Z62" s="331">
        <v>481052</v>
      </c>
      <c r="AA62" s="331"/>
      <c r="AB62" s="331">
        <v>6332</v>
      </c>
      <c r="AC62" s="331">
        <v>487384</v>
      </c>
      <c r="AD62" s="331">
        <v>32151</v>
      </c>
      <c r="AE62" s="331">
        <v>34456</v>
      </c>
    </row>
    <row r="63" spans="1:32" ht="15.75" hidden="1" customHeight="1" x14ac:dyDescent="0.25">
      <c r="A63" s="324"/>
      <c r="B63" s="325"/>
      <c r="C63" s="326"/>
      <c r="D63" s="327"/>
      <c r="E63" s="327"/>
      <c r="F63" s="328"/>
      <c r="G63" s="327"/>
      <c r="H63" s="327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9"/>
      <c r="X63" s="330"/>
      <c r="Y63" s="331"/>
      <c r="Z63" s="331"/>
      <c r="AA63" s="331"/>
      <c r="AB63" s="331"/>
      <c r="AC63" s="331"/>
      <c r="AD63" s="331"/>
      <c r="AE63" s="331"/>
    </row>
    <row r="64" spans="1:32" hidden="1" x14ac:dyDescent="0.2">
      <c r="B64" s="332"/>
      <c r="C64" s="332"/>
      <c r="D64" s="332"/>
      <c r="N64" s="71">
        <f>N60-N62</f>
        <v>199213</v>
      </c>
      <c r="U64" s="71">
        <f>U60-U62</f>
        <v>-251.22727272729389</v>
      </c>
      <c r="V64" s="71">
        <f>V60-V62</f>
        <v>198001.77272727247</v>
      </c>
      <c r="Z64" s="71">
        <f>Z60-Z62</f>
        <v>-16255</v>
      </c>
      <c r="AB64" s="71">
        <f>AB60-AB62</f>
        <v>2067.3680000000004</v>
      </c>
      <c r="AC64" s="71">
        <f>AC60-AC62</f>
        <v>-14187.631999999983</v>
      </c>
      <c r="AD64" s="71">
        <f>AD60-AD62</f>
        <v>-2048.3975999999966</v>
      </c>
      <c r="AE64" s="71">
        <f>AE60-AE62</f>
        <v>10179</v>
      </c>
    </row>
    <row r="65" spans="2:27" x14ac:dyDescent="0.2">
      <c r="B65" s="332"/>
      <c r="C65" s="332"/>
      <c r="D65" s="332"/>
      <c r="G65" s="333"/>
    </row>
    <row r="66" spans="2:27" x14ac:dyDescent="0.2">
      <c r="B66" s="332"/>
      <c r="C66" s="332"/>
      <c r="D66" s="332"/>
    </row>
    <row r="67" spans="2:27" x14ac:dyDescent="0.2">
      <c r="B67" s="332"/>
      <c r="C67" s="332"/>
      <c r="D67" s="332"/>
    </row>
    <row r="69" spans="2:27" hidden="1" x14ac:dyDescent="0.2">
      <c r="V69" s="71">
        <v>2432761</v>
      </c>
      <c r="Z69" s="71">
        <v>459971</v>
      </c>
    </row>
    <row r="70" spans="2:27" hidden="1" x14ac:dyDescent="0.2">
      <c r="V70" s="71">
        <v>24749</v>
      </c>
      <c r="Z70" s="71">
        <v>4826</v>
      </c>
      <c r="AA70" s="71">
        <f>SUM(V70:Z70)</f>
        <v>29575</v>
      </c>
    </row>
    <row r="71" spans="2:27" hidden="1" x14ac:dyDescent="0.2">
      <c r="V71" s="71">
        <f>SUM(V69:V70)</f>
        <v>2457510</v>
      </c>
      <c r="Z71" s="71">
        <f>SUM(Z69:Z70)</f>
        <v>464797</v>
      </c>
    </row>
  </sheetData>
  <mergeCells count="12">
    <mergeCell ref="A1:V1"/>
    <mergeCell ref="A2:N2"/>
    <mergeCell ref="O2:U2"/>
    <mergeCell ref="Y2:AC3"/>
    <mergeCell ref="AD2:AD6"/>
    <mergeCell ref="AE2:AE6"/>
    <mergeCell ref="D3:M3"/>
    <mergeCell ref="O3:U3"/>
    <mergeCell ref="G4:G6"/>
    <mergeCell ref="M4:M6"/>
    <mergeCell ref="D5:D6"/>
    <mergeCell ref="F5:F6"/>
  </mergeCells>
  <printOptions horizontalCentered="1" verticalCentered="1"/>
  <pageMargins left="0.35433070866141736" right="0.31496062992125984" top="0.11811023622047245" bottom="0.19685039370078741" header="0.15748031496062992" footer="0.11811023622047245"/>
  <pageSetup paperSize="9" scale="50" orientation="landscape" r:id="rId1"/>
  <headerFooter alignWithMargins="0">
    <oddHeader>&amp;R4. számú melléklet</oddHeader>
    <oddFooter>&amp;L&amp;D/&amp;T</oddFooter>
  </headerFooter>
  <rowBreaks count="1" manualBreakCount="1">
    <brk id="64" max="29" man="1"/>
  </rowBreaks>
  <colBreaks count="1" manualBreakCount="1">
    <brk id="22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4. melléklet</vt:lpstr>
      <vt:lpstr>'4. melléklet'!Nyomtatási_cím</vt:lpstr>
      <vt:lpstr>'4. melléklet'!Nyomtatási_terület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Lászlóné Zsuzsa</dc:creator>
  <cp:lastModifiedBy>Tariné Godó Ágnes</cp:lastModifiedBy>
  <cp:lastPrinted>2018-02-14T12:42:55Z</cp:lastPrinted>
  <dcterms:created xsi:type="dcterms:W3CDTF">2018-02-13T14:36:17Z</dcterms:created>
  <dcterms:modified xsi:type="dcterms:W3CDTF">2018-02-15T08:37:08Z</dcterms:modified>
</cp:coreProperties>
</file>