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17\Rendelet módosítások\Negyedik_12_31 évvégi\Leadott\"/>
    </mc:Choice>
  </mc:AlternateContent>
  <bookViews>
    <workbookView xWindow="0" yWindow="0" windowWidth="19200" windowHeight="10695" activeTab="1"/>
  </bookViews>
  <sheets>
    <sheet name="5. sz. melléklet" sheetId="2" r:id="rId1"/>
    <sheet name="6.sz. melléklet" sheetId="20" r:id="rId2"/>
  </sheets>
  <definedNames>
    <definedName name="a">#REF!</definedName>
    <definedName name="Excel_BuiltIn_Print_Area_100_1" localSheetId="0">#REF!</definedName>
    <definedName name="Excel_BuiltIn_Print_Area_100_1" localSheetId="1">#REF!</definedName>
    <definedName name="Excel_BuiltIn_Print_Area_109_1" localSheetId="0">#REF!</definedName>
    <definedName name="Excel_BuiltIn_Print_Area_109_1" localSheetId="1">#REF!</definedName>
    <definedName name="Excel_BuiltIn_Print_Area_109_1">#REF!</definedName>
    <definedName name="Excel_BuiltIn_Print_Area_111" localSheetId="0">#REF!</definedName>
    <definedName name="Excel_BuiltIn_Print_Area_111" localSheetId="1">#REF!</definedName>
    <definedName name="Excel_BuiltIn_Print_Area_14_1" localSheetId="1">#REF!</definedName>
    <definedName name="Excel_BuiltIn_Print_Area_14_1">#REF!</definedName>
    <definedName name="Excel_BuiltIn_Print_Area_14_1_1" localSheetId="1">#REF!</definedName>
    <definedName name="Excel_BuiltIn_Print_Area_14_1_1">#REF!</definedName>
    <definedName name="Excel_BuiltIn_Print_Area_29_1" localSheetId="1">#REF!</definedName>
    <definedName name="Excel_BuiltIn_Print_Area_29_1">#REF!</definedName>
    <definedName name="Excel_BuiltIn_Print_Area_29_1_1" localSheetId="1">#REF!</definedName>
    <definedName name="Excel_BuiltIn_Print_Area_29_1_1">#REF!</definedName>
    <definedName name="Excel_BuiltIn_Print_Area_31_1" localSheetId="1">#REF!</definedName>
    <definedName name="Excel_BuiltIn_Print_Area_31_1">#REF!</definedName>
    <definedName name="Excel_BuiltIn_Print_Area_32_1" localSheetId="1">#REF!</definedName>
    <definedName name="Excel_BuiltIn_Print_Area_32_1">#REF!</definedName>
    <definedName name="Excel_BuiltIn_Print_Area_34_1" localSheetId="1">#REF!</definedName>
    <definedName name="Excel_BuiltIn_Print_Area_34_1">#REF!</definedName>
    <definedName name="Excel_BuiltIn_Print_Area_37_1" localSheetId="1">#REF!</definedName>
    <definedName name="Excel_BuiltIn_Print_Area_37_1">#REF!</definedName>
    <definedName name="Excel_BuiltIn_Print_Area_55_1" localSheetId="1">#REF!</definedName>
    <definedName name="Excel_BuiltIn_Print_Area_55_1">#REF!</definedName>
    <definedName name="mama">#REF!</definedName>
    <definedName name="_xlnm.Print_Area" localSheetId="0">'5. sz. melléklet'!$A$1:$O$52</definedName>
    <definedName name="_xlnm.Print_Area" localSheetId="1">'6.sz. melléklet'!$A$1:$M$52</definedName>
    <definedName name="pm" localSheetId="1">#REF!</definedName>
    <definedName name="pm">#REF!</definedName>
    <definedName name="teszt">#REF!</definedName>
  </definedNames>
  <calcPr calcId="152511"/>
</workbook>
</file>

<file path=xl/calcChain.xml><?xml version="1.0" encoding="utf-8"?>
<calcChain xmlns="http://schemas.openxmlformats.org/spreadsheetml/2006/main">
  <c r="D46" i="20" l="1"/>
  <c r="E46" i="2"/>
  <c r="F46" i="20"/>
  <c r="I50" i="20" l="1"/>
  <c r="F50" i="20"/>
  <c r="E50" i="20"/>
  <c r="D50" i="20"/>
  <c r="F23" i="20" l="1"/>
  <c r="F24" i="20"/>
  <c r="D24" i="20"/>
  <c r="F28" i="20"/>
  <c r="E28" i="20"/>
  <c r="D30" i="20"/>
  <c r="F30" i="20"/>
  <c r="F31" i="20"/>
  <c r="E31" i="20"/>
  <c r="D31" i="20"/>
  <c r="F34" i="20" l="1"/>
  <c r="F33" i="20"/>
  <c r="F32" i="20"/>
  <c r="F29" i="20"/>
  <c r="F27" i="20"/>
  <c r="F26" i="20"/>
  <c r="F25" i="20"/>
  <c r="K25" i="2"/>
  <c r="K24" i="2"/>
  <c r="K23" i="2"/>
  <c r="K27" i="2"/>
  <c r="K26" i="2"/>
  <c r="K28" i="2"/>
  <c r="K29" i="2"/>
  <c r="K30" i="2"/>
  <c r="K31" i="2"/>
  <c r="K32" i="2"/>
  <c r="K33" i="2"/>
  <c r="K34" i="2"/>
  <c r="E19" i="20" l="1"/>
  <c r="D19" i="20"/>
  <c r="I46" i="20"/>
  <c r="D23" i="20"/>
  <c r="E23" i="20"/>
  <c r="D23" i="2"/>
  <c r="D38" i="20" l="1"/>
  <c r="E41" i="20"/>
  <c r="D41" i="20"/>
  <c r="E34" i="20"/>
  <c r="D34" i="20"/>
  <c r="E33" i="20"/>
  <c r="D33" i="20"/>
  <c r="D28" i="20"/>
  <c r="E24" i="20"/>
  <c r="E46" i="20" l="1"/>
  <c r="K46" i="2"/>
  <c r="K50" i="2" l="1"/>
  <c r="K42" i="2"/>
  <c r="K41" i="2"/>
  <c r="K40" i="2"/>
  <c r="K39" i="2"/>
  <c r="K38" i="2"/>
  <c r="K19" i="2"/>
  <c r="E42" i="20"/>
  <c r="D42" i="20"/>
  <c r="E40" i="20"/>
  <c r="D40" i="20"/>
  <c r="E39" i="20"/>
  <c r="D39" i="20"/>
  <c r="E38" i="20"/>
  <c r="E32" i="20"/>
  <c r="D32" i="20"/>
  <c r="E30" i="20"/>
  <c r="E29" i="20"/>
  <c r="D29" i="20"/>
  <c r="E27" i="20"/>
  <c r="D27" i="20"/>
  <c r="E26" i="20"/>
  <c r="D26" i="20"/>
  <c r="E25" i="20"/>
  <c r="D25" i="20"/>
  <c r="M50" i="2" l="1"/>
  <c r="C19" i="2"/>
  <c r="C50" i="2" l="1"/>
  <c r="C41" i="2"/>
  <c r="C30" i="2"/>
  <c r="K36" i="2"/>
  <c r="C39" i="20"/>
  <c r="C28" i="20"/>
  <c r="C26" i="20"/>
  <c r="C30" i="20" l="1"/>
  <c r="C40" i="20"/>
  <c r="C42" i="20" l="1"/>
  <c r="B78" i="2" l="1"/>
  <c r="C24" i="20" l="1"/>
  <c r="C46" i="20" l="1"/>
  <c r="C46" i="2" l="1"/>
  <c r="C40" i="2" l="1"/>
  <c r="C34" i="2" l="1"/>
  <c r="C34" i="20"/>
  <c r="N52" i="2" l="1"/>
  <c r="O52" i="2"/>
  <c r="C50" i="20"/>
  <c r="K21" i="2" l="1"/>
  <c r="J44" i="2"/>
  <c r="J36" i="2"/>
  <c r="J21" i="2"/>
  <c r="J48" i="2" l="1"/>
  <c r="J52" i="2" s="1"/>
  <c r="K44" i="2"/>
  <c r="K48" i="2" l="1"/>
  <c r="K52" i="2" s="1"/>
  <c r="M44" i="20"/>
  <c r="L44" i="20"/>
  <c r="K44" i="20"/>
  <c r="J44" i="20"/>
  <c r="I44" i="20"/>
  <c r="H44" i="20"/>
  <c r="G44" i="20"/>
  <c r="F44" i="20"/>
  <c r="E44" i="20"/>
  <c r="D44" i="20"/>
  <c r="C41" i="20"/>
  <c r="C38" i="20"/>
  <c r="M36" i="20"/>
  <c r="L36" i="20"/>
  <c r="K36" i="20"/>
  <c r="J36" i="20"/>
  <c r="I36" i="20"/>
  <c r="H36" i="20"/>
  <c r="G36" i="20"/>
  <c r="F36" i="20"/>
  <c r="E36" i="20"/>
  <c r="D36" i="20"/>
  <c r="C33" i="20"/>
  <c r="C32" i="20"/>
  <c r="C31" i="20"/>
  <c r="C29" i="20"/>
  <c r="C27" i="20"/>
  <c r="C25" i="20"/>
  <c r="C23" i="20"/>
  <c r="M21" i="20"/>
  <c r="M48" i="20" s="1"/>
  <c r="M52" i="20" s="1"/>
  <c r="L21" i="20"/>
  <c r="K21" i="20"/>
  <c r="J21" i="20"/>
  <c r="I21" i="20"/>
  <c r="H21" i="20"/>
  <c r="G21" i="20"/>
  <c r="F21" i="20"/>
  <c r="E21" i="20"/>
  <c r="D21" i="20"/>
  <c r="C19" i="20"/>
  <c r="C44" i="20" l="1"/>
  <c r="H48" i="20"/>
  <c r="H52" i="20" s="1"/>
  <c r="L48" i="20"/>
  <c r="L52" i="20" s="1"/>
  <c r="E48" i="20"/>
  <c r="E52" i="20" s="1"/>
  <c r="D48" i="20"/>
  <c r="D52" i="20" s="1"/>
  <c r="J48" i="20"/>
  <c r="J52" i="20" s="1"/>
  <c r="K48" i="20"/>
  <c r="K52" i="20" s="1"/>
  <c r="G48" i="20"/>
  <c r="G52" i="20" s="1"/>
  <c r="I48" i="20"/>
  <c r="I52" i="20" s="1"/>
  <c r="F48" i="20"/>
  <c r="F52" i="20" s="1"/>
  <c r="C21" i="20"/>
  <c r="C36" i="20"/>
  <c r="C48" i="20" l="1"/>
  <c r="C52" i="20" s="1"/>
  <c r="E44" i="2"/>
  <c r="C39" i="2"/>
  <c r="C33" i="2"/>
  <c r="C29" i="2"/>
  <c r="C28" i="2"/>
  <c r="C27" i="2"/>
  <c r="C26" i="2"/>
  <c r="C24" i="2"/>
  <c r="C31" i="2"/>
  <c r="C42" i="2"/>
  <c r="D36" i="2"/>
  <c r="D21" i="2"/>
  <c r="E21" i="2"/>
  <c r="H21" i="2"/>
  <c r="C25" i="2"/>
  <c r="F21" i="2"/>
  <c r="G21" i="2"/>
  <c r="I21" i="2"/>
  <c r="L21" i="2"/>
  <c r="M21" i="2"/>
  <c r="N21" i="2"/>
  <c r="O21" i="2"/>
  <c r="E36" i="2"/>
  <c r="F36" i="2"/>
  <c r="G36" i="2"/>
  <c r="I36" i="2"/>
  <c r="L36" i="2"/>
  <c r="M36" i="2"/>
  <c r="N36" i="2"/>
  <c r="O36" i="2"/>
  <c r="F44" i="2"/>
  <c r="G44" i="2"/>
  <c r="H44" i="2"/>
  <c r="I44" i="2"/>
  <c r="L44" i="2"/>
  <c r="M44" i="2"/>
  <c r="N44" i="2"/>
  <c r="O44" i="2"/>
  <c r="H36" i="2"/>
  <c r="C38" i="2"/>
  <c r="C44" i="2" l="1"/>
  <c r="E48" i="2"/>
  <c r="E52" i="2" s="1"/>
  <c r="G48" i="2"/>
  <c r="G52" i="2" s="1"/>
  <c r="M48" i="2"/>
  <c r="M52" i="2" s="1"/>
  <c r="F48" i="2"/>
  <c r="F52" i="2" s="1"/>
  <c r="L48" i="2"/>
  <c r="L52" i="2" s="1"/>
  <c r="I48" i="2"/>
  <c r="I52" i="2" s="1"/>
  <c r="H48" i="2"/>
  <c r="H52" i="2" s="1"/>
  <c r="C23" i="2"/>
  <c r="D44" i="2"/>
  <c r="D48" i="2" s="1"/>
  <c r="D52" i="2" s="1"/>
  <c r="C32" i="2"/>
  <c r="C36" i="2" l="1"/>
  <c r="C21" i="2"/>
  <c r="C48" i="2" l="1"/>
  <c r="C52" i="2" l="1"/>
</calcChain>
</file>

<file path=xl/sharedStrings.xml><?xml version="1.0" encoding="utf-8"?>
<sst xmlns="http://schemas.openxmlformats.org/spreadsheetml/2006/main" count="194" uniqueCount="96">
  <si>
    <t>ezer Ft-ban</t>
  </si>
  <si>
    <t>Kötelező feladatok</t>
  </si>
  <si>
    <t>Önként vállalt feladatok</t>
  </si>
  <si>
    <t>Költségvetési</t>
  </si>
  <si>
    <t>Munkaadókat</t>
  </si>
  <si>
    <t>kiadások</t>
  </si>
  <si>
    <t>Személyi</t>
  </si>
  <si>
    <t>terhelő</t>
  </si>
  <si>
    <t>Dologi</t>
  </si>
  <si>
    <t>Ellátottak</t>
  </si>
  <si>
    <t>Működési</t>
  </si>
  <si>
    <t>Beruházások</t>
  </si>
  <si>
    <t>Felújítások</t>
  </si>
  <si>
    <t>Felhalmozási</t>
  </si>
  <si>
    <t>összesen</t>
  </si>
  <si>
    <t>juttatások</t>
  </si>
  <si>
    <t>pénzbeli</t>
  </si>
  <si>
    <t>célú</t>
  </si>
  <si>
    <t>felhalmozási</t>
  </si>
  <si>
    <t>Ssz.</t>
  </si>
  <si>
    <t>megnevezése</t>
  </si>
  <si>
    <t>szocilis</t>
  </si>
  <si>
    <t>juttatásai</t>
  </si>
  <si>
    <t>pénzeszköz</t>
  </si>
  <si>
    <t>hozzájárulási</t>
  </si>
  <si>
    <t>adó</t>
  </si>
  <si>
    <t>1.</t>
  </si>
  <si>
    <t xml:space="preserve">Egyesített Bölcsődék </t>
  </si>
  <si>
    <t>Bolyai Utcai Óvoda</t>
  </si>
  <si>
    <t>2.</t>
  </si>
  <si>
    <t>Budakeszi Úti Óvoda</t>
  </si>
  <si>
    <t>3.</t>
  </si>
  <si>
    <t>Hűvösvölgyi Gesztenyéskert Óvoda</t>
  </si>
  <si>
    <t>4.</t>
  </si>
  <si>
    <t>Kitaibel Pál Utcai Óvoda</t>
  </si>
  <si>
    <t>Kolozsvár Utcai Óvoda</t>
  </si>
  <si>
    <t>Községház Utcai Óvoda</t>
  </si>
  <si>
    <t>Pitypang Utcai Óvoda</t>
  </si>
  <si>
    <t>Százszorszép Óvoda</t>
  </si>
  <si>
    <t>Szemlőhegy Utcai Óvoda</t>
  </si>
  <si>
    <t>Törökvész Úti Óvoda</t>
  </si>
  <si>
    <t>ÉNO</t>
  </si>
  <si>
    <t xml:space="preserve">I. Gondozási Központ </t>
  </si>
  <si>
    <t xml:space="preserve">II. Gondozási Központ </t>
  </si>
  <si>
    <t xml:space="preserve">III. Gondozási Központ </t>
  </si>
  <si>
    <t>Intézmény Működtetési Központ</t>
  </si>
  <si>
    <t>bevételek</t>
  </si>
  <si>
    <t>Egyéb</t>
  </si>
  <si>
    <t>támogatás</t>
  </si>
  <si>
    <t xml:space="preserve">Felhalmozási </t>
  </si>
  <si>
    <t>államháztartáson</t>
  </si>
  <si>
    <t xml:space="preserve">működési </t>
  </si>
  <si>
    <t>belülről</t>
  </si>
  <si>
    <t>járulékok és</t>
  </si>
  <si>
    <t>átvett</t>
  </si>
  <si>
    <t>maradvány</t>
  </si>
  <si>
    <t>Finanszírozási bevételek</t>
  </si>
  <si>
    <t>költségvetési</t>
  </si>
  <si>
    <t>igénybevétel</t>
  </si>
  <si>
    <t>irányító szervi</t>
  </si>
  <si>
    <t xml:space="preserve">Költségvetési szerv </t>
  </si>
  <si>
    <t>Költségvetési bevételek</t>
  </si>
  <si>
    <t>Működési költségvetési kiadások</t>
  </si>
  <si>
    <t>Felhalmozási költségvetési kiadások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</si>
  <si>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</si>
  <si>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</si>
  <si>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</si>
  <si>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</si>
  <si>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</si>
  <si>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</si>
  <si>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</si>
  <si>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</si>
  <si>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</si>
  <si>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</si>
  <si>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i</t>
  </si>
  <si>
    <t>I.</t>
  </si>
  <si>
    <t>II.</t>
  </si>
  <si>
    <t>Egészségügyi Szolgálat</t>
  </si>
  <si>
    <t>A</t>
  </si>
  <si>
    <t>Gazdasági szervezettel nem rendelkező intézmények összesen:</t>
  </si>
  <si>
    <t>Egyesített Bölcsődék összesen:</t>
  </si>
  <si>
    <t>Óvodák összesen:</t>
  </si>
  <si>
    <t>Humán szolgáltatás összesen:</t>
  </si>
  <si>
    <t>Humán szolgáltatás összsen:</t>
  </si>
  <si>
    <t>Mindösszesen: (I.+II.)</t>
  </si>
  <si>
    <t>Virág árok Óvoda</t>
  </si>
  <si>
    <t xml:space="preserve">Budapest Főváros II. Kerületi Önkormányzat irányítása alá tartozó gazdasági szervezettel nem rendelkező költségvetési szervek és az Egészségügyi Szolgálat kiadási előirányzat változásai </t>
  </si>
  <si>
    <t>l</t>
  </si>
  <si>
    <t>Völgy  Utcai Óvoda</t>
  </si>
  <si>
    <t>Völgy Utcai Óvoda</t>
  </si>
  <si>
    <t>Budapest Főváros II. Kerületi Önkormányzat irányítása alá tartozó gazdasági szervezettel nem rendelkező költségvetési szervek és az Egészségügyi Szolgálat bevételi előirányzat változásai</t>
  </si>
  <si>
    <t>Család és Gyermekjóléti Központ</t>
  </si>
  <si>
    <t>EÜ</t>
  </si>
  <si>
    <t>6. sz. melléklet</t>
  </si>
  <si>
    <t>5. sz. melléklet</t>
  </si>
  <si>
    <t>2017. október 1-jétől -december 31-éig.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</si>
</sst>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 CE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Times New Roman CE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8"/>
      <name val="Times New Roman"/>
      <family val="1"/>
      <charset val="238"/>
    </font>
    <font>
      <sz val="8"/>
      <color indexed="10"/>
      <name val="Times New Roman"/>
      <family val="1"/>
    </font>
    <font>
      <sz val="1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rgb="FFFF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26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" borderId="0" applyNumberFormat="0" applyBorder="0" applyAlignment="0" applyProtection="0"/>
    <xf numFmtId="0" fontId="2" fillId="19" borderId="0" applyNumberFormat="0" applyBorder="0" applyAlignment="0" applyProtection="0"/>
    <xf numFmtId="0" fontId="3" fillId="9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0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9" fillId="20" borderId="7" applyNumberFormat="0" applyFont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2" fillId="6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5" fillId="0" borderId="9" applyNumberFormat="0" applyFill="0" applyAlignment="0" applyProtection="0"/>
    <xf numFmtId="0" fontId="16" fillId="5" borderId="0" applyNumberFormat="0" applyBorder="0" applyAlignment="0" applyProtection="0"/>
    <xf numFmtId="0" fontId="17" fillId="23" borderId="0" applyNumberFormat="0" applyBorder="0" applyAlignment="0" applyProtection="0"/>
    <xf numFmtId="0" fontId="18" fillId="22" borderId="1" applyNumberFormat="0" applyAlignment="0" applyProtection="0"/>
  </cellStyleXfs>
  <cellXfs count="200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19" fillId="24" borderId="0" xfId="0" applyFont="1" applyFill="1" applyBorder="1" applyAlignment="1">
      <alignment horizontal="right"/>
    </xf>
    <xf numFmtId="0" fontId="22" fillId="0" borderId="0" xfId="0" applyFont="1"/>
    <xf numFmtId="0" fontId="21" fillId="0" borderId="0" xfId="0" applyFont="1" applyAlignment="1"/>
    <xf numFmtId="0" fontId="23" fillId="0" borderId="0" xfId="0" applyFont="1"/>
    <xf numFmtId="0" fontId="24" fillId="0" borderId="0" xfId="0" applyFont="1" applyAlignment="1"/>
    <xf numFmtId="0" fontId="25" fillId="0" borderId="0" xfId="0" applyFont="1" applyAlignment="1">
      <alignment horizontal="right"/>
    </xf>
    <xf numFmtId="0" fontId="22" fillId="0" borderId="10" xfId="0" applyFont="1" applyBorder="1"/>
    <xf numFmtId="0" fontId="21" fillId="0" borderId="11" xfId="0" applyFont="1" applyBorder="1" applyAlignment="1"/>
    <xf numFmtId="0" fontId="26" fillId="0" borderId="12" xfId="0" applyFont="1" applyBorder="1"/>
    <xf numFmtId="0" fontId="26" fillId="0" borderId="13" xfId="0" applyFont="1" applyBorder="1"/>
    <xf numFmtId="0" fontId="22" fillId="0" borderId="15" xfId="0" applyFont="1" applyBorder="1"/>
    <xf numFmtId="0" fontId="22" fillId="0" borderId="17" xfId="0" applyFont="1" applyBorder="1"/>
    <xf numFmtId="0" fontId="21" fillId="0" borderId="15" xfId="0" applyFont="1" applyBorder="1" applyAlignment="1"/>
    <xf numFmtId="0" fontId="21" fillId="0" borderId="18" xfId="0" applyFont="1" applyBorder="1" applyAlignment="1"/>
    <xf numFmtId="0" fontId="21" fillId="0" borderId="0" xfId="0" applyFont="1" applyBorder="1" applyAlignment="1"/>
    <xf numFmtId="0" fontId="22" fillId="0" borderId="17" xfId="0" applyFont="1" applyBorder="1" applyAlignment="1">
      <alignment horizontal="center"/>
    </xf>
    <xf numFmtId="0" fontId="22" fillId="0" borderId="0" xfId="0" applyFont="1" applyBorder="1"/>
    <xf numFmtId="0" fontId="22" fillId="0" borderId="20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20" xfId="0" applyFont="1" applyBorder="1"/>
    <xf numFmtId="0" fontId="22" fillId="0" borderId="15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8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/>
    </xf>
    <xf numFmtId="0" fontId="20" fillId="0" borderId="15" xfId="0" applyFont="1" applyBorder="1"/>
    <xf numFmtId="0" fontId="20" fillId="0" borderId="20" xfId="0" applyFont="1" applyBorder="1"/>
    <xf numFmtId="0" fontId="28" fillId="0" borderId="17" xfId="0" applyFont="1" applyBorder="1" applyAlignment="1">
      <alignment horizontal="center"/>
    </xf>
    <xf numFmtId="0" fontId="20" fillId="0" borderId="25" xfId="0" applyFont="1" applyBorder="1"/>
    <xf numFmtId="0" fontId="20" fillId="0" borderId="26" xfId="0" applyFont="1" applyBorder="1"/>
    <xf numFmtId="0" fontId="22" fillId="0" borderId="27" xfId="0" applyFont="1" applyBorder="1"/>
    <xf numFmtId="0" fontId="22" fillId="0" borderId="28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19" xfId="0" applyFont="1" applyBorder="1"/>
    <xf numFmtId="3" fontId="22" fillId="0" borderId="17" xfId="0" applyNumberFormat="1" applyFont="1" applyBorder="1" applyAlignment="1">
      <alignment horizontal="right"/>
    </xf>
    <xf numFmtId="3" fontId="22" fillId="0" borderId="0" xfId="0" applyNumberFormat="1" applyFont="1" applyBorder="1"/>
    <xf numFmtId="3" fontId="22" fillId="0" borderId="15" xfId="0" applyNumberFormat="1" applyFont="1" applyBorder="1"/>
    <xf numFmtId="3" fontId="22" fillId="0" borderId="19" xfId="0" applyNumberFormat="1" applyFont="1" applyBorder="1"/>
    <xf numFmtId="3" fontId="29" fillId="0" borderId="30" xfId="0" applyNumberFormat="1" applyFont="1" applyBorder="1" applyAlignment="1">
      <alignment horizontal="right"/>
    </xf>
    <xf numFmtId="3" fontId="29" fillId="0" borderId="29" xfId="0" applyNumberFormat="1" applyFont="1" applyBorder="1"/>
    <xf numFmtId="3" fontId="29" fillId="0" borderId="32" xfId="0" applyNumberFormat="1" applyFont="1" applyBorder="1"/>
    <xf numFmtId="3" fontId="29" fillId="0" borderId="34" xfId="0" applyNumberFormat="1" applyFont="1" applyBorder="1"/>
    <xf numFmtId="3" fontId="29" fillId="0" borderId="37" xfId="0" applyNumberFormat="1" applyFont="1" applyBorder="1"/>
    <xf numFmtId="3" fontId="22" fillId="0" borderId="36" xfId="0" applyNumberFormat="1" applyFont="1" applyBorder="1" applyAlignment="1">
      <alignment horizontal="right"/>
    </xf>
    <xf numFmtId="3" fontId="29" fillId="0" borderId="29" xfId="0" applyNumberFormat="1" applyFont="1" applyBorder="1" applyAlignment="1">
      <alignment horizontal="right"/>
    </xf>
    <xf numFmtId="3" fontId="29" fillId="0" borderId="32" xfId="0" applyNumberFormat="1" applyFont="1" applyBorder="1" applyAlignment="1">
      <alignment horizontal="right"/>
    </xf>
    <xf numFmtId="3" fontId="29" fillId="0" borderId="34" xfId="0" applyNumberFormat="1" applyFont="1" applyBorder="1" applyAlignment="1">
      <alignment horizontal="right"/>
    </xf>
    <xf numFmtId="3" fontId="29" fillId="0" borderId="37" xfId="0" applyNumberFormat="1" applyFont="1" applyBorder="1" applyAlignment="1">
      <alignment horizontal="right"/>
    </xf>
    <xf numFmtId="3" fontId="29" fillId="0" borderId="35" xfId="0" applyNumberFormat="1" applyFont="1" applyBorder="1" applyAlignment="1">
      <alignment horizontal="right"/>
    </xf>
    <xf numFmtId="3" fontId="29" fillId="0" borderId="17" xfId="0" applyNumberFormat="1" applyFont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9" fillId="0" borderId="15" xfId="0" applyNumberFormat="1" applyFont="1" applyBorder="1" applyAlignment="1">
      <alignment horizontal="right"/>
    </xf>
    <xf numFmtId="3" fontId="29" fillId="0" borderId="19" xfId="0" applyNumberFormat="1" applyFont="1" applyBorder="1" applyAlignment="1">
      <alignment horizontal="right"/>
    </xf>
    <xf numFmtId="3" fontId="31" fillId="0" borderId="30" xfId="0" applyNumberFormat="1" applyFont="1" applyBorder="1" applyAlignment="1">
      <alignment horizontal="right"/>
    </xf>
    <xf numFmtId="3" fontId="31" fillId="0" borderId="33" xfId="0" applyNumberFormat="1" applyFont="1" applyBorder="1" applyAlignment="1">
      <alignment horizontal="right"/>
    </xf>
    <xf numFmtId="3" fontId="29" fillId="0" borderId="33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0" fillId="0" borderId="0" xfId="0" applyFont="1" applyBorder="1"/>
    <xf numFmtId="0" fontId="22" fillId="0" borderId="0" xfId="0" applyFont="1" applyAlignment="1">
      <alignment horizontal="right"/>
    </xf>
    <xf numFmtId="3" fontId="22" fillId="0" borderId="0" xfId="0" applyNumberFormat="1" applyFont="1"/>
    <xf numFmtId="3" fontId="20" fillId="0" borderId="0" xfId="0" applyNumberFormat="1" applyFont="1"/>
    <xf numFmtId="0" fontId="23" fillId="0" borderId="0" xfId="0" applyFont="1" applyBorder="1"/>
    <xf numFmtId="0" fontId="29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2" fillId="0" borderId="25" xfId="0" applyFont="1" applyBorder="1"/>
    <xf numFmtId="0" fontId="22" fillId="0" borderId="37" xfId="0" applyFont="1" applyBorder="1" applyAlignment="1">
      <alignment horizontal="center"/>
    </xf>
    <xf numFmtId="3" fontId="20" fillId="0" borderId="0" xfId="0" applyNumberFormat="1" applyFont="1" applyBorder="1"/>
    <xf numFmtId="3" fontId="29" fillId="0" borderId="41" xfId="0" applyNumberFormat="1" applyFont="1" applyBorder="1" applyAlignment="1">
      <alignment horizontal="right"/>
    </xf>
    <xf numFmtId="3" fontId="29" fillId="0" borderId="42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3" fontId="29" fillId="0" borderId="40" xfId="0" applyNumberFormat="1" applyFont="1" applyBorder="1" applyAlignment="1">
      <alignment horizontal="right"/>
    </xf>
    <xf numFmtId="3" fontId="20" fillId="0" borderId="0" xfId="0" applyNumberFormat="1" applyFont="1" applyAlignment="1">
      <alignment horizontal="right"/>
    </xf>
    <xf numFmtId="0" fontId="22" fillId="0" borderId="15" xfId="0" applyFont="1" applyBorder="1" applyAlignment="1">
      <alignment horizontal="center"/>
    </xf>
    <xf numFmtId="0" fontId="22" fillId="0" borderId="21" xfId="0" applyFont="1" applyBorder="1"/>
    <xf numFmtId="164" fontId="20" fillId="0" borderId="0" xfId="0" applyNumberFormat="1" applyFont="1"/>
    <xf numFmtId="3" fontId="31" fillId="0" borderId="34" xfId="0" applyNumberFormat="1" applyFont="1" applyBorder="1" applyAlignment="1">
      <alignment horizontal="right"/>
    </xf>
    <xf numFmtId="0" fontId="22" fillId="0" borderId="16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33" fillId="0" borderId="0" xfId="0" applyFont="1" applyAlignment="1"/>
    <xf numFmtId="0" fontId="20" fillId="0" borderId="16" xfId="0" applyFont="1" applyBorder="1"/>
    <xf numFmtId="0" fontId="31" fillId="0" borderId="15" xfId="0" applyFont="1" applyFill="1" applyBorder="1" applyAlignment="1">
      <alignment horizontal="center"/>
    </xf>
    <xf numFmtId="0" fontId="34" fillId="0" borderId="15" xfId="0" applyFont="1" applyFill="1" applyBorder="1" applyAlignment="1">
      <alignment horizontal="center"/>
    </xf>
    <xf numFmtId="0" fontId="29" fillId="0" borderId="30" xfId="0" applyFont="1" applyBorder="1"/>
    <xf numFmtId="0" fontId="29" fillId="0" borderId="17" xfId="0" applyFont="1" applyBorder="1"/>
    <xf numFmtId="0" fontId="22" fillId="0" borderId="44" xfId="0" applyFont="1" applyBorder="1"/>
    <xf numFmtId="0" fontId="29" fillId="0" borderId="15" xfId="0" applyFont="1" applyBorder="1"/>
    <xf numFmtId="0" fontId="28" fillId="0" borderId="45" xfId="0" applyFont="1" applyBorder="1" applyAlignment="1">
      <alignment horizontal="center"/>
    </xf>
    <xf numFmtId="0" fontId="30" fillId="0" borderId="17" xfId="0" applyFont="1" applyBorder="1"/>
    <xf numFmtId="0" fontId="30" fillId="0" borderId="17" xfId="0" applyFont="1" applyFill="1" applyBorder="1" applyAlignment="1">
      <alignment horizontal="left"/>
    </xf>
    <xf numFmtId="0" fontId="30" fillId="0" borderId="36" xfId="0" applyFont="1" applyBorder="1"/>
    <xf numFmtId="0" fontId="30" fillId="0" borderId="30" xfId="0" applyFont="1" applyBorder="1"/>
    <xf numFmtId="0" fontId="32" fillId="0" borderId="17" xfId="0" applyFont="1" applyBorder="1"/>
    <xf numFmtId="0" fontId="21" fillId="0" borderId="17" xfId="0" applyFont="1" applyBorder="1" applyAlignment="1"/>
    <xf numFmtId="0" fontId="26" fillId="0" borderId="18" xfId="0" applyFont="1" applyBorder="1" applyAlignment="1">
      <alignment horizontal="center"/>
    </xf>
    <xf numFmtId="3" fontId="22" fillId="0" borderId="18" xfId="0" applyNumberFormat="1" applyFont="1" applyBorder="1"/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6" fillId="0" borderId="12" xfId="0" applyFont="1" applyBorder="1" applyAlignment="1">
      <alignment horizontal="center"/>
    </xf>
    <xf numFmtId="3" fontId="29" fillId="0" borderId="46" xfId="0" applyNumberFormat="1" applyFont="1" applyBorder="1" applyAlignment="1">
      <alignment horizontal="right"/>
    </xf>
    <xf numFmtId="0" fontId="20" fillId="0" borderId="47" xfId="0" applyFont="1" applyBorder="1"/>
    <xf numFmtId="0" fontId="20" fillId="0" borderId="45" xfId="0" applyFont="1" applyBorder="1"/>
    <xf numFmtId="0" fontId="22" fillId="0" borderId="16" xfId="0" applyFont="1" applyBorder="1"/>
    <xf numFmtId="0" fontId="22" fillId="0" borderId="34" xfId="0" applyFont="1" applyBorder="1"/>
    <xf numFmtId="3" fontId="29" fillId="0" borderId="33" xfId="0" applyNumberFormat="1" applyFont="1" applyBorder="1"/>
    <xf numFmtId="0" fontId="22" fillId="0" borderId="48" xfId="0" applyFont="1" applyBorder="1"/>
    <xf numFmtId="0" fontId="22" fillId="0" borderId="18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3" fontId="29" fillId="0" borderId="35" xfId="0" applyNumberFormat="1" applyFont="1" applyBorder="1"/>
    <xf numFmtId="0" fontId="26" fillId="0" borderId="41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7" fillId="0" borderId="15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9" fillId="0" borderId="30" xfId="0" applyFont="1" applyFill="1" applyBorder="1"/>
    <xf numFmtId="0" fontId="20" fillId="0" borderId="36" xfId="0" applyFont="1" applyBorder="1"/>
    <xf numFmtId="0" fontId="22" fillId="0" borderId="17" xfId="0" applyFont="1" applyFill="1" applyBorder="1"/>
    <xf numFmtId="0" fontId="29" fillId="0" borderId="41" xfId="0" applyFont="1" applyBorder="1" applyAlignment="1">
      <alignment wrapText="1"/>
    </xf>
    <xf numFmtId="3" fontId="22" fillId="0" borderId="30" xfId="0" applyNumberFormat="1" applyFont="1" applyBorder="1"/>
    <xf numFmtId="3" fontId="22" fillId="0" borderId="17" xfId="0" applyNumberFormat="1" applyFont="1" applyBorder="1"/>
    <xf numFmtId="3" fontId="36" fillId="0" borderId="41" xfId="0" applyNumberFormat="1" applyFont="1" applyBorder="1"/>
    <xf numFmtId="3" fontId="22" fillId="0" borderId="45" xfId="0" applyNumberFormat="1" applyFont="1" applyBorder="1" applyAlignment="1">
      <alignment horizontal="right"/>
    </xf>
    <xf numFmtId="0" fontId="22" fillId="0" borderId="37" xfId="0" applyFont="1" applyBorder="1"/>
    <xf numFmtId="3" fontId="22" fillId="0" borderId="33" xfId="0" applyNumberFormat="1" applyFont="1" applyBorder="1"/>
    <xf numFmtId="3" fontId="22" fillId="0" borderId="12" xfId="0" applyNumberFormat="1" applyFont="1" applyBorder="1"/>
    <xf numFmtId="3" fontId="22" fillId="0" borderId="40" xfId="0" applyNumberFormat="1" applyFont="1" applyBorder="1"/>
    <xf numFmtId="0" fontId="29" fillId="0" borderId="12" xfId="0" applyFont="1" applyBorder="1" applyAlignment="1">
      <alignment horizontal="center" wrapText="1"/>
    </xf>
    <xf numFmtId="0" fontId="26" fillId="0" borderId="15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20" fillId="0" borderId="18" xfId="0" applyFont="1" applyBorder="1"/>
    <xf numFmtId="4" fontId="22" fillId="0" borderId="0" xfId="0" applyNumberFormat="1" applyFont="1" applyAlignment="1">
      <alignment horizontal="right"/>
    </xf>
    <xf numFmtId="3" fontId="22" fillId="0" borderId="30" xfId="0" applyNumberFormat="1" applyFont="1" applyBorder="1" applyAlignment="1">
      <alignment horizontal="right"/>
    </xf>
    <xf numFmtId="3" fontId="22" fillId="0" borderId="29" xfId="0" applyNumberFormat="1" applyFont="1" applyBorder="1" applyAlignment="1">
      <alignment horizontal="right"/>
    </xf>
    <xf numFmtId="3" fontId="22" fillId="0" borderId="32" xfId="0" applyNumberFormat="1" applyFont="1" applyBorder="1" applyAlignment="1">
      <alignment horizontal="right"/>
    </xf>
    <xf numFmtId="3" fontId="22" fillId="0" borderId="35" xfId="0" applyNumberFormat="1" applyFont="1" applyBorder="1" applyAlignment="1">
      <alignment horizontal="right"/>
    </xf>
    <xf numFmtId="3" fontId="22" fillId="0" borderId="46" xfId="0" applyNumberFormat="1" applyFont="1" applyBorder="1"/>
    <xf numFmtId="0" fontId="22" fillId="0" borderId="12" xfId="0" applyFont="1" applyBorder="1"/>
    <xf numFmtId="0" fontId="22" fillId="0" borderId="40" xfId="0" applyFont="1" applyBorder="1"/>
    <xf numFmtId="3" fontId="22" fillId="0" borderId="50" xfId="0" applyNumberFormat="1" applyFont="1" applyBorder="1"/>
    <xf numFmtId="3" fontId="22" fillId="0" borderId="51" xfId="0" applyNumberFormat="1" applyFont="1" applyBorder="1"/>
    <xf numFmtId="0" fontId="22" fillId="0" borderId="33" xfId="0" applyFont="1" applyBorder="1"/>
    <xf numFmtId="3" fontId="22" fillId="0" borderId="37" xfId="0" applyNumberFormat="1" applyFont="1" applyBorder="1"/>
    <xf numFmtId="3" fontId="22" fillId="0" borderId="34" xfId="0" applyNumberFormat="1" applyFont="1" applyBorder="1"/>
    <xf numFmtId="0" fontId="22" fillId="0" borderId="39" xfId="0" applyFont="1" applyBorder="1"/>
    <xf numFmtId="3" fontId="22" fillId="0" borderId="38" xfId="0" applyNumberFormat="1" applyFont="1" applyBorder="1"/>
    <xf numFmtId="3" fontId="36" fillId="0" borderId="41" xfId="0" applyNumberFormat="1" applyFont="1" applyBorder="1" applyAlignment="1">
      <alignment horizontal="right"/>
    </xf>
    <xf numFmtId="3" fontId="36" fillId="0" borderId="43" xfId="0" applyNumberFormat="1" applyFont="1" applyBorder="1"/>
    <xf numFmtId="3" fontId="36" fillId="0" borderId="12" xfId="0" applyNumberFormat="1" applyFont="1" applyBorder="1"/>
    <xf numFmtId="3" fontId="36" fillId="0" borderId="40" xfId="0" applyNumberFormat="1" applyFont="1" applyBorder="1"/>
    <xf numFmtId="3" fontId="36" fillId="0" borderId="12" xfId="0" applyNumberFormat="1" applyFont="1" applyBorder="1" applyAlignment="1">
      <alignment horizontal="right"/>
    </xf>
    <xf numFmtId="3" fontId="36" fillId="0" borderId="43" xfId="0" applyNumberFormat="1" applyFont="1" applyBorder="1" applyAlignment="1">
      <alignment horizontal="right"/>
    </xf>
    <xf numFmtId="3" fontId="36" fillId="0" borderId="40" xfId="0" applyNumberFormat="1" applyFont="1" applyBorder="1" applyAlignment="1">
      <alignment horizontal="right"/>
    </xf>
    <xf numFmtId="3" fontId="22" fillId="0" borderId="36" xfId="0" applyNumberFormat="1" applyFont="1" applyBorder="1" applyAlignment="1">
      <alignment horizontal="center"/>
    </xf>
    <xf numFmtId="3" fontId="22" fillId="0" borderId="44" xfId="0" applyNumberFormat="1" applyFont="1" applyBorder="1"/>
    <xf numFmtId="3" fontId="22" fillId="0" borderId="25" xfId="0" applyNumberFormat="1" applyFont="1" applyBorder="1"/>
    <xf numFmtId="3" fontId="22" fillId="0" borderId="49" xfId="0" applyNumberFormat="1" applyFont="1" applyBorder="1"/>
    <xf numFmtId="3" fontId="22" fillId="0" borderId="28" xfId="0" applyNumberFormat="1" applyFont="1" applyBorder="1"/>
    <xf numFmtId="3" fontId="22" fillId="0" borderId="29" xfId="0" applyNumberFormat="1" applyFont="1" applyBorder="1"/>
    <xf numFmtId="3" fontId="22" fillId="0" borderId="32" xfId="0" applyNumberFormat="1" applyFont="1" applyBorder="1"/>
    <xf numFmtId="3" fontId="37" fillId="0" borderId="0" xfId="0" applyNumberFormat="1" applyFont="1"/>
    <xf numFmtId="3" fontId="31" fillId="0" borderId="37" xfId="0" applyNumberFormat="1" applyFont="1" applyBorder="1" applyAlignment="1">
      <alignment horizontal="right"/>
    </xf>
    <xf numFmtId="0" fontId="20" fillId="0" borderId="0" xfId="0" applyFont="1" applyAlignment="1">
      <alignment horizontal="right"/>
    </xf>
    <xf numFmtId="3" fontId="31" fillId="0" borderId="35" xfId="0" applyNumberFormat="1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3" fontId="22" fillId="0" borderId="33" xfId="0" applyNumberFormat="1" applyFont="1" applyBorder="1" applyAlignment="1">
      <alignment horizontal="right"/>
    </xf>
    <xf numFmtId="3" fontId="29" fillId="0" borderId="42" xfId="0" applyNumberFormat="1" applyFont="1" applyBorder="1"/>
    <xf numFmtId="3" fontId="29" fillId="0" borderId="43" xfId="0" applyNumberFormat="1" applyFont="1" applyBorder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3" fontId="22" fillId="0" borderId="15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3" fontId="36" fillId="0" borderId="42" xfId="0" applyNumberFormat="1" applyFont="1" applyBorder="1"/>
    <xf numFmtId="0" fontId="20" fillId="0" borderId="0" xfId="0" applyFont="1" applyAlignment="1">
      <alignment horizontal="right"/>
    </xf>
    <xf numFmtId="3" fontId="33" fillId="0" borderId="0" xfId="0" applyNumberFormat="1" applyFont="1"/>
    <xf numFmtId="3" fontId="22" fillId="0" borderId="0" xfId="0" applyNumberFormat="1" applyFont="1" applyFill="1" applyBorder="1"/>
    <xf numFmtId="3" fontId="31" fillId="0" borderId="32" xfId="0" applyNumberFormat="1" applyFont="1" applyBorder="1" applyAlignment="1">
      <alignment horizontal="right"/>
    </xf>
    <xf numFmtId="0" fontId="20" fillId="0" borderId="0" xfId="0" applyFont="1" applyAlignment="1">
      <alignment horizontal="right"/>
    </xf>
    <xf numFmtId="0" fontId="26" fillId="0" borderId="14" xfId="0" applyFont="1" applyBorder="1" applyAlignment="1">
      <alignment horizontal="center"/>
    </xf>
    <xf numFmtId="0" fontId="26" fillId="0" borderId="42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42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24" xfId="0" applyFont="1" applyBorder="1" applyAlignment="1">
      <alignment horizontal="center"/>
    </xf>
  </cellXfs>
  <cellStyles count="4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al_KARSZJ3" xfId="38"/>
    <cellStyle name="Összesen" xfId="39" builtinId="25" customBuiltin="1"/>
    <cellStyle name="Rossz" xfId="40" builtinId="27" customBuiltin="1"/>
    <cellStyle name="Semleges" xfId="41" builtinId="28" customBuiltin="1"/>
    <cellStyle name="Számítás" xfId="42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2"/>
  <sheetViews>
    <sheetView zoomScale="110" zoomScaleNormal="110" workbookViewId="0">
      <pane xSplit="2" ySplit="16" topLeftCell="C38" activePane="bottomRight" state="frozen"/>
      <selection activeCell="M1" sqref="M1:M65536"/>
      <selection pane="topRight" activeCell="M1" sqref="M1:M65536"/>
      <selection pane="bottomLeft" activeCell="M1" sqref="M1:M65536"/>
      <selection pane="bottomRight" activeCell="E47" sqref="E47"/>
    </sheetView>
  </sheetViews>
  <sheetFormatPr defaultRowHeight="12.75" x14ac:dyDescent="0.2"/>
  <cols>
    <col min="1" max="1" width="3.85546875" style="1" customWidth="1"/>
    <col min="2" max="2" width="30.7109375" style="1" customWidth="1"/>
    <col min="3" max="3" width="10.7109375" style="1" customWidth="1"/>
    <col min="4" max="4" width="11" style="1" customWidth="1"/>
    <col min="5" max="6" width="10.7109375" style="1" customWidth="1"/>
    <col min="7" max="7" width="10.85546875" style="1" customWidth="1"/>
    <col min="8" max="15" width="10.7109375" style="1" customWidth="1"/>
    <col min="16" max="16" width="8.7109375" style="1" customWidth="1"/>
    <col min="17" max="18" width="7.7109375" style="1" customWidth="1"/>
    <col min="19" max="16384" width="9.140625" style="1"/>
  </cols>
  <sheetData>
    <row r="1" spans="1:17" x14ac:dyDescent="0.2">
      <c r="M1" s="2"/>
      <c r="N1" s="188" t="s">
        <v>94</v>
      </c>
      <c r="O1" s="188"/>
    </row>
    <row r="2" spans="1:17" x14ac:dyDescent="0.2">
      <c r="M2" s="2"/>
      <c r="N2" s="2"/>
      <c r="O2" s="3"/>
    </row>
    <row r="3" spans="1:17" x14ac:dyDescent="0.2">
      <c r="M3" s="2"/>
      <c r="N3" s="2"/>
      <c r="O3" s="3"/>
    </row>
    <row r="4" spans="1:17" x14ac:dyDescent="0.2">
      <c r="A4" s="196" t="s">
        <v>90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7" hidden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1:17" x14ac:dyDescent="0.2">
      <c r="A6" s="4"/>
      <c r="B6" s="196" t="s">
        <v>95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5"/>
      <c r="P6" s="5"/>
      <c r="Q6" s="6"/>
    </row>
    <row r="7" spans="1:17" x14ac:dyDescent="0.2">
      <c r="A7" s="4"/>
      <c r="B7" s="5"/>
      <c r="C7" s="5"/>
      <c r="D7" s="5"/>
      <c r="E7" s="5"/>
      <c r="F7" s="5"/>
      <c r="G7" s="5"/>
      <c r="H7" s="90"/>
      <c r="I7" s="5"/>
      <c r="J7" s="5"/>
      <c r="K7" s="5"/>
      <c r="L7" s="5"/>
      <c r="M7" s="5"/>
      <c r="N7" s="5"/>
      <c r="O7" s="7"/>
      <c r="P7" s="5"/>
      <c r="Q7" s="6"/>
    </row>
    <row r="8" spans="1:17" ht="13.5" thickBo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8" t="s">
        <v>0</v>
      </c>
      <c r="P8" s="17"/>
      <c r="Q8" s="73"/>
    </row>
    <row r="9" spans="1:17" ht="13.5" thickBot="1" x14ac:dyDescent="0.25">
      <c r="A9" s="9"/>
      <c r="B9" s="10"/>
      <c r="C9" s="10"/>
      <c r="D9" s="189" t="s">
        <v>1</v>
      </c>
      <c r="E9" s="189"/>
      <c r="F9" s="189"/>
      <c r="G9" s="190"/>
      <c r="H9" s="190"/>
      <c r="I9" s="190"/>
      <c r="J9" s="189"/>
      <c r="K9" s="189"/>
      <c r="L9" s="189"/>
      <c r="M9" s="189"/>
      <c r="N9" s="191" t="s">
        <v>2</v>
      </c>
      <c r="O9" s="192"/>
      <c r="P9" s="69"/>
      <c r="Q9" s="69"/>
    </row>
    <row r="10" spans="1:17" ht="13.5" thickBot="1" x14ac:dyDescent="0.25">
      <c r="A10" s="13"/>
      <c r="B10" s="104"/>
      <c r="C10" s="104"/>
      <c r="D10" s="193" t="s">
        <v>61</v>
      </c>
      <c r="E10" s="194"/>
      <c r="F10" s="194"/>
      <c r="G10" s="194"/>
      <c r="H10" s="194"/>
      <c r="I10" s="195"/>
      <c r="J10" s="193" t="s">
        <v>56</v>
      </c>
      <c r="K10" s="194"/>
      <c r="L10" s="194"/>
      <c r="M10" s="194"/>
      <c r="N10" s="138"/>
      <c r="O10" s="105"/>
      <c r="P10" s="69"/>
      <c r="Q10" s="69"/>
    </row>
    <row r="11" spans="1:17" ht="12.75" customHeight="1" x14ac:dyDescent="0.2">
      <c r="A11" s="74"/>
      <c r="B11" s="18" t="s">
        <v>60</v>
      </c>
      <c r="C11" s="18" t="s">
        <v>3</v>
      </c>
      <c r="D11" s="69"/>
      <c r="E11" s="31"/>
      <c r="F11" s="91"/>
      <c r="G11" s="9"/>
      <c r="H11" s="111"/>
      <c r="I11" s="140"/>
      <c r="J11" s="139"/>
      <c r="K11" s="106"/>
      <c r="L11" s="139"/>
      <c r="M11" s="106"/>
      <c r="N11" s="23" t="s">
        <v>10</v>
      </c>
      <c r="O11" s="24" t="s">
        <v>13</v>
      </c>
      <c r="P11" s="69"/>
      <c r="Q11" s="69"/>
    </row>
    <row r="12" spans="1:17" x14ac:dyDescent="0.2">
      <c r="A12" s="74"/>
      <c r="B12" s="18" t="s">
        <v>20</v>
      </c>
      <c r="C12" s="18" t="s">
        <v>46</v>
      </c>
      <c r="D12" s="89" t="s">
        <v>10</v>
      </c>
      <c r="E12" s="88" t="s">
        <v>10</v>
      </c>
      <c r="F12" s="88" t="s">
        <v>10</v>
      </c>
      <c r="G12" s="23" t="s">
        <v>13</v>
      </c>
      <c r="H12" s="88" t="s">
        <v>49</v>
      </c>
      <c r="I12" s="24" t="s">
        <v>13</v>
      </c>
      <c r="J12" s="92" t="s">
        <v>10</v>
      </c>
      <c r="K12" s="107" t="s">
        <v>10</v>
      </c>
      <c r="L12" s="92" t="s">
        <v>13</v>
      </c>
      <c r="M12" s="107" t="s">
        <v>13</v>
      </c>
      <c r="N12" s="23" t="s">
        <v>17</v>
      </c>
      <c r="O12" s="24" t="s">
        <v>17</v>
      </c>
      <c r="P12" s="69"/>
      <c r="Q12" s="69"/>
    </row>
    <row r="13" spans="1:17" x14ac:dyDescent="0.2">
      <c r="A13" s="75"/>
      <c r="B13" s="18"/>
      <c r="C13" s="18" t="s">
        <v>14</v>
      </c>
      <c r="D13" s="89" t="s">
        <v>46</v>
      </c>
      <c r="E13" s="88" t="s">
        <v>46</v>
      </c>
      <c r="F13" s="88" t="s">
        <v>17</v>
      </c>
      <c r="G13" s="23" t="s">
        <v>46</v>
      </c>
      <c r="H13" s="88" t="s">
        <v>46</v>
      </c>
      <c r="I13" s="24" t="s">
        <v>17</v>
      </c>
      <c r="J13" s="92" t="s">
        <v>57</v>
      </c>
      <c r="K13" s="107" t="s">
        <v>59</v>
      </c>
      <c r="L13" s="92" t="s">
        <v>57</v>
      </c>
      <c r="M13" s="107" t="s">
        <v>59</v>
      </c>
      <c r="N13" s="23"/>
      <c r="O13" s="24"/>
      <c r="P13" s="69"/>
      <c r="Q13" s="69"/>
    </row>
    <row r="14" spans="1:17" x14ac:dyDescent="0.2">
      <c r="A14" s="28" t="s">
        <v>19</v>
      </c>
      <c r="B14" s="18"/>
      <c r="C14" s="32"/>
      <c r="D14" s="25" t="s">
        <v>50</v>
      </c>
      <c r="E14" s="88"/>
      <c r="F14" s="88" t="s">
        <v>54</v>
      </c>
      <c r="G14" s="84" t="s">
        <v>50</v>
      </c>
      <c r="H14" s="88"/>
      <c r="I14" s="24" t="s">
        <v>54</v>
      </c>
      <c r="J14" s="92" t="s">
        <v>55</v>
      </c>
      <c r="K14" s="107" t="s">
        <v>48</v>
      </c>
      <c r="L14" s="92" t="s">
        <v>55</v>
      </c>
      <c r="M14" s="107" t="s">
        <v>48</v>
      </c>
      <c r="N14" s="23"/>
      <c r="O14" s="24"/>
      <c r="P14" s="69"/>
      <c r="Q14" s="69"/>
    </row>
    <row r="15" spans="1:17" x14ac:dyDescent="0.2">
      <c r="A15" s="28"/>
      <c r="B15" s="18"/>
      <c r="C15" s="32"/>
      <c r="D15" s="25" t="s">
        <v>52</v>
      </c>
      <c r="E15" s="88"/>
      <c r="F15" s="88" t="s">
        <v>23</v>
      </c>
      <c r="G15" s="84" t="s">
        <v>52</v>
      </c>
      <c r="H15" s="88"/>
      <c r="I15" s="24" t="s">
        <v>23</v>
      </c>
      <c r="J15" s="92" t="s">
        <v>58</v>
      </c>
      <c r="K15" s="24"/>
      <c r="L15" s="92" t="s">
        <v>58</v>
      </c>
      <c r="M15" s="24"/>
      <c r="N15" s="23"/>
      <c r="O15" s="24"/>
      <c r="P15" s="69"/>
      <c r="Q15" s="69"/>
    </row>
    <row r="16" spans="1:17" x14ac:dyDescent="0.2">
      <c r="A16" s="27"/>
      <c r="B16" s="98"/>
      <c r="C16" s="32"/>
      <c r="D16" s="96"/>
      <c r="E16" s="88"/>
      <c r="F16" s="88"/>
      <c r="G16" s="76"/>
      <c r="H16" s="88"/>
      <c r="I16" s="24"/>
      <c r="J16" s="93"/>
      <c r="K16" s="24"/>
      <c r="L16" s="93"/>
      <c r="M16" s="85"/>
      <c r="N16" s="13"/>
      <c r="O16" s="35"/>
      <c r="P16" s="69"/>
      <c r="Q16" s="69"/>
    </row>
    <row r="17" spans="1:19" x14ac:dyDescent="0.2">
      <c r="A17" s="42">
        <v>1</v>
      </c>
      <c r="B17" s="37">
        <v>2</v>
      </c>
      <c r="C17" s="37">
        <v>3</v>
      </c>
      <c r="D17" s="38">
        <v>4</v>
      </c>
      <c r="E17" s="38">
        <v>5</v>
      </c>
      <c r="F17" s="40">
        <v>6</v>
      </c>
      <c r="G17" s="42">
        <v>7</v>
      </c>
      <c r="H17" s="40">
        <v>8</v>
      </c>
      <c r="I17" s="77">
        <v>9</v>
      </c>
      <c r="J17" s="42">
        <v>10</v>
      </c>
      <c r="K17" s="77">
        <v>11</v>
      </c>
      <c r="L17" s="42">
        <v>12</v>
      </c>
      <c r="M17" s="77">
        <v>13</v>
      </c>
      <c r="N17" s="42">
        <v>14</v>
      </c>
      <c r="O17" s="77">
        <v>15</v>
      </c>
      <c r="P17" s="69"/>
      <c r="Q17" s="69"/>
    </row>
    <row r="18" spans="1:19" x14ac:dyDescent="0.2">
      <c r="A18" s="84"/>
      <c r="B18" s="18"/>
      <c r="C18" s="44"/>
      <c r="D18" s="47"/>
      <c r="E18" s="47"/>
      <c r="F18" s="47"/>
      <c r="G18" s="48"/>
      <c r="H18" s="47"/>
      <c r="I18" s="49"/>
      <c r="J18" s="48"/>
      <c r="K18" s="49"/>
      <c r="L18" s="48"/>
      <c r="M18" s="49"/>
      <c r="N18" s="48"/>
      <c r="O18" s="49"/>
      <c r="P18" s="69"/>
      <c r="Q18" s="69"/>
    </row>
    <row r="19" spans="1:19" x14ac:dyDescent="0.2">
      <c r="A19" s="84" t="s">
        <v>64</v>
      </c>
      <c r="B19" s="99" t="s">
        <v>27</v>
      </c>
      <c r="C19" s="46">
        <f>SUM(D19:O19)</f>
        <v>16311.637999999999</v>
      </c>
      <c r="D19" s="47"/>
      <c r="E19" s="47"/>
      <c r="F19" s="47"/>
      <c r="G19" s="48"/>
      <c r="H19" s="47"/>
      <c r="I19" s="49"/>
      <c r="J19" s="48"/>
      <c r="K19" s="49">
        <f>3618.93+280.6+4313.149+7239.401+859.558</f>
        <v>16311.637999999999</v>
      </c>
      <c r="L19" s="48"/>
      <c r="M19" s="49"/>
      <c r="N19" s="48"/>
      <c r="O19" s="49"/>
      <c r="P19" s="78"/>
      <c r="Q19" s="78"/>
      <c r="S19" s="72"/>
    </row>
    <row r="20" spans="1:19" x14ac:dyDescent="0.2">
      <c r="A20" s="13"/>
      <c r="B20" s="100"/>
      <c r="C20" s="46"/>
      <c r="D20" s="47"/>
      <c r="E20" s="47"/>
      <c r="F20" s="47"/>
      <c r="G20" s="48"/>
      <c r="H20" s="47"/>
      <c r="I20" s="49"/>
      <c r="J20" s="48"/>
      <c r="K20" s="49"/>
      <c r="L20" s="48"/>
      <c r="M20" s="49"/>
      <c r="N20" s="48"/>
      <c r="O20" s="49"/>
      <c r="P20" s="78"/>
      <c r="Q20" s="78"/>
      <c r="S20" s="72"/>
    </row>
    <row r="21" spans="1:19" x14ac:dyDescent="0.2">
      <c r="A21" s="123" t="s">
        <v>26</v>
      </c>
      <c r="B21" s="125" t="s">
        <v>80</v>
      </c>
      <c r="C21" s="50">
        <f t="shared" ref="C21:O21" si="0">SUM(C19:C20)</f>
        <v>16311.637999999999</v>
      </c>
      <c r="D21" s="56">
        <f t="shared" si="0"/>
        <v>0</v>
      </c>
      <c r="E21" s="57">
        <f t="shared" si="0"/>
        <v>0</v>
      </c>
      <c r="F21" s="67">
        <f t="shared" si="0"/>
        <v>0</v>
      </c>
      <c r="G21" s="58">
        <f t="shared" si="0"/>
        <v>0</v>
      </c>
      <c r="H21" s="57">
        <f t="shared" si="0"/>
        <v>0</v>
      </c>
      <c r="I21" s="60">
        <f t="shared" si="0"/>
        <v>0</v>
      </c>
      <c r="J21" s="58">
        <f t="shared" si="0"/>
        <v>0</v>
      </c>
      <c r="K21" s="60">
        <f t="shared" si="0"/>
        <v>16311.637999999999</v>
      </c>
      <c r="L21" s="58">
        <f t="shared" si="0"/>
        <v>0</v>
      </c>
      <c r="M21" s="59">
        <f t="shared" si="0"/>
        <v>0</v>
      </c>
      <c r="N21" s="58">
        <f t="shared" si="0"/>
        <v>0</v>
      </c>
      <c r="O21" s="59">
        <f t="shared" si="0"/>
        <v>0</v>
      </c>
      <c r="P21" s="78"/>
      <c r="Q21" s="78"/>
      <c r="S21" s="72"/>
    </row>
    <row r="22" spans="1:19" x14ac:dyDescent="0.2">
      <c r="A22" s="13"/>
      <c r="B22" s="101"/>
      <c r="C22" s="55"/>
      <c r="D22" s="47"/>
      <c r="E22" s="47"/>
      <c r="F22" s="47"/>
      <c r="G22" s="48"/>
      <c r="H22" s="47"/>
      <c r="I22" s="49"/>
      <c r="J22" s="48"/>
      <c r="K22" s="49"/>
      <c r="L22" s="48"/>
      <c r="M22" s="49"/>
      <c r="N22" s="48"/>
      <c r="O22" s="49"/>
      <c r="P22" s="78"/>
      <c r="Q22" s="78"/>
      <c r="S22" s="72"/>
    </row>
    <row r="23" spans="1:19" x14ac:dyDescent="0.2">
      <c r="A23" s="84" t="s">
        <v>64</v>
      </c>
      <c r="B23" s="99" t="s">
        <v>28</v>
      </c>
      <c r="C23" s="46">
        <f t="shared" ref="C23:C34" si="1">SUM(D23:O23)</f>
        <v>2688.779</v>
      </c>
      <c r="D23" s="47">
        <f>696.084+180.996</f>
        <v>877.07999999999993</v>
      </c>
      <c r="E23" s="47"/>
      <c r="F23" s="47"/>
      <c r="G23" s="48"/>
      <c r="H23" s="47"/>
      <c r="I23" s="49"/>
      <c r="J23" s="48"/>
      <c r="K23" s="49">
        <f>57+222.04+215+922.956+244+20.703+30+100</f>
        <v>1811.6990000000001</v>
      </c>
      <c r="L23" s="48"/>
      <c r="M23" s="49"/>
      <c r="N23" s="48"/>
      <c r="O23" s="49"/>
      <c r="P23" s="78"/>
      <c r="Q23" s="78"/>
      <c r="S23" s="72"/>
    </row>
    <row r="24" spans="1:19" x14ac:dyDescent="0.2">
      <c r="A24" s="84" t="s">
        <v>65</v>
      </c>
      <c r="B24" s="99" t="s">
        <v>30</v>
      </c>
      <c r="C24" s="46">
        <f t="shared" si="1"/>
        <v>2055.2750000000001</v>
      </c>
      <c r="D24" s="47"/>
      <c r="E24" s="47"/>
      <c r="F24" s="47"/>
      <c r="G24" s="48"/>
      <c r="H24" s="47"/>
      <c r="I24" s="49"/>
      <c r="J24" s="48"/>
      <c r="K24" s="49">
        <f>64+390+158.6+642.477+283.989+280.6+35.609+200</f>
        <v>2055.2750000000001</v>
      </c>
      <c r="L24" s="48"/>
      <c r="M24" s="49"/>
      <c r="N24" s="48"/>
      <c r="O24" s="49"/>
      <c r="P24" s="78"/>
      <c r="Q24" s="78"/>
      <c r="S24" s="72"/>
    </row>
    <row r="25" spans="1:19" x14ac:dyDescent="0.2">
      <c r="A25" s="84" t="s">
        <v>66</v>
      </c>
      <c r="B25" s="99" t="s">
        <v>32</v>
      </c>
      <c r="C25" s="46">
        <f t="shared" si="1"/>
        <v>3804.2139999999999</v>
      </c>
      <c r="D25" s="47"/>
      <c r="E25" s="47"/>
      <c r="F25" s="47"/>
      <c r="G25" s="48"/>
      <c r="H25" s="47"/>
      <c r="I25" s="49"/>
      <c r="J25" s="48"/>
      <c r="K25" s="49">
        <f>53+164.944+180+2965.749+244+51.521+45+100</f>
        <v>3804.2139999999999</v>
      </c>
      <c r="L25" s="48"/>
      <c r="M25" s="49"/>
      <c r="N25" s="48"/>
      <c r="O25" s="49"/>
      <c r="P25" s="78"/>
      <c r="Q25" s="78"/>
      <c r="S25" s="72"/>
    </row>
    <row r="26" spans="1:19" x14ac:dyDescent="0.2">
      <c r="A26" s="84" t="s">
        <v>67</v>
      </c>
      <c r="B26" s="99" t="s">
        <v>34</v>
      </c>
      <c r="C26" s="46">
        <f t="shared" si="1"/>
        <v>3107.346</v>
      </c>
      <c r="D26" s="47"/>
      <c r="E26" s="47"/>
      <c r="F26" s="47"/>
      <c r="G26" s="48"/>
      <c r="H26" s="47"/>
      <c r="I26" s="49"/>
      <c r="J26" s="48"/>
      <c r="K26" s="49">
        <f>56+135+231.556+49+2225.585+244+41.205+35+90</f>
        <v>3107.346</v>
      </c>
      <c r="L26" s="48"/>
      <c r="M26" s="49"/>
      <c r="N26" s="48"/>
      <c r="O26" s="49"/>
      <c r="P26" s="78"/>
      <c r="Q26" s="78"/>
      <c r="S26" s="72"/>
    </row>
    <row r="27" spans="1:19" x14ac:dyDescent="0.2">
      <c r="A27" s="84" t="s">
        <v>68</v>
      </c>
      <c r="B27" s="99" t="s">
        <v>35</v>
      </c>
      <c r="C27" s="46">
        <f t="shared" si="1"/>
        <v>4110.5199999999995</v>
      </c>
      <c r="D27" s="47"/>
      <c r="E27" s="47"/>
      <c r="F27" s="47"/>
      <c r="G27" s="48"/>
      <c r="H27" s="47"/>
      <c r="I27" s="49"/>
      <c r="J27" s="48"/>
      <c r="K27" s="49">
        <f>84+135+339.404+2474.62+550.22+305+82.276+40+100</f>
        <v>4110.5199999999995</v>
      </c>
      <c r="L27" s="48"/>
      <c r="M27" s="49"/>
      <c r="N27" s="48"/>
      <c r="O27" s="49"/>
      <c r="P27" s="78"/>
      <c r="Q27" s="78"/>
      <c r="S27" s="72"/>
    </row>
    <row r="28" spans="1:19" x14ac:dyDescent="0.2">
      <c r="A28" s="84" t="s">
        <v>69</v>
      </c>
      <c r="B28" s="99" t="s">
        <v>36</v>
      </c>
      <c r="C28" s="46">
        <f t="shared" si="1"/>
        <v>4024.0060000000003</v>
      </c>
      <c r="D28" s="47"/>
      <c r="E28" s="47"/>
      <c r="F28" s="47"/>
      <c r="G28" s="48"/>
      <c r="H28" s="47"/>
      <c r="I28" s="49"/>
      <c r="J28" s="48"/>
      <c r="K28" s="49">
        <f>45+161.772+1150.077+2165.5+353.8+7.857+30+110</f>
        <v>4024.0060000000003</v>
      </c>
      <c r="L28" s="48"/>
      <c r="M28" s="49"/>
      <c r="N28" s="48"/>
      <c r="O28" s="49"/>
      <c r="P28" s="78"/>
      <c r="Q28" s="78"/>
      <c r="S28" s="72"/>
    </row>
    <row r="29" spans="1:19" x14ac:dyDescent="0.2">
      <c r="A29" s="84" t="s">
        <v>70</v>
      </c>
      <c r="B29" s="99" t="s">
        <v>37</v>
      </c>
      <c r="C29" s="46">
        <f t="shared" si="1"/>
        <v>771.51599999999996</v>
      </c>
      <c r="D29" s="47"/>
      <c r="E29" s="47"/>
      <c r="F29" s="47"/>
      <c r="G29" s="48"/>
      <c r="H29" s="47"/>
      <c r="I29" s="49"/>
      <c r="J29" s="48"/>
      <c r="K29" s="49">
        <f>48+199.836+103.137+244+76.543+100</f>
        <v>771.51599999999996</v>
      </c>
      <c r="L29" s="48"/>
      <c r="M29" s="49"/>
      <c r="N29" s="48"/>
      <c r="O29" s="49"/>
      <c r="P29" s="78"/>
      <c r="Q29" s="78"/>
      <c r="S29" s="72"/>
    </row>
    <row r="30" spans="1:19" x14ac:dyDescent="0.2">
      <c r="A30" s="84" t="s">
        <v>71</v>
      </c>
      <c r="B30" s="99" t="s">
        <v>38</v>
      </c>
      <c r="C30" s="46">
        <f>SUM(D30:O30)</f>
        <v>10184.584999999999</v>
      </c>
      <c r="D30" s="47"/>
      <c r="E30" s="47"/>
      <c r="F30" s="47"/>
      <c r="G30" s="48"/>
      <c r="H30" s="47"/>
      <c r="I30" s="49"/>
      <c r="J30" s="48"/>
      <c r="K30" s="49">
        <f>95+135+294.996+6029.048+390.4+791.59+2135.732+82.819+30+200</f>
        <v>10184.584999999999</v>
      </c>
      <c r="L30" s="48"/>
      <c r="M30" s="49"/>
      <c r="N30" s="48"/>
      <c r="O30" s="49"/>
      <c r="P30" s="78"/>
      <c r="Q30" s="78"/>
      <c r="S30" s="72"/>
    </row>
    <row r="31" spans="1:19" x14ac:dyDescent="0.2">
      <c r="A31" s="84" t="s">
        <v>74</v>
      </c>
      <c r="B31" s="99" t="s">
        <v>39</v>
      </c>
      <c r="C31" s="46">
        <f t="shared" si="1"/>
        <v>8315.8290000000015</v>
      </c>
      <c r="D31" s="47"/>
      <c r="E31" s="47">
        <v>327</v>
      </c>
      <c r="F31" s="47"/>
      <c r="G31" s="48"/>
      <c r="H31" s="47"/>
      <c r="I31" s="49"/>
      <c r="J31" s="48"/>
      <c r="K31" s="49">
        <f>70+329.888+2872.3+4352.35+244-9.709+30+100</f>
        <v>7988.8290000000006</v>
      </c>
      <c r="L31" s="48"/>
      <c r="M31" s="49"/>
      <c r="N31" s="48"/>
      <c r="O31" s="49"/>
      <c r="P31" s="78"/>
      <c r="Q31" s="78"/>
      <c r="S31" s="72"/>
    </row>
    <row r="32" spans="1:19" x14ac:dyDescent="0.2">
      <c r="A32" s="84" t="s">
        <v>72</v>
      </c>
      <c r="B32" s="99" t="s">
        <v>40</v>
      </c>
      <c r="C32" s="46">
        <f t="shared" si="1"/>
        <v>768.61700000000008</v>
      </c>
      <c r="D32" s="47"/>
      <c r="E32" s="47"/>
      <c r="F32" s="47"/>
      <c r="G32" s="48"/>
      <c r="H32" s="47"/>
      <c r="I32" s="49"/>
      <c r="J32" s="48"/>
      <c r="K32" s="49">
        <f>56+145.912+134+244+58.705+30+100</f>
        <v>768.61700000000008</v>
      </c>
      <c r="L32" s="48"/>
      <c r="M32" s="49"/>
      <c r="N32" s="48"/>
      <c r="O32" s="49"/>
      <c r="P32" s="78"/>
      <c r="Q32" s="78"/>
      <c r="S32" s="72"/>
    </row>
    <row r="33" spans="1:21" x14ac:dyDescent="0.2">
      <c r="A33" s="84" t="s">
        <v>73</v>
      </c>
      <c r="B33" s="99" t="s">
        <v>85</v>
      </c>
      <c r="C33" s="46">
        <f t="shared" si="1"/>
        <v>2899.7779999999998</v>
      </c>
      <c r="D33" s="47"/>
      <c r="E33" s="47"/>
      <c r="F33" s="47"/>
      <c r="G33" s="48"/>
      <c r="H33" s="47"/>
      <c r="I33" s="49"/>
      <c r="J33" s="48"/>
      <c r="K33" s="49">
        <f>84+279.136+252+1747.644+244+42.998+50+200</f>
        <v>2899.7779999999998</v>
      </c>
      <c r="L33" s="48"/>
      <c r="M33" s="49"/>
      <c r="N33" s="48"/>
      <c r="O33" s="49"/>
      <c r="P33" s="78"/>
      <c r="Q33" s="78"/>
      <c r="S33" s="72"/>
    </row>
    <row r="34" spans="1:21" x14ac:dyDescent="0.2">
      <c r="A34" s="84" t="s">
        <v>87</v>
      </c>
      <c r="B34" s="99" t="s">
        <v>89</v>
      </c>
      <c r="C34" s="46">
        <f t="shared" si="1"/>
        <v>1928.6090000000002</v>
      </c>
      <c r="D34" s="47"/>
      <c r="E34" s="47"/>
      <c r="F34" s="47"/>
      <c r="G34" s="48"/>
      <c r="H34" s="47"/>
      <c r="I34" s="49"/>
      <c r="J34" s="48"/>
      <c r="K34" s="49">
        <f>78+206.18+784+502.513+280.6-22.684+100</f>
        <v>1928.6090000000002</v>
      </c>
      <c r="L34" s="48"/>
      <c r="M34" s="49"/>
      <c r="N34" s="48"/>
      <c r="O34" s="49"/>
      <c r="P34" s="78"/>
      <c r="Q34" s="78"/>
      <c r="S34" s="72"/>
    </row>
    <row r="35" spans="1:21" x14ac:dyDescent="0.2">
      <c r="A35" s="84"/>
      <c r="B35" s="14"/>
      <c r="C35" s="46"/>
      <c r="D35" s="47"/>
      <c r="E35" s="47"/>
      <c r="F35" s="47"/>
      <c r="G35" s="48"/>
      <c r="H35" s="47"/>
      <c r="I35" s="49"/>
      <c r="J35" s="48"/>
      <c r="K35" s="49"/>
      <c r="L35" s="48"/>
      <c r="M35" s="49"/>
      <c r="N35" s="48"/>
      <c r="O35" s="49"/>
      <c r="P35" s="78"/>
      <c r="Q35" s="78"/>
      <c r="S35" s="72"/>
    </row>
    <row r="36" spans="1:21" x14ac:dyDescent="0.2">
      <c r="A36" s="123" t="s">
        <v>29</v>
      </c>
      <c r="B36" s="94" t="s">
        <v>81</v>
      </c>
      <c r="C36" s="50">
        <f>SUM(C23:C35)</f>
        <v>44659.073999999993</v>
      </c>
      <c r="D36" s="56">
        <f t="shared" ref="D36:O36" si="2">SUM(D23:D35)</f>
        <v>877.07999999999993</v>
      </c>
      <c r="E36" s="57">
        <f t="shared" si="2"/>
        <v>327</v>
      </c>
      <c r="F36" s="67">
        <f t="shared" si="2"/>
        <v>0</v>
      </c>
      <c r="G36" s="58">
        <f t="shared" si="2"/>
        <v>0</v>
      </c>
      <c r="H36" s="57">
        <f t="shared" si="2"/>
        <v>0</v>
      </c>
      <c r="I36" s="60">
        <f t="shared" si="2"/>
        <v>0</v>
      </c>
      <c r="J36" s="58">
        <f t="shared" ref="J36" si="3">SUM(J33:J35)</f>
        <v>0</v>
      </c>
      <c r="K36" s="60">
        <f>SUM(K23:K35)</f>
        <v>43454.993999999992</v>
      </c>
      <c r="L36" s="58">
        <f t="shared" si="2"/>
        <v>0</v>
      </c>
      <c r="M36" s="59">
        <f t="shared" si="2"/>
        <v>0</v>
      </c>
      <c r="N36" s="58">
        <f t="shared" si="2"/>
        <v>0</v>
      </c>
      <c r="O36" s="59">
        <f t="shared" si="2"/>
        <v>0</v>
      </c>
      <c r="P36" s="78"/>
      <c r="Q36" s="78"/>
      <c r="S36" s="72"/>
    </row>
    <row r="37" spans="1:21" x14ac:dyDescent="0.2">
      <c r="A37" s="13"/>
      <c r="B37" s="14"/>
      <c r="C37" s="46"/>
      <c r="D37" s="47"/>
      <c r="E37" s="47"/>
      <c r="F37" s="47"/>
      <c r="G37" s="48"/>
      <c r="H37" s="47"/>
      <c r="I37" s="49"/>
      <c r="J37" s="48"/>
      <c r="K37" s="49"/>
      <c r="L37" s="48"/>
      <c r="M37" s="49"/>
      <c r="N37" s="48"/>
      <c r="O37" s="49"/>
      <c r="P37" s="78"/>
      <c r="Q37" s="78"/>
      <c r="S37" s="72"/>
    </row>
    <row r="38" spans="1:21" x14ac:dyDescent="0.2">
      <c r="A38" s="84" t="s">
        <v>64</v>
      </c>
      <c r="B38" s="99" t="s">
        <v>41</v>
      </c>
      <c r="C38" s="46">
        <f>SUM(D38:O38)</f>
        <v>4249.13</v>
      </c>
      <c r="D38" s="47">
        <v>180.99600000000001</v>
      </c>
      <c r="E38" s="47"/>
      <c r="F38" s="47"/>
      <c r="G38" s="48"/>
      <c r="H38" s="47"/>
      <c r="I38" s="49"/>
      <c r="J38" s="48"/>
      <c r="K38" s="49">
        <f>143.66+122+268.4+1183.4+2201.655+149.019</f>
        <v>4068.134</v>
      </c>
      <c r="L38" s="48"/>
      <c r="M38" s="49"/>
      <c r="N38" s="48"/>
      <c r="O38" s="49"/>
      <c r="P38" s="78"/>
      <c r="Q38" s="78"/>
      <c r="S38" s="72"/>
    </row>
    <row r="39" spans="1:21" x14ac:dyDescent="0.2">
      <c r="A39" s="84" t="s">
        <v>65</v>
      </c>
      <c r="B39" s="99" t="s">
        <v>42</v>
      </c>
      <c r="C39" s="46">
        <f>SUM(D39:O39)</f>
        <v>4614.45</v>
      </c>
      <c r="D39" s="47"/>
      <c r="E39" s="47"/>
      <c r="F39" s="47"/>
      <c r="G39" s="48"/>
      <c r="H39" s="47"/>
      <c r="I39" s="49"/>
      <c r="J39" s="48"/>
      <c r="K39" s="49">
        <f>387.882+233.26+244+341.6+3139.195+268.513</f>
        <v>4614.45</v>
      </c>
      <c r="L39" s="48"/>
      <c r="M39" s="49"/>
      <c r="N39" s="48"/>
      <c r="O39" s="49"/>
      <c r="P39" s="78"/>
      <c r="Q39" s="78"/>
      <c r="S39" s="72"/>
    </row>
    <row r="40" spans="1:21" x14ac:dyDescent="0.2">
      <c r="A40" s="84" t="s">
        <v>66</v>
      </c>
      <c r="B40" s="99" t="s">
        <v>43</v>
      </c>
      <c r="C40" s="46">
        <f>SUM(D40:O40)</f>
        <v>4829.84</v>
      </c>
      <c r="D40" s="47"/>
      <c r="E40" s="47"/>
      <c r="F40" s="47"/>
      <c r="G40" s="48"/>
      <c r="H40" s="47"/>
      <c r="I40" s="49"/>
      <c r="J40" s="48"/>
      <c r="K40" s="49">
        <f>402.248+363.066+488+341.6+3012.149+222.777</f>
        <v>4829.84</v>
      </c>
      <c r="L40" s="48"/>
      <c r="M40" s="49"/>
      <c r="N40" s="48"/>
      <c r="O40" s="49"/>
      <c r="P40" s="78"/>
      <c r="Q40" s="78"/>
      <c r="S40" s="72"/>
    </row>
    <row r="41" spans="1:21" x14ac:dyDescent="0.2">
      <c r="A41" s="84" t="s">
        <v>67</v>
      </c>
      <c r="B41" s="99" t="s">
        <v>44</v>
      </c>
      <c r="C41" s="46">
        <f>SUM(D41:O41)</f>
        <v>3458.7580000000003</v>
      </c>
      <c r="D41" s="47"/>
      <c r="E41" s="47"/>
      <c r="F41" s="47"/>
      <c r="G41" s="48"/>
      <c r="H41" s="47"/>
      <c r="I41" s="49"/>
      <c r="J41" s="48"/>
      <c r="K41" s="49">
        <f>215.49+366+317.2+2361.36+198.708</f>
        <v>3458.7580000000003</v>
      </c>
      <c r="L41" s="48"/>
      <c r="M41" s="49"/>
      <c r="N41" s="48"/>
      <c r="O41" s="49"/>
      <c r="P41" s="78"/>
      <c r="Q41" s="78"/>
      <c r="S41" s="72"/>
    </row>
    <row r="42" spans="1:21" x14ac:dyDescent="0.2">
      <c r="A42" s="84" t="s">
        <v>68</v>
      </c>
      <c r="B42" s="99" t="s">
        <v>91</v>
      </c>
      <c r="C42" s="46">
        <f>SUM(D42:O42)</f>
        <v>10679.100999999999</v>
      </c>
      <c r="D42" s="47"/>
      <c r="E42" s="47"/>
      <c r="F42" s="47"/>
      <c r="G42" s="48"/>
      <c r="H42" s="47"/>
      <c r="I42" s="49"/>
      <c r="J42" s="48"/>
      <c r="K42" s="49">
        <f>474.078+322.504+366+317.2+8275.74+923.579</f>
        <v>10679.100999999999</v>
      </c>
      <c r="L42" s="48"/>
      <c r="M42" s="49"/>
      <c r="N42" s="48"/>
      <c r="O42" s="49"/>
      <c r="P42" s="78"/>
      <c r="Q42" s="78"/>
      <c r="S42" s="72"/>
    </row>
    <row r="43" spans="1:21" x14ac:dyDescent="0.2">
      <c r="A43" s="84"/>
      <c r="B43" s="99"/>
      <c r="C43" s="46"/>
      <c r="D43" s="47"/>
      <c r="E43" s="47"/>
      <c r="F43" s="47"/>
      <c r="G43" s="48"/>
      <c r="H43" s="47"/>
      <c r="I43" s="49"/>
      <c r="J43" s="48"/>
      <c r="K43" s="49"/>
      <c r="L43" s="48"/>
      <c r="M43" s="49"/>
      <c r="N43" s="48"/>
      <c r="O43" s="49"/>
      <c r="P43" s="78"/>
      <c r="Q43" s="78"/>
      <c r="S43" s="72"/>
    </row>
    <row r="44" spans="1:21" x14ac:dyDescent="0.2">
      <c r="A44" s="123" t="s">
        <v>31</v>
      </c>
      <c r="B44" s="94" t="s">
        <v>83</v>
      </c>
      <c r="C44" s="50">
        <f>SUM(C38:C43)</f>
        <v>27831.278999999999</v>
      </c>
      <c r="D44" s="56">
        <f t="shared" ref="D44:O44" si="4">SUM(D38:D43)</f>
        <v>180.99600000000001</v>
      </c>
      <c r="E44" s="57">
        <f t="shared" si="4"/>
        <v>0</v>
      </c>
      <c r="F44" s="67">
        <f t="shared" si="4"/>
        <v>0</v>
      </c>
      <c r="G44" s="58">
        <f t="shared" si="4"/>
        <v>0</v>
      </c>
      <c r="H44" s="57">
        <f t="shared" si="4"/>
        <v>0</v>
      </c>
      <c r="I44" s="60">
        <f t="shared" si="4"/>
        <v>0</v>
      </c>
      <c r="J44" s="58">
        <f t="shared" ref="J44" si="5">SUM(J42:J43)</f>
        <v>0</v>
      </c>
      <c r="K44" s="60">
        <f t="shared" si="4"/>
        <v>27650.282999999999</v>
      </c>
      <c r="L44" s="58">
        <f t="shared" si="4"/>
        <v>0</v>
      </c>
      <c r="M44" s="59">
        <f t="shared" si="4"/>
        <v>0</v>
      </c>
      <c r="N44" s="58">
        <f t="shared" si="4"/>
        <v>0</v>
      </c>
      <c r="O44" s="59">
        <f t="shared" si="4"/>
        <v>0</v>
      </c>
      <c r="P44" s="78"/>
      <c r="Q44" s="78"/>
      <c r="R44" s="69"/>
      <c r="S44" s="72"/>
      <c r="U44" s="72"/>
    </row>
    <row r="45" spans="1:21" x14ac:dyDescent="0.2">
      <c r="A45" s="97"/>
      <c r="B45" s="95"/>
      <c r="C45" s="61"/>
      <c r="D45" s="62"/>
      <c r="E45" s="62"/>
      <c r="F45" s="62"/>
      <c r="G45" s="63"/>
      <c r="H45" s="62"/>
      <c r="I45" s="64"/>
      <c r="J45" s="63"/>
      <c r="K45" s="64"/>
      <c r="L45" s="63"/>
      <c r="M45" s="64"/>
      <c r="N45" s="63"/>
      <c r="O45" s="64"/>
      <c r="P45" s="78"/>
      <c r="Q45" s="78"/>
      <c r="R45" s="69"/>
      <c r="S45" s="72"/>
      <c r="U45" s="72"/>
    </row>
    <row r="46" spans="1:21" x14ac:dyDescent="0.2">
      <c r="A46" s="42" t="s">
        <v>33</v>
      </c>
      <c r="B46" s="102" t="s">
        <v>45</v>
      </c>
      <c r="C46" s="142">
        <f>SUM(D46:M46)</f>
        <v>10912.200999999999</v>
      </c>
      <c r="D46" s="143"/>
      <c r="E46" s="187">
        <f>283.57-0.25</f>
        <v>283.32</v>
      </c>
      <c r="F46" s="143"/>
      <c r="G46" s="58"/>
      <c r="H46" s="144"/>
      <c r="I46" s="173"/>
      <c r="J46" s="58"/>
      <c r="K46" s="145">
        <f>743.3+427+236.445+3722.136</f>
        <v>5128.8809999999994</v>
      </c>
      <c r="L46" s="58"/>
      <c r="M46" s="171">
        <v>5500</v>
      </c>
      <c r="N46" s="58"/>
      <c r="O46" s="59"/>
      <c r="P46" s="78"/>
      <c r="Q46" s="78"/>
      <c r="R46" s="69"/>
      <c r="S46" s="72"/>
      <c r="U46" s="72"/>
    </row>
    <row r="47" spans="1:21" ht="13.5" thickBot="1" x14ac:dyDescent="0.25">
      <c r="A47" s="13"/>
      <c r="B47" s="103"/>
      <c r="C47" s="46"/>
      <c r="D47" s="19"/>
      <c r="E47" s="19"/>
      <c r="F47" s="19"/>
      <c r="G47" s="13"/>
      <c r="H47" s="19"/>
      <c r="I47" s="45"/>
      <c r="J47" s="13"/>
      <c r="K47" s="45"/>
      <c r="L47" s="13"/>
      <c r="M47" s="45"/>
      <c r="N47" s="13"/>
      <c r="O47" s="45"/>
      <c r="P47" s="78"/>
      <c r="Q47" s="78"/>
      <c r="R47" s="69"/>
    </row>
    <row r="48" spans="1:21" ht="22.5" thickBot="1" x14ac:dyDescent="0.25">
      <c r="A48" s="137" t="s">
        <v>75</v>
      </c>
      <c r="B48" s="128" t="s">
        <v>79</v>
      </c>
      <c r="C48" s="79">
        <f t="shared" ref="C48:M48" si="6">C21+C36+C44+C46</f>
        <v>99714.191999999995</v>
      </c>
      <c r="D48" s="183">
        <f>D21+D36+D44+D46</f>
        <v>1058.076</v>
      </c>
      <c r="E48" s="146">
        <f t="shared" si="6"/>
        <v>610.31999999999994</v>
      </c>
      <c r="F48" s="136">
        <f t="shared" si="6"/>
        <v>0</v>
      </c>
      <c r="G48" s="135">
        <f t="shared" si="6"/>
        <v>0</v>
      </c>
      <c r="H48" s="146">
        <f t="shared" si="6"/>
        <v>0</v>
      </c>
      <c r="I48" s="136">
        <f t="shared" si="6"/>
        <v>0</v>
      </c>
      <c r="J48" s="135">
        <f t="shared" si="6"/>
        <v>0</v>
      </c>
      <c r="K48" s="159">
        <f>K21+K36+K44+K46</f>
        <v>92545.795999999988</v>
      </c>
      <c r="L48" s="135">
        <f t="shared" si="6"/>
        <v>0</v>
      </c>
      <c r="M48" s="159">
        <f t="shared" si="6"/>
        <v>5500</v>
      </c>
      <c r="N48" s="147"/>
      <c r="O48" s="148"/>
      <c r="P48" s="78"/>
      <c r="Q48" s="78"/>
    </row>
    <row r="49" spans="1:17" x14ac:dyDescent="0.2">
      <c r="A49" s="33"/>
      <c r="B49" s="112"/>
      <c r="C49" s="132"/>
      <c r="D49" s="149"/>
      <c r="E49" s="150"/>
      <c r="F49" s="47"/>
      <c r="G49" s="13"/>
      <c r="H49" s="19"/>
      <c r="I49" s="45"/>
      <c r="J49" s="13"/>
      <c r="K49" s="45"/>
      <c r="L49" s="13"/>
      <c r="M49" s="45"/>
      <c r="N49" s="13"/>
      <c r="O49" s="45"/>
      <c r="P49" s="78"/>
      <c r="Q49" s="78"/>
    </row>
    <row r="50" spans="1:17" x14ac:dyDescent="0.2">
      <c r="A50" s="124" t="s">
        <v>76</v>
      </c>
      <c r="B50" s="129" t="s">
        <v>77</v>
      </c>
      <c r="C50" s="142">
        <f>SUM(D50:M50)</f>
        <v>63605.587</v>
      </c>
      <c r="D50" s="47">
        <v>4128</v>
      </c>
      <c r="E50" s="134">
        <v>10474</v>
      </c>
      <c r="F50" s="133"/>
      <c r="G50" s="114"/>
      <c r="H50" s="151"/>
      <c r="I50" s="133"/>
      <c r="J50" s="114"/>
      <c r="K50" s="152">
        <f>878.4+10000+3270.055+3308.132</f>
        <v>17456.587</v>
      </c>
      <c r="L50" s="153"/>
      <c r="M50" s="152">
        <f>13+31534</f>
        <v>31547</v>
      </c>
      <c r="N50" s="114"/>
      <c r="O50" s="133"/>
      <c r="P50" s="78"/>
      <c r="Q50" s="78"/>
    </row>
    <row r="51" spans="1:17" ht="13.5" thickBot="1" x14ac:dyDescent="0.25">
      <c r="A51" s="30"/>
      <c r="B51" s="130"/>
      <c r="C51" s="46"/>
      <c r="D51" s="154"/>
      <c r="E51" s="155"/>
      <c r="F51" s="19"/>
      <c r="G51" s="48"/>
      <c r="H51" s="19"/>
      <c r="I51" s="45"/>
      <c r="J51" s="13"/>
      <c r="K51" s="49"/>
      <c r="L51" s="48"/>
      <c r="M51" s="49"/>
      <c r="N51" s="13"/>
      <c r="O51" s="45"/>
      <c r="P51" s="78"/>
      <c r="Q51" s="78"/>
    </row>
    <row r="52" spans="1:17" ht="13.5" thickBot="1" x14ac:dyDescent="0.25">
      <c r="A52" s="109" t="s">
        <v>78</v>
      </c>
      <c r="B52" s="131" t="s">
        <v>84</v>
      </c>
      <c r="C52" s="156">
        <f t="shared" ref="C52:O52" si="7">C48+C50</f>
        <v>163319.77899999998</v>
      </c>
      <c r="D52" s="160">
        <f>D48+D50</f>
        <v>5186.076</v>
      </c>
      <c r="E52" s="161">
        <f t="shared" si="7"/>
        <v>11084.32</v>
      </c>
      <c r="F52" s="162">
        <f t="shared" si="7"/>
        <v>0</v>
      </c>
      <c r="G52" s="160">
        <f t="shared" si="7"/>
        <v>0</v>
      </c>
      <c r="H52" s="161">
        <f t="shared" si="7"/>
        <v>0</v>
      </c>
      <c r="I52" s="162">
        <f t="shared" si="7"/>
        <v>0</v>
      </c>
      <c r="J52" s="160">
        <f t="shared" si="7"/>
        <v>0</v>
      </c>
      <c r="K52" s="162">
        <f t="shared" si="7"/>
        <v>110002.38299999999</v>
      </c>
      <c r="L52" s="160">
        <f t="shared" si="7"/>
        <v>0</v>
      </c>
      <c r="M52" s="162">
        <f>M48+M50</f>
        <v>37047</v>
      </c>
      <c r="N52" s="160">
        <f t="shared" si="7"/>
        <v>0</v>
      </c>
      <c r="O52" s="162">
        <f t="shared" si="7"/>
        <v>0</v>
      </c>
      <c r="P52" s="78"/>
      <c r="Q52" s="78"/>
    </row>
    <row r="53" spans="1:17" x14ac:dyDescent="0.2">
      <c r="C53" s="83"/>
      <c r="P53" s="78"/>
      <c r="Q53" s="78"/>
    </row>
    <row r="54" spans="1:17" hidden="1" x14ac:dyDescent="0.2">
      <c r="C54" s="2"/>
      <c r="P54" s="78"/>
      <c r="Q54" s="78"/>
    </row>
    <row r="55" spans="1:17" hidden="1" x14ac:dyDescent="0.2">
      <c r="B55" s="72"/>
      <c r="C55" s="2" t="s">
        <v>92</v>
      </c>
      <c r="H55" s="72"/>
      <c r="P55" s="78"/>
      <c r="Q55" s="78"/>
    </row>
    <row r="56" spans="1:17" hidden="1" x14ac:dyDescent="0.2">
      <c r="B56" s="72">
        <v>2400000</v>
      </c>
      <c r="C56" s="2"/>
      <c r="P56" s="78"/>
      <c r="Q56" s="78"/>
    </row>
    <row r="57" spans="1:17" hidden="1" x14ac:dyDescent="0.2">
      <c r="B57" s="72">
        <v>378900</v>
      </c>
      <c r="C57" s="2"/>
      <c r="D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78"/>
      <c r="Q57" s="78"/>
    </row>
    <row r="58" spans="1:17" hidden="1" x14ac:dyDescent="0.2">
      <c r="B58" s="72">
        <v>2500000</v>
      </c>
      <c r="C58" s="2"/>
      <c r="D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78"/>
      <c r="Q58" s="78"/>
    </row>
    <row r="59" spans="1:17" hidden="1" x14ac:dyDescent="0.2">
      <c r="B59" s="72"/>
      <c r="C59" s="72">
        <v>702648</v>
      </c>
      <c r="D59" s="72"/>
      <c r="F59" s="2"/>
      <c r="G59" s="2"/>
      <c r="H59" s="2"/>
      <c r="I59" s="2"/>
      <c r="J59" s="72"/>
      <c r="K59" s="72"/>
      <c r="L59" s="72"/>
      <c r="M59" s="2"/>
      <c r="N59" s="2"/>
      <c r="O59" s="2"/>
      <c r="P59" s="78"/>
      <c r="Q59" s="78"/>
    </row>
    <row r="60" spans="1:17" hidden="1" x14ac:dyDescent="0.2">
      <c r="B60" s="72">
        <v>1600000</v>
      </c>
      <c r="C60" s="2"/>
      <c r="D60" s="72"/>
      <c r="F60" s="175"/>
      <c r="G60" s="2"/>
      <c r="H60" s="175"/>
      <c r="I60" s="2"/>
      <c r="J60" s="72"/>
      <c r="K60" s="72"/>
      <c r="L60" s="72"/>
      <c r="M60" s="2"/>
      <c r="N60" s="2"/>
      <c r="O60" s="2"/>
      <c r="P60" s="78"/>
      <c r="Q60" s="78"/>
    </row>
    <row r="61" spans="1:17" hidden="1" x14ac:dyDescent="0.2">
      <c r="B61" s="72"/>
      <c r="C61" s="72">
        <v>1288000</v>
      </c>
      <c r="D61" s="72"/>
      <c r="F61" s="175"/>
      <c r="G61" s="2"/>
      <c r="H61" s="175"/>
      <c r="I61" s="2"/>
      <c r="J61" s="72"/>
      <c r="K61" s="72"/>
      <c r="L61" s="72"/>
      <c r="M61" s="2"/>
      <c r="N61" s="2"/>
      <c r="O61" s="2"/>
      <c r="P61" s="78"/>
      <c r="Q61" s="78"/>
    </row>
    <row r="62" spans="1:17" hidden="1" x14ac:dyDescent="0.2">
      <c r="B62" s="72">
        <v>1166000</v>
      </c>
      <c r="C62" s="2"/>
      <c r="D62" s="72"/>
      <c r="F62" s="175"/>
      <c r="G62" s="2"/>
      <c r="H62" s="175"/>
      <c r="I62" s="2"/>
      <c r="J62" s="72"/>
      <c r="K62" s="72"/>
      <c r="L62" s="72"/>
      <c r="M62" s="2"/>
      <c r="N62" s="2"/>
      <c r="O62" s="2"/>
      <c r="P62" s="78"/>
      <c r="Q62" s="78"/>
    </row>
    <row r="63" spans="1:17" hidden="1" x14ac:dyDescent="0.2">
      <c r="B63" s="72">
        <v>4816560</v>
      </c>
      <c r="C63" s="2"/>
      <c r="D63" s="72"/>
      <c r="F63" s="175"/>
      <c r="G63" s="2"/>
      <c r="H63" s="175"/>
      <c r="I63" s="2"/>
      <c r="J63" s="72"/>
      <c r="K63" s="72"/>
      <c r="L63" s="72"/>
      <c r="M63" s="2"/>
      <c r="N63" s="2"/>
      <c r="O63" s="2"/>
      <c r="P63" s="78"/>
      <c r="Q63" s="78"/>
    </row>
    <row r="64" spans="1:17" hidden="1" x14ac:dyDescent="0.2">
      <c r="B64" s="72"/>
      <c r="C64" s="72">
        <v>4976624</v>
      </c>
      <c r="D64" s="72"/>
      <c r="F64" s="175"/>
      <c r="G64" s="172"/>
      <c r="H64" s="175"/>
      <c r="I64" s="172"/>
      <c r="J64" s="72"/>
      <c r="K64" s="72"/>
      <c r="L64" s="72"/>
      <c r="M64" s="172"/>
      <c r="N64" s="172"/>
      <c r="O64" s="172"/>
      <c r="P64" s="78"/>
      <c r="Q64" s="78"/>
    </row>
    <row r="65" spans="2:17" hidden="1" x14ac:dyDescent="0.2">
      <c r="B65" s="72">
        <v>23507261</v>
      </c>
      <c r="C65" s="172"/>
      <c r="D65" s="72"/>
      <c r="F65" s="172"/>
      <c r="G65" s="172"/>
      <c r="H65" s="172"/>
      <c r="I65" s="172"/>
      <c r="J65" s="72"/>
      <c r="K65" s="72"/>
      <c r="L65" s="72"/>
      <c r="M65" s="172"/>
      <c r="N65" s="172"/>
      <c r="O65" s="175"/>
      <c r="P65" s="78"/>
      <c r="Q65" s="78"/>
    </row>
    <row r="66" spans="2:17" hidden="1" x14ac:dyDescent="0.2">
      <c r="B66" s="72">
        <v>7290774</v>
      </c>
      <c r="C66" s="172"/>
      <c r="D66" s="83"/>
      <c r="F66" s="175"/>
      <c r="G66" s="175"/>
      <c r="H66" s="175"/>
      <c r="I66" s="172"/>
      <c r="J66" s="72"/>
      <c r="K66" s="72"/>
      <c r="L66" s="72"/>
      <c r="M66" s="172"/>
      <c r="N66" s="172"/>
      <c r="O66" s="172"/>
      <c r="P66" s="78"/>
      <c r="Q66" s="78"/>
    </row>
    <row r="67" spans="2:17" hidden="1" x14ac:dyDescent="0.2">
      <c r="B67" s="72">
        <v>1570000</v>
      </c>
      <c r="C67" s="172"/>
      <c r="D67" s="83"/>
      <c r="F67" s="172"/>
      <c r="G67" s="172"/>
      <c r="H67" s="172"/>
      <c r="I67" s="172"/>
      <c r="J67" s="72"/>
      <c r="K67" s="72"/>
      <c r="L67" s="72"/>
      <c r="M67" s="172"/>
      <c r="N67" s="172"/>
      <c r="O67" s="172"/>
      <c r="P67" s="78"/>
      <c r="Q67" s="78"/>
    </row>
    <row r="68" spans="2:17" hidden="1" x14ac:dyDescent="0.2">
      <c r="B68" s="72">
        <v>10550000</v>
      </c>
      <c r="C68" s="172"/>
      <c r="D68" s="172"/>
      <c r="F68" s="172"/>
      <c r="G68" s="172"/>
      <c r="H68" s="172"/>
      <c r="I68" s="172"/>
      <c r="J68" s="72"/>
      <c r="K68" s="72"/>
      <c r="L68" s="72"/>
      <c r="M68" s="172"/>
      <c r="N68" s="172"/>
      <c r="O68" s="172"/>
      <c r="P68" s="78"/>
      <c r="Q68" s="78"/>
    </row>
    <row r="69" spans="2:17" hidden="1" x14ac:dyDescent="0.2">
      <c r="B69" s="72">
        <v>6600000</v>
      </c>
      <c r="C69" s="2"/>
      <c r="D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78"/>
      <c r="Q69" s="78"/>
    </row>
    <row r="70" spans="2:17" hidden="1" x14ac:dyDescent="0.2">
      <c r="B70" s="72">
        <v>4392000</v>
      </c>
      <c r="C70" s="2"/>
      <c r="D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78"/>
      <c r="Q70" s="78"/>
    </row>
    <row r="71" spans="2:17" hidden="1" x14ac:dyDescent="0.2">
      <c r="B71" s="72">
        <v>4514000</v>
      </c>
      <c r="C71" s="2"/>
      <c r="D71" s="83"/>
      <c r="F71" s="2"/>
      <c r="G71" s="2"/>
      <c r="H71" s="2"/>
      <c r="I71" s="2"/>
      <c r="J71" s="2"/>
      <c r="K71" s="2"/>
      <c r="L71" s="2"/>
      <c r="M71" s="2"/>
      <c r="N71" s="2"/>
      <c r="O71" s="2"/>
      <c r="P71" s="78"/>
      <c r="Q71" s="78"/>
    </row>
    <row r="72" spans="2:17" hidden="1" x14ac:dyDescent="0.2">
      <c r="B72" s="72"/>
      <c r="C72" s="2">
        <v>244000</v>
      </c>
      <c r="D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78"/>
    </row>
    <row r="73" spans="2:17" hidden="1" x14ac:dyDescent="0.2">
      <c r="B73" s="72">
        <v>1464000</v>
      </c>
      <c r="C73" s="2"/>
      <c r="D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78"/>
    </row>
    <row r="74" spans="2:17" hidden="1" x14ac:dyDescent="0.2">
      <c r="B74" s="72"/>
      <c r="C74" s="72">
        <v>10000000</v>
      </c>
      <c r="D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78"/>
    </row>
    <row r="75" spans="2:17" hidden="1" x14ac:dyDescent="0.2">
      <c r="B75" s="72">
        <v>2658136</v>
      </c>
      <c r="C75" s="72"/>
      <c r="D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78"/>
    </row>
    <row r="76" spans="2:17" hidden="1" x14ac:dyDescent="0.2">
      <c r="B76" s="72">
        <v>1291000</v>
      </c>
      <c r="C76" s="72"/>
      <c r="D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78"/>
    </row>
    <row r="77" spans="2:17" hidden="1" x14ac:dyDescent="0.2">
      <c r="B77" s="72">
        <v>10595000</v>
      </c>
      <c r="C77" s="72"/>
      <c r="D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78"/>
    </row>
    <row r="78" spans="2:17" hidden="1" x14ac:dyDescent="0.2">
      <c r="B78" s="72">
        <f>219676+180996</f>
        <v>400672</v>
      </c>
      <c r="C78" s="2"/>
      <c r="D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78"/>
    </row>
    <row r="79" spans="2:17" hidden="1" x14ac:dyDescent="0.2">
      <c r="C79" s="174">
        <v>3285142</v>
      </c>
      <c r="D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78"/>
    </row>
    <row r="80" spans="2:17" hidden="1" x14ac:dyDescent="0.2">
      <c r="B80" s="72">
        <v>1695750</v>
      </c>
      <c r="C80" s="7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78"/>
    </row>
    <row r="81" spans="2:17" hidden="1" x14ac:dyDescent="0.2">
      <c r="B81" s="72">
        <v>3522994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78"/>
    </row>
    <row r="82" spans="2:17" hidden="1" x14ac:dyDescent="0.2">
      <c r="B82" s="72">
        <v>2968000</v>
      </c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78"/>
    </row>
    <row r="83" spans="2:17" hidden="1" x14ac:dyDescent="0.2">
      <c r="B83" s="72">
        <v>2228000</v>
      </c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78"/>
    </row>
    <row r="84" spans="2:17" hidden="1" x14ac:dyDescent="0.2">
      <c r="B84" s="72">
        <v>3182000</v>
      </c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78"/>
    </row>
    <row r="85" spans="2:17" hidden="1" x14ac:dyDescent="0.2">
      <c r="B85" s="72">
        <v>3405000</v>
      </c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78"/>
    </row>
    <row r="86" spans="2:17" hidden="1" x14ac:dyDescent="0.2">
      <c r="B86" s="72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78"/>
    </row>
    <row r="87" spans="2:17" hidden="1" x14ac:dyDescent="0.2">
      <c r="B87" s="72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78"/>
    </row>
    <row r="88" spans="2:17" hidden="1" x14ac:dyDescent="0.2">
      <c r="B88" s="72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78"/>
    </row>
    <row r="89" spans="2:17" hidden="1" x14ac:dyDescent="0.2">
      <c r="B89" s="72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78"/>
    </row>
    <row r="90" spans="2:17" hidden="1" x14ac:dyDescent="0.2">
      <c r="B90" s="72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78"/>
    </row>
    <row r="91" spans="2:17" hidden="1" x14ac:dyDescent="0.2">
      <c r="B91" s="7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78"/>
    </row>
    <row r="92" spans="2:17" x14ac:dyDescent="0.2">
      <c r="B92" s="72"/>
      <c r="C92" s="7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78"/>
    </row>
    <row r="93" spans="2:17" x14ac:dyDescent="0.2">
      <c r="B93" s="72"/>
      <c r="C93" s="7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78"/>
    </row>
    <row r="94" spans="2:17" x14ac:dyDescent="0.2">
      <c r="B94" s="72"/>
      <c r="C94" s="7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78"/>
    </row>
    <row r="95" spans="2:17" x14ac:dyDescent="0.2">
      <c r="B95" s="72"/>
      <c r="C95" s="7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78"/>
    </row>
    <row r="96" spans="2:17" x14ac:dyDescent="0.2">
      <c r="B96" s="72"/>
      <c r="C96" s="7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78"/>
    </row>
    <row r="97" spans="2:17" x14ac:dyDescent="0.2">
      <c r="B97" s="72"/>
      <c r="C97" s="7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78"/>
    </row>
    <row r="98" spans="2:17" x14ac:dyDescent="0.2">
      <c r="B98" s="72"/>
      <c r="C98" s="7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78"/>
    </row>
    <row r="99" spans="2:17" x14ac:dyDescent="0.2">
      <c r="B99" s="72"/>
      <c r="C99" s="7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78"/>
    </row>
    <row r="100" spans="2:17" x14ac:dyDescent="0.2">
      <c r="B100" s="72"/>
      <c r="C100" s="7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78"/>
    </row>
    <row r="101" spans="2:17" x14ac:dyDescent="0.2">
      <c r="B101" s="72"/>
      <c r="C101" s="7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78"/>
    </row>
    <row r="102" spans="2:17" x14ac:dyDescent="0.2">
      <c r="B102" s="72"/>
      <c r="C102" s="7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78"/>
    </row>
    <row r="103" spans="2:17" x14ac:dyDescent="0.2">
      <c r="B103" s="72"/>
      <c r="C103" s="7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78"/>
    </row>
    <row r="104" spans="2:17" x14ac:dyDescent="0.2">
      <c r="B104" s="185"/>
      <c r="C104" s="7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2:17" x14ac:dyDescent="0.2">
      <c r="B105" s="185"/>
      <c r="C105" s="72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</row>
    <row r="106" spans="2:17" x14ac:dyDescent="0.2">
      <c r="B106" s="185"/>
      <c r="C106" s="72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</row>
    <row r="107" spans="2:17" x14ac:dyDescent="0.2">
      <c r="B107" s="72"/>
      <c r="C107" s="7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2:17" x14ac:dyDescent="0.2">
      <c r="B108" s="72"/>
      <c r="C108" s="7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2:17" x14ac:dyDescent="0.2">
      <c r="B109" s="72"/>
      <c r="C109" s="7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2:17" x14ac:dyDescent="0.2">
      <c r="B110" s="72"/>
      <c r="C110" s="7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2:17" x14ac:dyDescent="0.2">
      <c r="B111" s="72"/>
      <c r="C111" s="7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2:17" x14ac:dyDescent="0.2">
      <c r="B112" s="72"/>
      <c r="C112" s="7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2:17" x14ac:dyDescent="0.2">
      <c r="B113" s="72"/>
      <c r="C113" s="7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2:17" x14ac:dyDescent="0.2">
      <c r="B114" s="72"/>
      <c r="C114" s="7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2:17" x14ac:dyDescent="0.2">
      <c r="B115" s="72"/>
      <c r="C115" s="7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2:17" x14ac:dyDescent="0.2">
      <c r="B116" s="72"/>
      <c r="C116" s="7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2:17" x14ac:dyDescent="0.2">
      <c r="B117" s="72"/>
      <c r="C117" s="7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2:17" x14ac:dyDescent="0.2">
      <c r="B118" s="72"/>
      <c r="C118" s="7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2:17" x14ac:dyDescent="0.2">
      <c r="B119" s="72"/>
      <c r="C119" s="7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2:17" x14ac:dyDescent="0.2">
      <c r="B120" s="72"/>
      <c r="C120" s="7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2:17" x14ac:dyDescent="0.2">
      <c r="B121" s="72"/>
      <c r="C121" s="7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2:17" x14ac:dyDescent="0.2">
      <c r="B122" s="72"/>
      <c r="C122" s="7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2:17" x14ac:dyDescent="0.2">
      <c r="B123" s="72"/>
      <c r="C123" s="7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2:17" x14ac:dyDescent="0.2">
      <c r="B124" s="72"/>
      <c r="C124" s="7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2:17" x14ac:dyDescent="0.2">
      <c r="B125" s="72"/>
      <c r="C125" s="7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2:17" x14ac:dyDescent="0.2">
      <c r="B126" s="72"/>
      <c r="C126" s="7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2:17" x14ac:dyDescent="0.2">
      <c r="B127" s="72"/>
      <c r="C127" s="7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2:17" x14ac:dyDescent="0.2">
      <c r="B128" s="72"/>
      <c r="C128" s="7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2: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2:17" x14ac:dyDescent="0.2">
      <c r="B130" s="7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2: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2: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</sheetData>
  <mergeCells count="7">
    <mergeCell ref="N1:O1"/>
    <mergeCell ref="D9:M9"/>
    <mergeCell ref="N9:O9"/>
    <mergeCell ref="D10:I10"/>
    <mergeCell ref="J10:M10"/>
    <mergeCell ref="A4:O4"/>
    <mergeCell ref="B6:N6"/>
  </mergeCells>
  <phoneticPr fontId="19" type="noConversion"/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tabSelected="1" zoomScale="110" zoomScaleNormal="110" workbookViewId="0">
      <pane xSplit="3" ySplit="17" topLeftCell="D39" activePane="bottomRight" state="frozen"/>
      <selection activeCell="M1" sqref="M1:M65536"/>
      <selection pane="topRight" activeCell="M1" sqref="M1:M65536"/>
      <selection pane="bottomLeft" activeCell="M1" sqref="M1:M65536"/>
      <selection pane="bottomRight" activeCell="D47" sqref="D47"/>
    </sheetView>
  </sheetViews>
  <sheetFormatPr defaultRowHeight="12.75" x14ac:dyDescent="0.2"/>
  <cols>
    <col min="1" max="1" width="3.85546875" style="1" customWidth="1"/>
    <col min="2" max="2" width="30.7109375" style="1" customWidth="1"/>
    <col min="3" max="13" width="10.7109375" style="1" customWidth="1"/>
    <col min="14" max="14" width="8.7109375" style="1" customWidth="1"/>
    <col min="15" max="16" width="7.7109375" style="1" customWidth="1"/>
    <col min="17" max="16384" width="9.140625" style="1"/>
  </cols>
  <sheetData>
    <row r="1" spans="1:15" x14ac:dyDescent="0.2">
      <c r="L1" s="188" t="s">
        <v>93</v>
      </c>
      <c r="M1" s="188"/>
    </row>
    <row r="2" spans="1:15" x14ac:dyDescent="0.2">
      <c r="M2" s="2"/>
    </row>
    <row r="3" spans="1:15" x14ac:dyDescent="0.2">
      <c r="M3" s="2"/>
    </row>
    <row r="4" spans="1:15" x14ac:dyDescent="0.2">
      <c r="A4" s="196" t="s">
        <v>86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</row>
    <row r="5" spans="1:15" hidden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1:15" x14ac:dyDescent="0.2">
      <c r="A6" s="196" t="s">
        <v>95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5"/>
      <c r="O6" s="6"/>
    </row>
    <row r="7" spans="1:15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7"/>
      <c r="N7" s="5"/>
      <c r="O7" s="6"/>
    </row>
    <row r="8" spans="1:15" ht="13.5" thickBot="1" x14ac:dyDescent="0.25">
      <c r="A8" s="4"/>
      <c r="B8" s="5"/>
      <c r="C8" s="5"/>
      <c r="D8" s="5"/>
      <c r="E8" s="108"/>
      <c r="F8" s="5"/>
      <c r="G8" s="5"/>
      <c r="H8" s="5"/>
      <c r="I8" s="5"/>
      <c r="J8" s="5"/>
      <c r="K8" s="5"/>
      <c r="L8" s="5"/>
      <c r="M8" s="8" t="s">
        <v>0</v>
      </c>
      <c r="N8" s="5"/>
      <c r="O8" s="6"/>
    </row>
    <row r="9" spans="1:15" ht="13.5" thickBot="1" x14ac:dyDescent="0.25">
      <c r="A9" s="9"/>
      <c r="B9" s="10"/>
      <c r="C9" s="10"/>
      <c r="D9" s="190" t="s">
        <v>1</v>
      </c>
      <c r="E9" s="190"/>
      <c r="F9" s="190"/>
      <c r="G9" s="190"/>
      <c r="H9" s="190"/>
      <c r="I9" s="190"/>
      <c r="J9" s="190"/>
      <c r="K9" s="192"/>
      <c r="L9" s="11" t="s">
        <v>2</v>
      </c>
      <c r="M9" s="12"/>
    </row>
    <row r="10" spans="1:15" ht="13.5" thickBot="1" x14ac:dyDescent="0.25">
      <c r="A10" s="13"/>
      <c r="B10" s="14"/>
      <c r="C10" s="14"/>
      <c r="D10" s="197" t="s">
        <v>62</v>
      </c>
      <c r="E10" s="197"/>
      <c r="F10" s="197"/>
      <c r="G10" s="197"/>
      <c r="H10" s="197"/>
      <c r="I10" s="198" t="s">
        <v>63</v>
      </c>
      <c r="J10" s="197"/>
      <c r="K10" s="199"/>
      <c r="L10" s="15"/>
      <c r="M10" s="16"/>
    </row>
    <row r="11" spans="1:15" ht="12.75" customHeight="1" x14ac:dyDescent="0.2">
      <c r="A11" s="121"/>
      <c r="B11" s="29"/>
      <c r="C11" s="18" t="s">
        <v>3</v>
      </c>
      <c r="D11" s="19"/>
      <c r="E11" s="20" t="s">
        <v>4</v>
      </c>
      <c r="F11" s="20"/>
      <c r="G11" s="21"/>
      <c r="H11" s="21"/>
      <c r="I11" s="9"/>
      <c r="J11" s="116"/>
      <c r="K11" s="117"/>
      <c r="L11" s="23"/>
      <c r="M11" s="24"/>
    </row>
    <row r="12" spans="1:15" x14ac:dyDescent="0.2">
      <c r="A12" s="121"/>
      <c r="B12" s="18" t="s">
        <v>60</v>
      </c>
      <c r="C12" s="18" t="s">
        <v>5</v>
      </c>
      <c r="D12" s="25" t="s">
        <v>6</v>
      </c>
      <c r="E12" s="20" t="s">
        <v>7</v>
      </c>
      <c r="F12" s="20" t="s">
        <v>8</v>
      </c>
      <c r="G12" s="21" t="s">
        <v>9</v>
      </c>
      <c r="H12" s="21" t="s">
        <v>47</v>
      </c>
      <c r="I12" s="23" t="s">
        <v>11</v>
      </c>
      <c r="J12" s="26" t="s">
        <v>12</v>
      </c>
      <c r="K12" s="118" t="s">
        <v>47</v>
      </c>
      <c r="L12" s="23" t="s">
        <v>10</v>
      </c>
      <c r="M12" s="24" t="s">
        <v>13</v>
      </c>
    </row>
    <row r="13" spans="1:15" x14ac:dyDescent="0.2">
      <c r="A13" s="27"/>
      <c r="B13" s="18" t="s">
        <v>20</v>
      </c>
      <c r="C13" s="18" t="s">
        <v>14</v>
      </c>
      <c r="D13" s="25" t="s">
        <v>15</v>
      </c>
      <c r="E13" s="20" t="s">
        <v>53</v>
      </c>
      <c r="F13" s="20" t="s">
        <v>5</v>
      </c>
      <c r="G13" s="21" t="s">
        <v>16</v>
      </c>
      <c r="H13" s="21" t="s">
        <v>51</v>
      </c>
      <c r="I13" s="23"/>
      <c r="J13" s="26"/>
      <c r="K13" s="118" t="s">
        <v>18</v>
      </c>
      <c r="L13" s="23" t="s">
        <v>17</v>
      </c>
      <c r="M13" s="24" t="s">
        <v>17</v>
      </c>
    </row>
    <row r="14" spans="1:15" x14ac:dyDescent="0.2">
      <c r="A14" s="28" t="s">
        <v>19</v>
      </c>
      <c r="B14" s="18"/>
      <c r="C14" s="29"/>
      <c r="D14" s="19"/>
      <c r="E14" s="26" t="s">
        <v>21</v>
      </c>
      <c r="F14" s="20"/>
      <c r="G14" s="21" t="s">
        <v>22</v>
      </c>
      <c r="H14" s="21" t="s">
        <v>17</v>
      </c>
      <c r="I14" s="13"/>
      <c r="J14" s="22"/>
      <c r="K14" s="118" t="s">
        <v>17</v>
      </c>
      <c r="L14" s="23"/>
      <c r="M14" s="24"/>
    </row>
    <row r="15" spans="1:15" x14ac:dyDescent="0.2">
      <c r="A15" s="122"/>
      <c r="B15" s="18"/>
      <c r="C15" s="29"/>
      <c r="D15" s="19"/>
      <c r="E15" s="26" t="s">
        <v>24</v>
      </c>
      <c r="F15" s="20"/>
      <c r="G15" s="21"/>
      <c r="H15" s="21" t="s">
        <v>5</v>
      </c>
      <c r="I15" s="30"/>
      <c r="J15" s="31"/>
      <c r="K15" s="118" t="s">
        <v>5</v>
      </c>
      <c r="L15" s="23"/>
      <c r="M15" s="24"/>
    </row>
    <row r="16" spans="1:15" x14ac:dyDescent="0.2">
      <c r="A16" s="27"/>
      <c r="B16" s="98"/>
      <c r="C16" s="32"/>
      <c r="D16" s="19"/>
      <c r="E16" s="26" t="s">
        <v>25</v>
      </c>
      <c r="F16" s="20"/>
      <c r="G16" s="19"/>
      <c r="H16" s="113"/>
      <c r="I16" s="33"/>
      <c r="J16" s="34"/>
      <c r="K16" s="85"/>
      <c r="L16" s="13"/>
      <c r="M16" s="35"/>
    </row>
    <row r="17" spans="1:20" x14ac:dyDescent="0.2">
      <c r="A17" s="42">
        <v>1</v>
      </c>
      <c r="B17" s="37">
        <v>2</v>
      </c>
      <c r="C17" s="37">
        <v>3</v>
      </c>
      <c r="D17" s="38">
        <v>4</v>
      </c>
      <c r="E17" s="39">
        <v>5</v>
      </c>
      <c r="F17" s="39">
        <v>6</v>
      </c>
      <c r="G17" s="39">
        <v>7</v>
      </c>
      <c r="H17" s="40">
        <v>8</v>
      </c>
      <c r="I17" s="36">
        <v>9</v>
      </c>
      <c r="J17" s="41">
        <v>10</v>
      </c>
      <c r="K17" s="77">
        <v>11</v>
      </c>
      <c r="L17" s="42">
        <v>12</v>
      </c>
      <c r="M17" s="43">
        <v>13</v>
      </c>
    </row>
    <row r="18" spans="1:20" x14ac:dyDescent="0.2">
      <c r="A18" s="84"/>
      <c r="B18" s="18"/>
      <c r="C18" s="163"/>
      <c r="D18" s="47"/>
      <c r="E18" s="47"/>
      <c r="F18" s="47"/>
      <c r="G18" s="47"/>
      <c r="H18" s="47"/>
      <c r="I18" s="48"/>
      <c r="J18" s="47"/>
      <c r="K18" s="49"/>
      <c r="L18" s="48"/>
      <c r="M18" s="49"/>
      <c r="R18" s="72"/>
      <c r="S18" s="72"/>
      <c r="T18" s="72"/>
    </row>
    <row r="19" spans="1:20" x14ac:dyDescent="0.2">
      <c r="A19" s="84" t="s">
        <v>64</v>
      </c>
      <c r="B19" s="99" t="s">
        <v>27</v>
      </c>
      <c r="C19" s="46">
        <f>SUM(D19:M19)</f>
        <v>16311.637999999999</v>
      </c>
      <c r="D19" s="47">
        <f>2966.336+230+3535.368+5933.935+660.282-2892.239</f>
        <v>10433.681999999999</v>
      </c>
      <c r="E19" s="47">
        <f>652.594+50.6+777.781+1305.466+199.276+2892.239</f>
        <v>5877.9560000000001</v>
      </c>
      <c r="F19" s="47"/>
      <c r="G19" s="47"/>
      <c r="H19" s="47"/>
      <c r="I19" s="48"/>
      <c r="J19" s="47"/>
      <c r="K19" s="49"/>
      <c r="L19" s="48"/>
      <c r="M19" s="49"/>
      <c r="O19" s="72"/>
      <c r="R19" s="72"/>
      <c r="S19" s="72"/>
      <c r="T19" s="72"/>
    </row>
    <row r="20" spans="1:20" x14ac:dyDescent="0.2">
      <c r="A20" s="13"/>
      <c r="B20" s="100"/>
      <c r="C20" s="46"/>
      <c r="D20" s="47"/>
      <c r="E20" s="47"/>
      <c r="F20" s="47"/>
      <c r="G20" s="47"/>
      <c r="H20" s="47"/>
      <c r="I20" s="48"/>
      <c r="J20" s="47"/>
      <c r="K20" s="49"/>
      <c r="L20" s="48"/>
      <c r="M20" s="49"/>
      <c r="O20" s="72"/>
      <c r="R20" s="72"/>
      <c r="S20" s="72"/>
      <c r="T20" s="72"/>
    </row>
    <row r="21" spans="1:20" x14ac:dyDescent="0.2">
      <c r="A21" s="123" t="s">
        <v>26</v>
      </c>
      <c r="B21" s="125" t="s">
        <v>80</v>
      </c>
      <c r="C21" s="50">
        <f t="shared" ref="C21:M21" si="0">SUM(C19:C20)</f>
        <v>16311.637999999999</v>
      </c>
      <c r="D21" s="51">
        <f t="shared" si="0"/>
        <v>10433.681999999999</v>
      </c>
      <c r="E21" s="52">
        <f t="shared" si="0"/>
        <v>5877.9560000000001</v>
      </c>
      <c r="F21" s="52">
        <f t="shared" si="0"/>
        <v>0</v>
      </c>
      <c r="G21" s="52">
        <f t="shared" si="0"/>
        <v>0</v>
      </c>
      <c r="H21" s="115">
        <f t="shared" si="0"/>
        <v>0</v>
      </c>
      <c r="I21" s="53">
        <f t="shared" si="0"/>
        <v>0</v>
      </c>
      <c r="J21" s="52">
        <f t="shared" si="0"/>
        <v>0</v>
      </c>
      <c r="K21" s="119">
        <f t="shared" si="0"/>
        <v>0</v>
      </c>
      <c r="L21" s="53">
        <f t="shared" si="0"/>
        <v>0</v>
      </c>
      <c r="M21" s="54">
        <f t="shared" si="0"/>
        <v>0</v>
      </c>
      <c r="O21" s="72"/>
      <c r="R21" s="72"/>
      <c r="S21" s="72"/>
      <c r="T21" s="72"/>
    </row>
    <row r="22" spans="1:20" x14ac:dyDescent="0.2">
      <c r="A22" s="13"/>
      <c r="B22" s="126"/>
      <c r="C22" s="55"/>
      <c r="D22" s="47"/>
      <c r="E22" s="47"/>
      <c r="F22" s="47"/>
      <c r="G22" s="47"/>
      <c r="H22" s="47"/>
      <c r="I22" s="48"/>
      <c r="J22" s="47"/>
      <c r="K22" s="49"/>
      <c r="L22" s="48"/>
      <c r="M22" s="49"/>
      <c r="O22" s="72"/>
      <c r="R22" s="72"/>
      <c r="S22" s="72"/>
      <c r="T22" s="72"/>
    </row>
    <row r="23" spans="1:20" x14ac:dyDescent="0.2">
      <c r="A23" s="84" t="s">
        <v>64</v>
      </c>
      <c r="B23" s="99" t="s">
        <v>28</v>
      </c>
      <c r="C23" s="46">
        <f t="shared" ref="C23:C34" si="1">SUM(D23:M23)</f>
        <v>2688.779</v>
      </c>
      <c r="D23" s="186">
        <f>182+756.521+343.326+200+15.027+161.086-42.828-391.7</f>
        <v>1223.432</v>
      </c>
      <c r="E23" s="186">
        <f>40.04+215+166.435+75.532+44+5.676+19.91+42.828</f>
        <v>609.42100000000005</v>
      </c>
      <c r="F23" s="47">
        <f>57+58.938+181.888+36.4+30+100</f>
        <v>464.226</v>
      </c>
      <c r="G23" s="47"/>
      <c r="H23" s="47"/>
      <c r="I23" s="48">
        <v>391.7</v>
      </c>
      <c r="J23" s="47"/>
      <c r="K23" s="49"/>
      <c r="L23" s="48"/>
      <c r="M23" s="49"/>
      <c r="O23" s="72"/>
      <c r="R23" s="72"/>
      <c r="S23" s="72"/>
      <c r="T23" s="72"/>
    </row>
    <row r="24" spans="1:20" x14ac:dyDescent="0.2">
      <c r="A24" s="84" t="s">
        <v>65</v>
      </c>
      <c r="B24" s="99" t="s">
        <v>30</v>
      </c>
      <c r="C24" s="46">
        <f>SUM(D24:M24)</f>
        <v>2055.2749999999996</v>
      </c>
      <c r="D24" s="186">
        <f>130+232.778+230+18.515-775.025</f>
        <v>-163.73199999999997</v>
      </c>
      <c r="E24" s="186">
        <f>28.6+227+51.211+50.6+17.094+145.396</f>
        <v>519.90099999999995</v>
      </c>
      <c r="F24" s="47">
        <f>64+390+415.477+490.545+200</f>
        <v>1560.0219999999999</v>
      </c>
      <c r="G24" s="47"/>
      <c r="H24" s="47"/>
      <c r="I24" s="48">
        <v>139.084</v>
      </c>
      <c r="J24" s="47"/>
      <c r="K24" s="49"/>
      <c r="L24" s="48"/>
      <c r="M24" s="49"/>
      <c r="O24" s="72"/>
      <c r="R24" s="72"/>
      <c r="S24" s="72"/>
      <c r="T24" s="72"/>
    </row>
    <row r="25" spans="1:20" x14ac:dyDescent="0.2">
      <c r="A25" s="84" t="s">
        <v>66</v>
      </c>
      <c r="B25" s="99" t="s">
        <v>32</v>
      </c>
      <c r="C25" s="46">
        <f t="shared" si="1"/>
        <v>3804.2139999999999</v>
      </c>
      <c r="D25" s="47">
        <f>135.2+2430.942+200+38.585</f>
        <v>2804.7269999999999</v>
      </c>
      <c r="E25" s="47">
        <f>29.744+180+534.807+44+12.936</f>
        <v>801.48700000000008</v>
      </c>
      <c r="F25" s="47">
        <f>53+45+100</f>
        <v>198</v>
      </c>
      <c r="G25" s="47"/>
      <c r="H25" s="47"/>
      <c r="I25" s="48"/>
      <c r="J25" s="47"/>
      <c r="K25" s="49"/>
      <c r="L25" s="48"/>
      <c r="M25" s="49"/>
      <c r="O25" s="72"/>
      <c r="R25" s="72"/>
      <c r="S25" s="72"/>
      <c r="T25" s="72"/>
    </row>
    <row r="26" spans="1:20" x14ac:dyDescent="0.2">
      <c r="A26" s="84" t="s">
        <v>67</v>
      </c>
      <c r="B26" s="99" t="s">
        <v>34</v>
      </c>
      <c r="C26" s="46">
        <f>SUM(D26:M26)</f>
        <v>3107.346</v>
      </c>
      <c r="D26" s="47">
        <f>189.8+1824.25+200+30.249</f>
        <v>2244.299</v>
      </c>
      <c r="E26" s="47">
        <f>41.756+49+401.335+44+10.956</f>
        <v>547.04700000000003</v>
      </c>
      <c r="F26" s="47">
        <f>56+135+35+90</f>
        <v>316</v>
      </c>
      <c r="G26" s="47"/>
      <c r="H26" s="47"/>
      <c r="I26" s="48"/>
      <c r="J26" s="47"/>
      <c r="K26" s="49"/>
      <c r="L26" s="48"/>
      <c r="M26" s="49"/>
      <c r="O26" s="72"/>
      <c r="R26" s="72"/>
      <c r="S26" s="72"/>
      <c r="T26" s="72"/>
    </row>
    <row r="27" spans="1:20" x14ac:dyDescent="0.2">
      <c r="A27" s="84" t="s">
        <v>68</v>
      </c>
      <c r="B27" s="99" t="s">
        <v>35</v>
      </c>
      <c r="C27" s="46">
        <f t="shared" si="1"/>
        <v>4110.5199999999995</v>
      </c>
      <c r="D27" s="47">
        <f>278.2+1771+451-1390+250+60.892</f>
        <v>1421.0919999999999</v>
      </c>
      <c r="E27" s="47">
        <f>61.204+389.62+314+99.22-375+55+21.384</f>
        <v>565.42800000000011</v>
      </c>
      <c r="F27" s="47">
        <f>84+135+1765+40-128.931+100</f>
        <v>1995.069</v>
      </c>
      <c r="G27" s="47"/>
      <c r="H27" s="47"/>
      <c r="I27" s="48">
        <v>128.93100000000001</v>
      </c>
      <c r="J27" s="47"/>
      <c r="K27" s="49"/>
      <c r="L27" s="48"/>
      <c r="M27" s="49"/>
      <c r="O27" s="72"/>
      <c r="R27" s="72"/>
      <c r="S27" s="72"/>
      <c r="T27" s="72"/>
    </row>
    <row r="28" spans="1:20" x14ac:dyDescent="0.2">
      <c r="A28" s="84" t="s">
        <v>69</v>
      </c>
      <c r="B28" s="99" t="s">
        <v>36</v>
      </c>
      <c r="C28" s="46">
        <f>SUM(D28:M28)</f>
        <v>4024.0060000000003</v>
      </c>
      <c r="D28" s="47">
        <f>132.6+1775-1056.513+290+5.217-651.891</f>
        <v>494.41300000000012</v>
      </c>
      <c r="E28" s="47">
        <f>29.172+526+390.5+63.8+2.64</f>
        <v>1012.112</v>
      </c>
      <c r="F28" s="47">
        <f>45+624.077+1056.513+30+110+809.727</f>
        <v>2675.317</v>
      </c>
      <c r="G28" s="47"/>
      <c r="H28" s="47"/>
      <c r="I28" s="48">
        <v>-157.83600000000001</v>
      </c>
      <c r="J28" s="47"/>
      <c r="K28" s="49"/>
      <c r="L28" s="48"/>
      <c r="M28" s="49"/>
      <c r="O28" s="72"/>
      <c r="R28" s="170"/>
      <c r="S28" s="72"/>
      <c r="T28" s="72"/>
    </row>
    <row r="29" spans="1:20" x14ac:dyDescent="0.2">
      <c r="A29" s="84" t="s">
        <v>70</v>
      </c>
      <c r="B29" s="99" t="s">
        <v>37</v>
      </c>
      <c r="C29" s="46">
        <f t="shared" si="1"/>
        <v>771.51600000000008</v>
      </c>
      <c r="D29" s="47">
        <f>163.8+200+58.591</f>
        <v>422.39100000000002</v>
      </c>
      <c r="E29" s="47">
        <f>36.036+44+17.952</f>
        <v>97.988</v>
      </c>
      <c r="F29" s="47">
        <f>48+103.137+100</f>
        <v>251.137</v>
      </c>
      <c r="G29" s="47"/>
      <c r="H29" s="47"/>
      <c r="I29" s="48"/>
      <c r="J29" s="47"/>
      <c r="K29" s="49"/>
      <c r="L29" s="48"/>
      <c r="M29" s="49"/>
      <c r="O29" s="72"/>
      <c r="R29" s="72"/>
      <c r="S29" s="72"/>
      <c r="T29" s="72"/>
    </row>
    <row r="30" spans="1:20" x14ac:dyDescent="0.2">
      <c r="A30" s="84" t="s">
        <v>71</v>
      </c>
      <c r="B30" s="99" t="s">
        <v>38</v>
      </c>
      <c r="C30" s="46">
        <f t="shared" si="1"/>
        <v>10184.584999999999</v>
      </c>
      <c r="D30" s="47">
        <f>241.8+4941.843-1283.779+320+1750+58.135-786.479</f>
        <v>5241.5199999999995</v>
      </c>
      <c r="E30" s="47">
        <f>53.196+1087.205+70.4+385.732+24.684</f>
        <v>1621.2169999999999</v>
      </c>
      <c r="F30" s="47">
        <f>95+135+1283.779+791.59+30+1786.479+200</f>
        <v>4321.848</v>
      </c>
      <c r="G30" s="47"/>
      <c r="H30" s="47"/>
      <c r="I30" s="48">
        <v>-1000</v>
      </c>
      <c r="J30" s="47"/>
      <c r="K30" s="49"/>
      <c r="L30" s="48"/>
      <c r="M30" s="49"/>
      <c r="O30" s="72"/>
      <c r="R30" s="72"/>
      <c r="S30" s="72"/>
      <c r="T30" s="72"/>
    </row>
    <row r="31" spans="1:20" x14ac:dyDescent="0.2">
      <c r="A31" s="84" t="s">
        <v>74</v>
      </c>
      <c r="B31" s="99" t="s">
        <v>39</v>
      </c>
      <c r="C31" s="46">
        <f t="shared" si="1"/>
        <v>8315.8290000000015</v>
      </c>
      <c r="D31" s="47">
        <f>270.4+3567.5+200-9.709-788</f>
        <v>3240.1910000000003</v>
      </c>
      <c r="E31" s="47">
        <f>59.488+299+784.85+44-212</f>
        <v>975.33799999999997</v>
      </c>
      <c r="F31" s="47">
        <f>70+400+2173.3+30+100+327+1000</f>
        <v>4100.3</v>
      </c>
      <c r="G31" s="47"/>
      <c r="H31" s="47"/>
      <c r="I31" s="48"/>
      <c r="J31" s="47"/>
      <c r="K31" s="49"/>
      <c r="L31" s="48"/>
      <c r="M31" s="49"/>
      <c r="O31" s="72"/>
      <c r="R31" s="72"/>
      <c r="S31" s="72"/>
      <c r="T31" s="72"/>
    </row>
    <row r="32" spans="1:20" x14ac:dyDescent="0.2">
      <c r="A32" s="84" t="s">
        <v>72</v>
      </c>
      <c r="B32" s="99" t="s">
        <v>40</v>
      </c>
      <c r="C32" s="46">
        <f t="shared" si="1"/>
        <v>768.61699999999996</v>
      </c>
      <c r="D32" s="47">
        <f>119.6-637+200+42.183</f>
        <v>-275.21699999999998</v>
      </c>
      <c r="E32" s="47">
        <f>26.312+134-172+44+16.522</f>
        <v>48.83400000000001</v>
      </c>
      <c r="F32" s="47">
        <f>56+809+30+100</f>
        <v>995</v>
      </c>
      <c r="G32" s="47"/>
      <c r="H32" s="47"/>
      <c r="I32" s="48"/>
      <c r="J32" s="47"/>
      <c r="K32" s="49"/>
      <c r="L32" s="48"/>
      <c r="M32" s="49"/>
      <c r="O32" s="72"/>
      <c r="R32" s="72"/>
      <c r="S32" s="72"/>
      <c r="T32" s="72"/>
    </row>
    <row r="33" spans="1:20" x14ac:dyDescent="0.2">
      <c r="A33" s="84" t="s">
        <v>73</v>
      </c>
      <c r="B33" s="99" t="s">
        <v>85</v>
      </c>
      <c r="C33" s="46">
        <f t="shared" si="1"/>
        <v>2899.7779999999998</v>
      </c>
      <c r="D33" s="47">
        <f>228.8+1432.495+200+31.382-42.106</f>
        <v>1850.5709999999999</v>
      </c>
      <c r="E33" s="47">
        <f>50.336+252+315.149+44+11.616+42.106</f>
        <v>715.20699999999999</v>
      </c>
      <c r="F33" s="47">
        <f>84+50+200</f>
        <v>334</v>
      </c>
      <c r="G33" s="47"/>
      <c r="H33" s="47"/>
      <c r="I33" s="48"/>
      <c r="J33" s="47"/>
      <c r="K33" s="49"/>
      <c r="L33" s="48"/>
      <c r="M33" s="49"/>
      <c r="O33" s="72"/>
      <c r="R33" s="170"/>
      <c r="S33" s="72"/>
      <c r="T33" s="72"/>
    </row>
    <row r="34" spans="1:20" x14ac:dyDescent="0.2">
      <c r="A34" s="84" t="s">
        <v>87</v>
      </c>
      <c r="B34" s="99" t="s">
        <v>88</v>
      </c>
      <c r="C34" s="46">
        <f t="shared" si="1"/>
        <v>1928.6089999999999</v>
      </c>
      <c r="D34" s="47">
        <f>169+411.896-614.754+230-33.244-858.768</f>
        <v>-695.87000000000012</v>
      </c>
      <c r="E34" s="47">
        <f>37.18+90.617-135.246+50.6+10.56+858.768</f>
        <v>912.47900000000004</v>
      </c>
      <c r="F34" s="47">
        <f>78+784+750+100</f>
        <v>1712</v>
      </c>
      <c r="G34" s="47"/>
      <c r="H34" s="47"/>
      <c r="I34" s="48"/>
      <c r="J34" s="47"/>
      <c r="K34" s="49"/>
      <c r="L34" s="48"/>
      <c r="M34" s="49"/>
      <c r="O34" s="72"/>
      <c r="R34" s="72"/>
      <c r="S34" s="72"/>
      <c r="T34" s="72"/>
    </row>
    <row r="35" spans="1:20" x14ac:dyDescent="0.2">
      <c r="A35" s="84"/>
      <c r="B35" s="127"/>
      <c r="C35" s="46"/>
      <c r="D35" s="47"/>
      <c r="E35" s="47"/>
      <c r="F35" s="47"/>
      <c r="G35" s="47"/>
      <c r="H35" s="47"/>
      <c r="I35" s="48"/>
      <c r="J35" s="47"/>
      <c r="K35" s="49"/>
      <c r="L35" s="48"/>
      <c r="M35" s="49"/>
      <c r="O35" s="72"/>
      <c r="R35" s="72"/>
      <c r="S35" s="72"/>
      <c r="T35" s="72"/>
    </row>
    <row r="36" spans="1:20" x14ac:dyDescent="0.2">
      <c r="A36" s="123" t="s">
        <v>29</v>
      </c>
      <c r="B36" s="125" t="s">
        <v>81</v>
      </c>
      <c r="C36" s="50">
        <f t="shared" ref="C36:M36" si="2">SUM(C23:C35)</f>
        <v>44659.073999999993</v>
      </c>
      <c r="D36" s="56">
        <f t="shared" si="2"/>
        <v>17807.816999999999</v>
      </c>
      <c r="E36" s="57">
        <f>SUM(E23:E35)</f>
        <v>8426.4590000000007</v>
      </c>
      <c r="F36" s="57">
        <f t="shared" si="2"/>
        <v>18922.918999999998</v>
      </c>
      <c r="G36" s="56">
        <f t="shared" si="2"/>
        <v>0</v>
      </c>
      <c r="H36" s="67">
        <f t="shared" si="2"/>
        <v>0</v>
      </c>
      <c r="I36" s="58">
        <f t="shared" si="2"/>
        <v>-498.12099999999998</v>
      </c>
      <c r="J36" s="57">
        <f t="shared" si="2"/>
        <v>0</v>
      </c>
      <c r="K36" s="60">
        <f t="shared" si="2"/>
        <v>0</v>
      </c>
      <c r="L36" s="58">
        <f t="shared" si="2"/>
        <v>0</v>
      </c>
      <c r="M36" s="59">
        <f t="shared" si="2"/>
        <v>0</v>
      </c>
      <c r="N36" s="86"/>
      <c r="O36" s="72"/>
      <c r="R36" s="72"/>
      <c r="S36" s="72"/>
      <c r="T36" s="72"/>
    </row>
    <row r="37" spans="1:20" x14ac:dyDescent="0.2">
      <c r="A37" s="13"/>
      <c r="B37" s="14"/>
      <c r="C37" s="46"/>
      <c r="D37" s="47"/>
      <c r="E37" s="47"/>
      <c r="F37" s="47"/>
      <c r="G37" s="47"/>
      <c r="H37" s="47"/>
      <c r="I37" s="48"/>
      <c r="J37" s="47"/>
      <c r="K37" s="49"/>
      <c r="L37" s="48"/>
      <c r="M37" s="49"/>
      <c r="O37" s="72"/>
      <c r="R37" s="72"/>
      <c r="S37" s="72"/>
      <c r="T37" s="72"/>
    </row>
    <row r="38" spans="1:20" x14ac:dyDescent="0.2">
      <c r="A38" s="84" t="s">
        <v>64</v>
      </c>
      <c r="B38" s="99" t="s">
        <v>41</v>
      </c>
      <c r="C38" s="46">
        <f>SUM(D38:M38)</f>
        <v>4249.13</v>
      </c>
      <c r="D38" s="181">
        <f>100+100+220+970+163.059+1804.635+115.887-1191.354</f>
        <v>2282.2269999999999</v>
      </c>
      <c r="E38" s="182">
        <f>43.66+22+48.4+213.4+17.937+397.02+33.132</f>
        <v>775.54899999999998</v>
      </c>
      <c r="F38" s="47">
        <v>1892.809</v>
      </c>
      <c r="G38" s="47"/>
      <c r="H38" s="47"/>
      <c r="I38" s="48">
        <v>-701.45500000000004</v>
      </c>
      <c r="J38" s="47"/>
      <c r="K38" s="49"/>
      <c r="L38" s="48"/>
      <c r="M38" s="49"/>
      <c r="O38" s="72"/>
      <c r="R38" s="72"/>
      <c r="S38" s="72"/>
      <c r="T38" s="72"/>
    </row>
    <row r="39" spans="1:20" x14ac:dyDescent="0.2">
      <c r="A39" s="84" t="s">
        <v>65</v>
      </c>
      <c r="B39" s="99" t="s">
        <v>42</v>
      </c>
      <c r="C39" s="46">
        <f>SUM(D39:M39)</f>
        <v>4614.45</v>
      </c>
      <c r="D39" s="181">
        <f>270+200+280+2573.111+202.381</f>
        <v>3525.4919999999997</v>
      </c>
      <c r="E39" s="182">
        <f>117.882+123+44+61.6+566.084+66.132</f>
        <v>978.69800000000009</v>
      </c>
      <c r="F39" s="47">
        <v>110.26</v>
      </c>
      <c r="G39" s="47"/>
      <c r="H39" s="47"/>
      <c r="I39" s="48"/>
      <c r="J39" s="47"/>
      <c r="K39" s="49"/>
      <c r="L39" s="48"/>
      <c r="M39" s="49"/>
      <c r="O39" s="72"/>
      <c r="R39" s="72"/>
      <c r="S39" s="170"/>
      <c r="T39" s="72"/>
    </row>
    <row r="40" spans="1:20" x14ac:dyDescent="0.2">
      <c r="A40" s="84" t="s">
        <v>66</v>
      </c>
      <c r="B40" s="99" t="s">
        <v>43</v>
      </c>
      <c r="C40" s="46">
        <f>SUM(D40:M40)</f>
        <v>4829.84</v>
      </c>
      <c r="D40" s="181">
        <f>280+400+280+2468.975+169.713</f>
        <v>3598.6880000000001</v>
      </c>
      <c r="E40" s="182">
        <f>122.248+88+61.6+543.174+53.064</f>
        <v>868.0859999999999</v>
      </c>
      <c r="F40" s="47">
        <v>363.06599999999997</v>
      </c>
      <c r="G40" s="47"/>
      <c r="H40" s="47"/>
      <c r="I40" s="48"/>
      <c r="J40" s="47"/>
      <c r="K40" s="49"/>
      <c r="L40" s="48"/>
      <c r="M40" s="49"/>
      <c r="O40" s="72"/>
      <c r="R40" s="72"/>
      <c r="S40" s="72"/>
      <c r="T40" s="72"/>
    </row>
    <row r="41" spans="1:20" x14ac:dyDescent="0.2">
      <c r="A41" s="84" t="s">
        <v>67</v>
      </c>
      <c r="B41" s="99" t="s">
        <v>44</v>
      </c>
      <c r="C41" s="46">
        <f>SUM(D41:M41)</f>
        <v>3458.7579999999998</v>
      </c>
      <c r="D41" s="47">
        <f>150+300+260+1935.541+153.102-43.853</f>
        <v>2754.79</v>
      </c>
      <c r="E41" s="47">
        <f>65.49+66+57.2+425.819+45.606+43.853</f>
        <v>703.96799999999996</v>
      </c>
      <c r="F41" s="47"/>
      <c r="G41" s="47"/>
      <c r="H41" s="47"/>
      <c r="I41" s="48"/>
      <c r="J41" s="47"/>
      <c r="K41" s="49"/>
      <c r="L41" s="48"/>
      <c r="M41" s="49"/>
      <c r="O41" s="72"/>
      <c r="R41" s="170"/>
      <c r="S41" s="72"/>
      <c r="T41" s="72"/>
    </row>
    <row r="42" spans="1:20" x14ac:dyDescent="0.2">
      <c r="A42" s="84" t="s">
        <v>68</v>
      </c>
      <c r="B42" s="99" t="s">
        <v>91</v>
      </c>
      <c r="C42" s="46">
        <f>SUM(D42:M42)</f>
        <v>10679.101000000001</v>
      </c>
      <c r="D42" s="47">
        <f>330+300+260+6783.393+725.689</f>
        <v>8399.0820000000003</v>
      </c>
      <c r="E42" s="47">
        <f>144.078+152+66+57.2+1492.347+197.89</f>
        <v>2109.5149999999999</v>
      </c>
      <c r="F42" s="47">
        <v>170.50399999999999</v>
      </c>
      <c r="G42" s="47"/>
      <c r="H42" s="47"/>
      <c r="I42" s="48"/>
      <c r="J42" s="47"/>
      <c r="K42" s="49"/>
      <c r="L42" s="48"/>
      <c r="M42" s="49"/>
      <c r="O42" s="72"/>
      <c r="R42" s="72"/>
      <c r="S42" s="72"/>
      <c r="T42" s="72"/>
    </row>
    <row r="43" spans="1:20" x14ac:dyDescent="0.2">
      <c r="A43" s="84"/>
      <c r="B43" s="14"/>
      <c r="C43" s="46"/>
      <c r="D43" s="47"/>
      <c r="E43" s="47"/>
      <c r="F43" s="47"/>
      <c r="G43" s="47"/>
      <c r="H43" s="47"/>
      <c r="I43" s="48"/>
      <c r="J43" s="47"/>
      <c r="K43" s="49"/>
      <c r="L43" s="48"/>
      <c r="M43" s="49"/>
      <c r="O43" s="72"/>
      <c r="R43" s="72"/>
      <c r="S43" s="72"/>
      <c r="T43" s="72"/>
    </row>
    <row r="44" spans="1:20" x14ac:dyDescent="0.2">
      <c r="A44" s="123" t="s">
        <v>31</v>
      </c>
      <c r="B44" s="94" t="s">
        <v>82</v>
      </c>
      <c r="C44" s="50">
        <f>SUM(C38:C43)</f>
        <v>27831.279000000002</v>
      </c>
      <c r="D44" s="56">
        <f t="shared" ref="D44:M44" si="3">SUM(D38:D43)</f>
        <v>20560.279000000002</v>
      </c>
      <c r="E44" s="57">
        <f t="shared" si="3"/>
        <v>5435.8159999999998</v>
      </c>
      <c r="F44" s="56">
        <f t="shared" si="3"/>
        <v>2536.6389999999997</v>
      </c>
      <c r="G44" s="57">
        <f t="shared" si="3"/>
        <v>0</v>
      </c>
      <c r="H44" s="67">
        <f t="shared" si="3"/>
        <v>0</v>
      </c>
      <c r="I44" s="58">
        <f t="shared" si="3"/>
        <v>-701.45500000000004</v>
      </c>
      <c r="J44" s="57">
        <f t="shared" si="3"/>
        <v>0</v>
      </c>
      <c r="K44" s="59">
        <f t="shared" si="3"/>
        <v>0</v>
      </c>
      <c r="L44" s="58">
        <f t="shared" si="3"/>
        <v>0</v>
      </c>
      <c r="M44" s="59">
        <f t="shared" si="3"/>
        <v>0</v>
      </c>
      <c r="O44" s="72"/>
      <c r="R44" s="72"/>
      <c r="S44" s="72"/>
      <c r="T44" s="72"/>
    </row>
    <row r="45" spans="1:20" x14ac:dyDescent="0.2">
      <c r="A45" s="97"/>
      <c r="B45" s="95"/>
      <c r="C45" s="61"/>
      <c r="D45" s="62"/>
      <c r="E45" s="62"/>
      <c r="F45" s="62"/>
      <c r="G45" s="62"/>
      <c r="H45" s="62"/>
      <c r="I45" s="63"/>
      <c r="J45" s="62"/>
      <c r="K45" s="64"/>
      <c r="L45" s="63"/>
      <c r="M45" s="64"/>
      <c r="O45" s="72"/>
      <c r="R45" s="72"/>
      <c r="S45" s="72"/>
      <c r="T45" s="72"/>
    </row>
    <row r="46" spans="1:20" x14ac:dyDescent="0.2">
      <c r="A46" s="42" t="s">
        <v>33</v>
      </c>
      <c r="B46" s="102" t="s">
        <v>45</v>
      </c>
      <c r="C46" s="65">
        <f>SUM(D46:M46)</f>
        <v>10911.948000000002</v>
      </c>
      <c r="D46" s="143">
        <f>350+156.607-0.25</f>
        <v>506.35699999999997</v>
      </c>
      <c r="E46" s="176">
        <f>714+77+79.838+2249.111</f>
        <v>3119.9489999999996</v>
      </c>
      <c r="F46" s="176">
        <f>29.3+1473.025+283.567+8107.627-0.25</f>
        <v>9893.2690000000002</v>
      </c>
      <c r="G46" s="66"/>
      <c r="H46" s="66"/>
      <c r="I46" s="87">
        <f>5500-7887.229</f>
        <v>-2387.2290000000003</v>
      </c>
      <c r="J46" s="66">
        <v>-220.398</v>
      </c>
      <c r="K46" s="59"/>
      <c r="L46" s="58"/>
      <c r="M46" s="59"/>
      <c r="O46" s="72"/>
      <c r="R46" s="170"/>
      <c r="S46" s="170"/>
      <c r="T46" s="72"/>
    </row>
    <row r="47" spans="1:20" ht="13.5" thickBot="1" x14ac:dyDescent="0.25">
      <c r="A47" s="13"/>
      <c r="B47" s="103"/>
      <c r="C47" s="46"/>
      <c r="D47" s="47"/>
      <c r="E47" s="47"/>
      <c r="F47" s="47"/>
      <c r="G47" s="47"/>
      <c r="H47" s="47"/>
      <c r="I47" s="48"/>
      <c r="J47" s="47"/>
      <c r="K47" s="49"/>
      <c r="L47" s="48"/>
      <c r="M47" s="49"/>
      <c r="O47" s="72"/>
      <c r="R47" s="72"/>
      <c r="S47" s="72"/>
      <c r="T47" s="72"/>
    </row>
    <row r="48" spans="1:20" ht="22.5" thickBot="1" x14ac:dyDescent="0.25">
      <c r="A48" s="137" t="s">
        <v>75</v>
      </c>
      <c r="B48" s="128" t="s">
        <v>79</v>
      </c>
      <c r="C48" s="79">
        <f>C21+C36+C44+C46</f>
        <v>99713.938999999998</v>
      </c>
      <c r="D48" s="80">
        <f>D21+D36+D44+D46</f>
        <v>49308.134999999995</v>
      </c>
      <c r="E48" s="110">
        <f>E21+E36+E44+E46</f>
        <v>22860.18</v>
      </c>
      <c r="F48" s="110">
        <f t="shared" ref="F48:M48" si="4">F21+F36+F44+F46</f>
        <v>31352.826999999997</v>
      </c>
      <c r="G48" s="110">
        <f t="shared" si="4"/>
        <v>0</v>
      </c>
      <c r="H48" s="110">
        <f t="shared" si="4"/>
        <v>0</v>
      </c>
      <c r="I48" s="81">
        <f t="shared" si="4"/>
        <v>-3586.8050000000003</v>
      </c>
      <c r="J48" s="110">
        <f t="shared" si="4"/>
        <v>-220.398</v>
      </c>
      <c r="K48" s="82">
        <f t="shared" si="4"/>
        <v>0</v>
      </c>
      <c r="L48" s="81">
        <f t="shared" si="4"/>
        <v>0</v>
      </c>
      <c r="M48" s="82">
        <f t="shared" si="4"/>
        <v>0</v>
      </c>
      <c r="O48" s="72"/>
      <c r="R48" s="72"/>
      <c r="S48" s="72"/>
      <c r="T48" s="72"/>
    </row>
    <row r="49" spans="1:20" x14ac:dyDescent="0.2">
      <c r="A49" s="33"/>
      <c r="B49" s="112"/>
      <c r="C49" s="132"/>
      <c r="D49" s="164"/>
      <c r="E49" s="164"/>
      <c r="F49" s="164"/>
      <c r="G49" s="164"/>
      <c r="H49" s="164"/>
      <c r="I49" s="165"/>
      <c r="J49" s="164"/>
      <c r="K49" s="166"/>
      <c r="L49" s="165"/>
      <c r="M49" s="166"/>
      <c r="O49" s="72"/>
      <c r="R49" s="72"/>
      <c r="S49" s="72"/>
      <c r="T49" s="72"/>
    </row>
    <row r="50" spans="1:20" x14ac:dyDescent="0.2">
      <c r="A50" s="124" t="s">
        <v>76</v>
      </c>
      <c r="B50" s="129" t="s">
        <v>77</v>
      </c>
      <c r="C50" s="65">
        <f>SUM(D50:M50)</f>
        <v>63605.587</v>
      </c>
      <c r="D50" s="167">
        <f>720+4611+2513.981+2197.252-13097</f>
        <v>-3054.7669999999998</v>
      </c>
      <c r="E50" s="168">
        <f>158.4+1014+756.074+483.395+2285</f>
        <v>4696.8690000000006</v>
      </c>
      <c r="F50" s="169">
        <f>4375+627.485+14149+10812-4418</f>
        <v>25545.485000000001</v>
      </c>
      <c r="G50" s="168"/>
      <c r="H50" s="152"/>
      <c r="I50" s="153">
        <f>13+31534+453+4418</f>
        <v>36418</v>
      </c>
      <c r="J50" s="134"/>
      <c r="K50" s="152"/>
      <c r="L50" s="153"/>
      <c r="M50" s="152"/>
      <c r="O50" s="72"/>
      <c r="R50" s="72"/>
      <c r="S50" s="72"/>
      <c r="T50" s="72"/>
    </row>
    <row r="51" spans="1:20" ht="13.5" thickBot="1" x14ac:dyDescent="0.25">
      <c r="A51" s="30"/>
      <c r="B51" s="130"/>
      <c r="C51" s="46"/>
      <c r="D51" s="47"/>
      <c r="E51" s="47"/>
      <c r="F51" s="47"/>
      <c r="G51" s="47"/>
      <c r="H51" s="47"/>
      <c r="I51" s="48"/>
      <c r="J51" s="47"/>
      <c r="K51" s="49"/>
      <c r="L51" s="48"/>
      <c r="M51" s="49"/>
      <c r="O51" s="72"/>
      <c r="R51" s="72"/>
      <c r="S51" s="72"/>
      <c r="T51" s="72"/>
    </row>
    <row r="52" spans="1:20" ht="13.5" thickBot="1" x14ac:dyDescent="0.25">
      <c r="A52" s="120" t="s">
        <v>78</v>
      </c>
      <c r="B52" s="131" t="s">
        <v>84</v>
      </c>
      <c r="C52" s="156">
        <f>C48+C50</f>
        <v>163319.52600000001</v>
      </c>
      <c r="D52" s="177">
        <f>D48+D50</f>
        <v>46253.367999999995</v>
      </c>
      <c r="E52" s="178">
        <f>E48+E50</f>
        <v>27557.048999999999</v>
      </c>
      <c r="F52" s="178">
        <f t="shared" ref="F52:H52" si="5">F48+F50</f>
        <v>56898.311999999998</v>
      </c>
      <c r="G52" s="157">
        <f t="shared" si="5"/>
        <v>0</v>
      </c>
      <c r="H52" s="157">
        <f t="shared" si="5"/>
        <v>0</v>
      </c>
      <c r="I52" s="158">
        <f>I48+I50</f>
        <v>32831.195</v>
      </c>
      <c r="J52" s="157">
        <f t="shared" ref="J52:K52" si="6">J48+J50</f>
        <v>-220.398</v>
      </c>
      <c r="K52" s="159">
        <f t="shared" si="6"/>
        <v>0</v>
      </c>
      <c r="L52" s="158">
        <f>L48+L50</f>
        <v>0</v>
      </c>
      <c r="M52" s="159">
        <f>M48+M50</f>
        <v>0</v>
      </c>
      <c r="O52" s="72"/>
      <c r="R52" s="72"/>
      <c r="S52" s="72"/>
      <c r="T52" s="72"/>
    </row>
    <row r="53" spans="1:20" x14ac:dyDescent="0.2">
      <c r="A53" s="69"/>
      <c r="B53" s="47"/>
      <c r="C53" s="68"/>
      <c r="D53" s="4"/>
      <c r="E53" s="4"/>
      <c r="F53" s="71"/>
      <c r="G53" s="4"/>
      <c r="H53" s="4"/>
      <c r="I53" s="4"/>
      <c r="J53" s="4"/>
      <c r="K53" s="4"/>
      <c r="L53" s="4"/>
      <c r="M53" s="4"/>
      <c r="O53" s="72"/>
      <c r="R53" s="72"/>
      <c r="S53" s="72"/>
      <c r="T53" s="72"/>
    </row>
    <row r="54" spans="1:20" x14ac:dyDescent="0.2">
      <c r="A54" s="69"/>
      <c r="B54" s="47"/>
      <c r="C54" s="70"/>
      <c r="D54" s="4"/>
      <c r="E54" s="4"/>
      <c r="F54" s="4"/>
      <c r="G54" s="4"/>
      <c r="H54" s="4"/>
      <c r="I54" s="4"/>
      <c r="J54" s="4"/>
      <c r="K54" s="4"/>
      <c r="L54" s="4"/>
      <c r="M54" s="4"/>
      <c r="O54" s="72"/>
      <c r="R54" s="72"/>
      <c r="S54" s="72"/>
      <c r="T54" s="72"/>
    </row>
    <row r="55" spans="1:20" x14ac:dyDescent="0.2">
      <c r="B55" s="72"/>
      <c r="C55" s="68"/>
      <c r="D55" s="4"/>
      <c r="E55" s="4"/>
      <c r="F55" s="71"/>
      <c r="G55" s="71"/>
      <c r="H55" s="4"/>
      <c r="I55" s="4"/>
      <c r="J55" s="71"/>
      <c r="K55" s="71"/>
      <c r="L55" s="4"/>
      <c r="M55" s="4"/>
      <c r="O55" s="72"/>
    </row>
    <row r="56" spans="1:20" x14ac:dyDescent="0.2">
      <c r="B56" s="72"/>
      <c r="C56" s="68"/>
      <c r="D56" s="4"/>
      <c r="E56" s="4"/>
      <c r="F56" s="71"/>
      <c r="G56" s="4"/>
      <c r="H56" s="71"/>
      <c r="I56" s="4"/>
      <c r="J56" s="4"/>
      <c r="K56" s="4"/>
      <c r="L56" s="4"/>
      <c r="M56" s="4"/>
      <c r="O56" s="72"/>
      <c r="S56" s="72"/>
    </row>
    <row r="57" spans="1:20" x14ac:dyDescent="0.2">
      <c r="B57" s="72"/>
      <c r="C57" s="68"/>
      <c r="D57" s="4"/>
      <c r="E57" s="4"/>
      <c r="F57" s="4"/>
      <c r="G57" s="4"/>
      <c r="H57" s="4"/>
      <c r="I57" s="4"/>
      <c r="J57" s="4"/>
      <c r="K57" s="4"/>
      <c r="L57" s="4"/>
      <c r="M57" s="4"/>
      <c r="O57" s="72"/>
    </row>
    <row r="58" spans="1:20" x14ac:dyDescent="0.2">
      <c r="B58" s="72"/>
      <c r="C58" s="70"/>
      <c r="D58" s="4"/>
      <c r="E58" s="4"/>
      <c r="F58" s="4"/>
      <c r="G58" s="4"/>
      <c r="H58" s="4"/>
      <c r="I58" s="4"/>
      <c r="J58" s="4"/>
      <c r="K58" s="4"/>
      <c r="L58" s="4"/>
      <c r="M58" s="4"/>
      <c r="O58" s="72"/>
    </row>
    <row r="59" spans="1:20" x14ac:dyDescent="0.2">
      <c r="B59" s="72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2"/>
      <c r="O59" s="72"/>
    </row>
    <row r="60" spans="1:20" x14ac:dyDescent="0.2">
      <c r="B60" s="72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2"/>
      <c r="O60" s="72"/>
    </row>
    <row r="61" spans="1:20" x14ac:dyDescent="0.2">
      <c r="B61" s="72"/>
      <c r="C61" s="68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2"/>
      <c r="O61" s="72"/>
    </row>
    <row r="62" spans="1:20" x14ac:dyDescent="0.2">
      <c r="B62" s="72"/>
      <c r="C62" s="70"/>
      <c r="D62" s="70"/>
      <c r="E62" s="70"/>
      <c r="F62" s="141"/>
      <c r="G62" s="70"/>
      <c r="H62" s="70"/>
      <c r="I62" s="70"/>
      <c r="J62" s="70"/>
      <c r="K62" s="70"/>
      <c r="L62" s="70"/>
      <c r="M62" s="70"/>
      <c r="N62" s="2"/>
      <c r="O62" s="72"/>
    </row>
    <row r="63" spans="1:20" x14ac:dyDescent="0.2">
      <c r="B63" s="72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2"/>
      <c r="O63" s="72"/>
    </row>
    <row r="64" spans="1:20" x14ac:dyDescent="0.2">
      <c r="B64" s="72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2"/>
      <c r="O64" s="72"/>
    </row>
    <row r="65" spans="2:15" x14ac:dyDescent="0.2">
      <c r="B65" s="72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2"/>
      <c r="O65" s="72"/>
    </row>
    <row r="66" spans="2:15" x14ac:dyDescent="0.2">
      <c r="B66" s="72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2"/>
      <c r="O66" s="72"/>
    </row>
    <row r="67" spans="2:15" x14ac:dyDescent="0.2">
      <c r="B67" s="72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2"/>
      <c r="O67" s="72"/>
    </row>
    <row r="68" spans="2:15" x14ac:dyDescent="0.2">
      <c r="B68" s="72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2"/>
      <c r="O68" s="72"/>
    </row>
    <row r="69" spans="2:15" x14ac:dyDescent="0.2"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2"/>
      <c r="O69" s="2"/>
    </row>
    <row r="70" spans="2:15" x14ac:dyDescent="0.2">
      <c r="B70" s="72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2"/>
      <c r="O70" s="2"/>
    </row>
    <row r="71" spans="2:15" x14ac:dyDescent="0.2">
      <c r="B71" s="72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2"/>
      <c r="O71" s="2"/>
    </row>
    <row r="72" spans="2:15" x14ac:dyDescent="0.2"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2"/>
      <c r="O72" s="2"/>
    </row>
    <row r="73" spans="2:15" x14ac:dyDescent="0.2"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2"/>
      <c r="O73" s="2"/>
    </row>
    <row r="74" spans="2:15" x14ac:dyDescent="0.2"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2"/>
      <c r="O74" s="2"/>
    </row>
    <row r="75" spans="2:15" x14ac:dyDescent="0.2"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2"/>
      <c r="O75" s="2"/>
    </row>
    <row r="76" spans="2:15" x14ac:dyDescent="0.2"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2"/>
      <c r="O76" s="2"/>
    </row>
    <row r="77" spans="2:15" x14ac:dyDescent="0.2"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2"/>
      <c r="O77" s="2"/>
    </row>
    <row r="78" spans="2:15" x14ac:dyDescent="0.2"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2"/>
      <c r="O78" s="2"/>
    </row>
    <row r="79" spans="2:15" x14ac:dyDescent="0.2"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2"/>
      <c r="O79" s="2"/>
    </row>
    <row r="80" spans="2:15" x14ac:dyDescent="0.2"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2"/>
      <c r="O80" s="2"/>
    </row>
    <row r="81" spans="3:15" x14ac:dyDescent="0.2"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2"/>
      <c r="O81" s="2"/>
    </row>
    <row r="82" spans="3:15" x14ac:dyDescent="0.2"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2"/>
      <c r="O82" s="2"/>
    </row>
    <row r="83" spans="3:15" x14ac:dyDescent="0.2"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2"/>
      <c r="O83" s="2"/>
    </row>
    <row r="84" spans="3:15" x14ac:dyDescent="0.2"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2"/>
      <c r="O84" s="2"/>
    </row>
    <row r="85" spans="3:15" x14ac:dyDescent="0.2"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2"/>
      <c r="O85" s="2"/>
    </row>
    <row r="86" spans="3:15" x14ac:dyDescent="0.2"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2"/>
      <c r="O86" s="2"/>
    </row>
    <row r="87" spans="3:15" x14ac:dyDescent="0.2"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2"/>
      <c r="O87" s="2"/>
    </row>
    <row r="88" spans="3:15" x14ac:dyDescent="0.2"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2"/>
      <c r="O88" s="2"/>
    </row>
    <row r="89" spans="3:15" x14ac:dyDescent="0.2"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2"/>
      <c r="O89" s="2"/>
    </row>
    <row r="90" spans="3:15" x14ac:dyDescent="0.2"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2"/>
      <c r="O90" s="2"/>
    </row>
    <row r="91" spans="3:15" x14ac:dyDescent="0.2"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2"/>
      <c r="O91" s="2"/>
    </row>
    <row r="92" spans="3:15" x14ac:dyDescent="0.2"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2"/>
      <c r="O92" s="2"/>
    </row>
    <row r="93" spans="3:15" x14ac:dyDescent="0.2"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2"/>
      <c r="O93" s="2"/>
    </row>
    <row r="94" spans="3:15" x14ac:dyDescent="0.2"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2"/>
      <c r="O94" s="2"/>
    </row>
    <row r="95" spans="3:15" x14ac:dyDescent="0.2"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2"/>
      <c r="O95" s="2"/>
    </row>
    <row r="96" spans="3:15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3:15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3:15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3:15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3:1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3:1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3: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3: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3: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3: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3: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3: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3: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3: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3: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3: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3: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3: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3: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3: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3: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3: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3: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3: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3: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3: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3: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3: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3: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3: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3: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3: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3: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3: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3: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3: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3: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3: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3: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3: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3: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</sheetData>
  <mergeCells count="6">
    <mergeCell ref="L1:M1"/>
    <mergeCell ref="A4:M4"/>
    <mergeCell ref="D9:K9"/>
    <mergeCell ref="D10:H10"/>
    <mergeCell ref="I10:K10"/>
    <mergeCell ref="A6:M6"/>
  </mergeCells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5. sz. melléklet</vt:lpstr>
      <vt:lpstr>6.sz. melléklet</vt:lpstr>
      <vt:lpstr>'5. sz. melléklet'!Nyomtatási_terület</vt:lpstr>
      <vt:lpstr>'6.sz. melléklet'!Nyomtatási_terület</vt:lpstr>
    </vt:vector>
  </TitlesOfParts>
  <Company>Budapest II. Kerületi Önkormányzat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</dc:creator>
  <cp:lastModifiedBy>Tariné Godó Ágnes</cp:lastModifiedBy>
  <cp:lastPrinted>2018-02-18T14:53:45Z</cp:lastPrinted>
  <dcterms:created xsi:type="dcterms:W3CDTF">2013-05-29T08:17:59Z</dcterms:created>
  <dcterms:modified xsi:type="dcterms:W3CDTF">2018-02-21T07:31:00Z</dcterms:modified>
</cp:coreProperties>
</file>