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17\Rendelet módosítások\Negyedik_12_31 évvégi\Leadott\"/>
    </mc:Choice>
  </mc:AlternateContent>
  <bookViews>
    <workbookView xWindow="0" yWindow="0" windowWidth="19200" windowHeight="11595" tabRatio="818"/>
  </bookViews>
  <sheets>
    <sheet name="1.sz.melléklet" sheetId="1" r:id="rId1"/>
    <sheet name="2.sz.melléklet" sheetId="2" r:id="rId2"/>
    <sheet name="3.sz.melléklet" sheetId="3" r:id="rId3"/>
    <sheet name="4.sz.melléklet" sheetId="4" r:id="rId4"/>
  </sheets>
  <definedNames>
    <definedName name="Excel_BuiltIn__FilterDatabase_2">'2.sz.melléklet'!$A$15:$AP$142</definedName>
    <definedName name="Excel_BuiltIn__FilterDatabase_3">#REF!</definedName>
    <definedName name="Excel_BuiltIn__FilterDatabase_3_3">'1.sz.melléklet'!$C$7:$W$17</definedName>
    <definedName name="_xlnm.Print_Titles" localSheetId="0">'1.sz.melléklet'!$7:$13</definedName>
    <definedName name="_xlnm.Print_Titles" localSheetId="1">'2.sz.melléklet'!$7:$14</definedName>
    <definedName name="_xlnm.Print_Titles" localSheetId="2">'3.sz.melléklet'!$7:$13</definedName>
    <definedName name="_xlnm.Print_Titles" localSheetId="3">'4.sz.melléklet'!$7:$14</definedName>
    <definedName name="_xlnm.Print_Area" localSheetId="0">'1.sz.melléklet'!$A$1:$W$219</definedName>
    <definedName name="_xlnm.Print_Area" localSheetId="1">'2.sz.melléklet'!$A$1:$Z$566</definedName>
    <definedName name="_xlnm.Print_Area" localSheetId="2">'3.sz.melléklet'!$A$1:$X$200</definedName>
    <definedName name="_xlnm.Print_Area" localSheetId="3">'4.sz.melléklet'!$A$1:$Y$240</definedName>
  </definedNames>
  <calcPr calcId="152511"/>
</workbook>
</file>

<file path=xl/calcChain.xml><?xml version="1.0" encoding="utf-8"?>
<calcChain xmlns="http://schemas.openxmlformats.org/spreadsheetml/2006/main">
  <c r="L358" i="2" l="1"/>
  <c r="F358" i="2"/>
  <c r="F356" i="2" l="1"/>
  <c r="F117" i="1"/>
  <c r="I117" i="1"/>
  <c r="K353" i="2"/>
  <c r="F352" i="2"/>
  <c r="K357" i="2" l="1"/>
  <c r="N122" i="1"/>
  <c r="H121" i="1" l="1"/>
  <c r="L355" i="2"/>
  <c r="K120" i="1"/>
  <c r="F119" i="1"/>
  <c r="K354" i="2"/>
  <c r="F118" i="1"/>
  <c r="I351" i="2"/>
  <c r="J351" i="2"/>
  <c r="Z352" i="2"/>
  <c r="K350" i="2" l="1"/>
  <c r="D116" i="1"/>
  <c r="J349" i="2" l="1"/>
  <c r="F349" i="2"/>
  <c r="Z348" i="2" l="1"/>
  <c r="K348" i="2"/>
  <c r="L97" i="3"/>
  <c r="X97" i="3"/>
  <c r="X106" i="3"/>
  <c r="M106" i="3"/>
  <c r="L106" i="3"/>
  <c r="H106" i="3"/>
  <c r="G106" i="3"/>
  <c r="E134" i="4"/>
  <c r="D134" i="4"/>
  <c r="F105" i="3"/>
  <c r="K347" i="2" l="1"/>
  <c r="F347" i="2"/>
  <c r="L346" i="2"/>
  <c r="K346" i="2"/>
  <c r="X334" i="2" l="1"/>
  <c r="Z334" i="2"/>
  <c r="F334" i="2"/>
  <c r="R334" i="2" s="1"/>
  <c r="Z332" i="2"/>
  <c r="D114" i="1"/>
  <c r="X332" i="2"/>
  <c r="R332" i="2"/>
  <c r="Y332" i="2" s="1"/>
  <c r="U113" i="1"/>
  <c r="U114" i="1"/>
  <c r="O113" i="1"/>
  <c r="W113" i="1" s="1"/>
  <c r="O114" i="1"/>
  <c r="W114" i="1" s="1"/>
  <c r="D113" i="1"/>
  <c r="X331" i="2"/>
  <c r="R331" i="2"/>
  <c r="Z331" i="2"/>
  <c r="X330" i="2"/>
  <c r="R330" i="2"/>
  <c r="Z330" i="2"/>
  <c r="O112" i="1"/>
  <c r="D112" i="1"/>
  <c r="U111" i="1"/>
  <c r="U112" i="1"/>
  <c r="O111" i="1"/>
  <c r="W111" i="1" s="1"/>
  <c r="D111" i="1"/>
  <c r="X329" i="2"/>
  <c r="R329" i="2"/>
  <c r="Z329" i="2"/>
  <c r="X328" i="2"/>
  <c r="Z328" i="2"/>
  <c r="E328" i="2"/>
  <c r="D328" i="2"/>
  <c r="R328" i="2" s="1"/>
  <c r="X325" i="2"/>
  <c r="X326" i="2"/>
  <c r="X327" i="2"/>
  <c r="Z327" i="2"/>
  <c r="F327" i="2"/>
  <c r="R327" i="2" s="1"/>
  <c r="Z326" i="2"/>
  <c r="J326" i="2"/>
  <c r="R326" i="2" s="1"/>
  <c r="Y326" i="2" s="1"/>
  <c r="Z325" i="2"/>
  <c r="E325" i="2"/>
  <c r="R325" i="2" s="1"/>
  <c r="D325" i="2"/>
  <c r="Y334" i="2" l="1"/>
  <c r="Y329" i="2"/>
  <c r="Y331" i="2"/>
  <c r="Y328" i="2"/>
  <c r="Y327" i="2"/>
  <c r="Y325" i="2"/>
  <c r="Y330" i="2"/>
  <c r="W112" i="1"/>
  <c r="L345" i="2"/>
  <c r="K345" i="2"/>
  <c r="L344" i="2"/>
  <c r="K344" i="2"/>
  <c r="K341" i="2" l="1"/>
  <c r="L343" i="2" l="1"/>
  <c r="K343" i="2"/>
  <c r="L342" i="2"/>
  <c r="K342" i="2"/>
  <c r="L341" i="2"/>
  <c r="Q340" i="2"/>
  <c r="K340" i="2"/>
  <c r="L339" i="2"/>
  <c r="K339" i="2"/>
  <c r="Q338" i="2"/>
  <c r="K338" i="2"/>
  <c r="K337" i="2" l="1"/>
  <c r="J337" i="2"/>
  <c r="L336" i="2"/>
  <c r="F336" i="2"/>
  <c r="Q335" i="2"/>
  <c r="K335" i="2"/>
  <c r="E120" i="4"/>
  <c r="D120" i="4"/>
  <c r="X96" i="3"/>
  <c r="Z333" i="2"/>
  <c r="D115" i="1"/>
  <c r="F133" i="4" l="1"/>
  <c r="D133" i="4"/>
  <c r="L132" i="4"/>
  <c r="F132" i="4"/>
  <c r="Q324" i="2" l="1"/>
  <c r="K324" i="2"/>
  <c r="Q323" i="2"/>
  <c r="K323" i="2"/>
  <c r="J323" i="2"/>
  <c r="N322" i="2"/>
  <c r="K322" i="2"/>
  <c r="L317" i="2" l="1"/>
  <c r="J321" i="2" l="1"/>
  <c r="I321" i="2"/>
  <c r="J320" i="2"/>
  <c r="K320" i="2"/>
  <c r="M131" i="4" l="1"/>
  <c r="L131" i="4"/>
  <c r="F130" i="4"/>
  <c r="L130" i="4"/>
  <c r="J319" i="2"/>
  <c r="K319" i="2"/>
  <c r="Q318" i="2"/>
  <c r="K318" i="2"/>
  <c r="F317" i="2" l="1"/>
  <c r="H110" i="1"/>
  <c r="G110" i="1"/>
  <c r="L119" i="4" l="1"/>
  <c r="X95" i="3" l="1"/>
  <c r="K316" i="2"/>
  <c r="L315" i="2"/>
  <c r="K314" i="2"/>
  <c r="K315" i="2"/>
  <c r="L314" i="2"/>
  <c r="F129" i="4" l="1"/>
  <c r="F104" i="3"/>
  <c r="M303" i="2" l="1"/>
  <c r="F303" i="2"/>
  <c r="R303" i="2" s="1"/>
  <c r="Y303" i="2" s="1"/>
  <c r="Z313" i="2" l="1"/>
  <c r="K313" i="2"/>
  <c r="Z312" i="2"/>
  <c r="L312" i="2"/>
  <c r="Z311" i="2"/>
  <c r="K311" i="2"/>
  <c r="E311" i="2"/>
  <c r="D311" i="2"/>
  <c r="Z310" i="2"/>
  <c r="K310" i="2"/>
  <c r="Z309" i="2"/>
  <c r="K309" i="2"/>
  <c r="Z308" i="2"/>
  <c r="E308" i="2"/>
  <c r="D308" i="2"/>
  <c r="Z307" i="2"/>
  <c r="E307" i="2"/>
  <c r="D307" i="2"/>
  <c r="L306" i="2" l="1"/>
  <c r="F306" i="2"/>
  <c r="K305" i="2"/>
  <c r="J305" i="2"/>
  <c r="L118" i="4"/>
  <c r="X94" i="3"/>
  <c r="Z304" i="2"/>
  <c r="K304" i="2"/>
  <c r="K301" i="2" l="1"/>
  <c r="X298" i="2"/>
  <c r="X299" i="2"/>
  <c r="J296" i="2"/>
  <c r="Z288" i="2"/>
  <c r="F298" i="2" l="1"/>
  <c r="E298" i="2"/>
  <c r="D298" i="2"/>
  <c r="R298" i="2" s="1"/>
  <c r="Y298" i="2" s="1"/>
  <c r="J298" i="2"/>
  <c r="J299" i="2" l="1"/>
  <c r="K299" i="2"/>
  <c r="L294" i="2"/>
  <c r="K294" i="2"/>
  <c r="R294" i="2" s="1"/>
  <c r="X294" i="2"/>
  <c r="K293" i="2"/>
  <c r="X293" i="2"/>
  <c r="L293" i="2"/>
  <c r="L292" i="2"/>
  <c r="K292" i="2"/>
  <c r="R292" i="2" s="1"/>
  <c r="X292" i="2"/>
  <c r="X291" i="2"/>
  <c r="X295" i="2"/>
  <c r="L291" i="2"/>
  <c r="F291" i="2"/>
  <c r="R291" i="2" s="1"/>
  <c r="R293" i="2" l="1"/>
  <c r="R299" i="2"/>
  <c r="Y299" i="2" s="1"/>
  <c r="Y294" i="2"/>
  <c r="Y291" i="2"/>
  <c r="Y293" i="2"/>
  <c r="Y292" i="2"/>
  <c r="U302" i="2"/>
  <c r="Q109" i="1"/>
  <c r="Z301" i="2"/>
  <c r="F301" i="2"/>
  <c r="Z300" i="2"/>
  <c r="F300" i="2"/>
  <c r="Z297" i="2"/>
  <c r="E297" i="2"/>
  <c r="D297" i="2"/>
  <c r="Z296" i="2"/>
  <c r="Z295" i="2"/>
  <c r="E295" i="2"/>
  <c r="D295" i="2"/>
  <c r="L108" i="1"/>
  <c r="H108" i="1"/>
  <c r="L290" i="2"/>
  <c r="F289" i="2"/>
  <c r="R289" i="2" s="1"/>
  <c r="Y289" i="2" s="1"/>
  <c r="M289" i="2"/>
  <c r="X289" i="2"/>
  <c r="D288" i="2"/>
  <c r="R288" i="2"/>
  <c r="X288" i="2"/>
  <c r="Y288" i="2" l="1"/>
  <c r="J287" i="2"/>
  <c r="K287" i="2"/>
  <c r="Q107" i="1"/>
  <c r="H107" i="1"/>
  <c r="R123" i="4" l="1"/>
  <c r="Y123" i="4" s="1"/>
  <c r="R124" i="4"/>
  <c r="X123" i="4"/>
  <c r="X124" i="4"/>
  <c r="U94" i="3"/>
  <c r="W94" i="3" s="1"/>
  <c r="O94" i="3"/>
  <c r="Y124" i="4" l="1"/>
  <c r="F84" i="1"/>
  <c r="D84" i="1"/>
  <c r="Q83" i="1" l="1"/>
  <c r="U270" i="2"/>
  <c r="Q269" i="2"/>
  <c r="F269" i="2"/>
  <c r="L268" i="2"/>
  <c r="F268" i="2"/>
  <c r="F267" i="2" l="1"/>
  <c r="L267" i="2"/>
  <c r="L266" i="2"/>
  <c r="F266" i="2"/>
  <c r="E103" i="4" l="1"/>
  <c r="D103" i="4"/>
  <c r="Z265" i="2" l="1"/>
  <c r="K265" i="2"/>
  <c r="F264" i="2" l="1"/>
  <c r="K264" i="2"/>
  <c r="H82" i="1" l="1"/>
  <c r="K263" i="2" l="1"/>
  <c r="F263" i="2"/>
  <c r="D82" i="1" l="1"/>
  <c r="O78" i="3" l="1"/>
  <c r="W78" i="3" s="1"/>
  <c r="O79" i="3"/>
  <c r="W79" i="3" s="1"/>
  <c r="O80" i="3"/>
  <c r="W80" i="3" s="1"/>
  <c r="O81" i="3"/>
  <c r="W81" i="3" s="1"/>
  <c r="O82" i="3"/>
  <c r="W82" i="3" s="1"/>
  <c r="O83" i="3"/>
  <c r="W83" i="3" s="1"/>
  <c r="E102" i="4" l="1"/>
  <c r="D102" i="4"/>
  <c r="F77" i="3"/>
  <c r="O77" i="3" s="1"/>
  <c r="W77" i="3" s="1"/>
  <c r="M101" i="4"/>
  <c r="L101" i="4"/>
  <c r="K262" i="2"/>
  <c r="E262" i="2"/>
  <c r="D262" i="2"/>
  <c r="M261" i="2" l="1"/>
  <c r="L261" i="2"/>
  <c r="F254" i="2" l="1"/>
  <c r="L260" i="2"/>
  <c r="R260" i="2" s="1"/>
  <c r="Y260" i="2" s="1"/>
  <c r="F260" i="2"/>
  <c r="X260" i="2"/>
  <c r="E258" i="2" l="1"/>
  <c r="D258" i="2"/>
  <c r="L259" i="2"/>
  <c r="F259" i="2"/>
  <c r="R259" i="2" s="1"/>
  <c r="F258" i="2"/>
  <c r="D80" i="4"/>
  <c r="E80" i="4"/>
  <c r="X58" i="3"/>
  <c r="Z257" i="2"/>
  <c r="K257" i="2"/>
  <c r="H81" i="1"/>
  <c r="U81" i="1"/>
  <c r="U82" i="1"/>
  <c r="U83" i="1"/>
  <c r="U84" i="1"/>
  <c r="U85" i="1"/>
  <c r="U86" i="1"/>
  <c r="U87" i="1"/>
  <c r="U88" i="1"/>
  <c r="O81" i="1"/>
  <c r="O82" i="1"/>
  <c r="W82" i="1" s="1"/>
  <c r="O83" i="1"/>
  <c r="O84" i="1"/>
  <c r="W84" i="1" s="1"/>
  <c r="O85" i="1"/>
  <c r="W85" i="1" s="1"/>
  <c r="O86" i="1"/>
  <c r="W86" i="1" s="1"/>
  <c r="O87" i="1"/>
  <c r="W87" i="1" s="1"/>
  <c r="O88" i="1"/>
  <c r="W88" i="1" s="1"/>
  <c r="O89" i="1"/>
  <c r="W89" i="1" s="1"/>
  <c r="U89" i="1"/>
  <c r="K256" i="2"/>
  <c r="F256" i="2"/>
  <c r="J254" i="2"/>
  <c r="R254" i="2" s="1"/>
  <c r="L253" i="2"/>
  <c r="F253" i="2"/>
  <c r="K252" i="2"/>
  <c r="J252" i="2"/>
  <c r="R252" i="2" s="1"/>
  <c r="E79" i="4"/>
  <c r="D79" i="4"/>
  <c r="X57" i="3"/>
  <c r="Z251" i="2"/>
  <c r="F80" i="1"/>
  <c r="K250" i="2"/>
  <c r="J250" i="2"/>
  <c r="R250" i="2" s="1"/>
  <c r="X250" i="2"/>
  <c r="X251" i="2"/>
  <c r="X252" i="2"/>
  <c r="X253" i="2"/>
  <c r="X254" i="2"/>
  <c r="X255" i="2"/>
  <c r="X256" i="2"/>
  <c r="X257" i="2"/>
  <c r="X258" i="2"/>
  <c r="X259" i="2"/>
  <c r="X261" i="2"/>
  <c r="X262" i="2"/>
  <c r="X263" i="2"/>
  <c r="X264" i="2"/>
  <c r="X265" i="2"/>
  <c r="X266" i="2"/>
  <c r="X267" i="2"/>
  <c r="X268" i="2"/>
  <c r="R251" i="2"/>
  <c r="R253" i="2"/>
  <c r="R256" i="2"/>
  <c r="R257" i="2"/>
  <c r="R258" i="2"/>
  <c r="R261" i="2"/>
  <c r="R262" i="2"/>
  <c r="R263" i="2"/>
  <c r="R264" i="2"/>
  <c r="R265" i="2"/>
  <c r="R266" i="2"/>
  <c r="R267" i="2"/>
  <c r="R268" i="2"/>
  <c r="L249" i="2"/>
  <c r="K249" i="2"/>
  <c r="K248" i="2"/>
  <c r="F248" i="2"/>
  <c r="H79" i="1"/>
  <c r="L76" i="3"/>
  <c r="H76" i="3"/>
  <c r="G76" i="3"/>
  <c r="O76" i="3" s="1"/>
  <c r="W76" i="3" s="1"/>
  <c r="W81" i="1" l="1"/>
  <c r="Y252" i="2"/>
  <c r="Y265" i="2"/>
  <c r="Y261" i="2"/>
  <c r="Y256" i="2"/>
  <c r="Y250" i="2"/>
  <c r="W83" i="1"/>
  <c r="Y268" i="2"/>
  <c r="Y264" i="2"/>
  <c r="Y259" i="2"/>
  <c r="Y253" i="2"/>
  <c r="Y254" i="2"/>
  <c r="Y266" i="2"/>
  <c r="Y262" i="2"/>
  <c r="Y257" i="2"/>
  <c r="Y251" i="2"/>
  <c r="Y267" i="2"/>
  <c r="Y263" i="2"/>
  <c r="Y258" i="2"/>
  <c r="Z255" i="2" l="1"/>
  <c r="D255" i="2"/>
  <c r="R255" i="2" s="1"/>
  <c r="Y255" i="2" s="1"/>
  <c r="P275" i="2" l="1"/>
  <c r="Z247" i="2"/>
  <c r="K247" i="2"/>
  <c r="F75" i="3" l="1"/>
  <c r="O75" i="3" s="1"/>
  <c r="W75" i="3" s="1"/>
  <c r="E100" i="4"/>
  <c r="D100" i="4"/>
  <c r="Z246" i="2"/>
  <c r="E78" i="4"/>
  <c r="D78" i="4"/>
  <c r="X56" i="3"/>
  <c r="Z245" i="2"/>
  <c r="D77" i="1"/>
  <c r="D76" i="1"/>
  <c r="Z244" i="2"/>
  <c r="Z243" i="2"/>
  <c r="D75" i="1"/>
  <c r="Z242" i="2"/>
  <c r="D74" i="1"/>
  <c r="Z241" i="2"/>
  <c r="K241" i="2"/>
  <c r="L239" i="2" l="1"/>
  <c r="F239" i="2"/>
  <c r="K238" i="2"/>
  <c r="H72" i="1" l="1"/>
  <c r="K237" i="2"/>
  <c r="F237" i="2"/>
  <c r="L236" i="2"/>
  <c r="F236" i="2"/>
  <c r="L235" i="2"/>
  <c r="F235" i="2"/>
  <c r="H71" i="1"/>
  <c r="K234" i="2"/>
  <c r="F234" i="2"/>
  <c r="X235" i="2" l="1"/>
  <c r="X236" i="2"/>
  <c r="X237" i="2"/>
  <c r="X238" i="2"/>
  <c r="X239" i="2"/>
  <c r="X240" i="2"/>
  <c r="X241" i="2"/>
  <c r="X242" i="2"/>
  <c r="X243" i="2"/>
  <c r="X244" i="2"/>
  <c r="X245" i="2"/>
  <c r="X246" i="2"/>
  <c r="X247" i="2"/>
  <c r="X248" i="2"/>
  <c r="R235" i="2"/>
  <c r="Y235" i="2" s="1"/>
  <c r="R236" i="2"/>
  <c r="Y236" i="2" s="1"/>
  <c r="R237" i="2"/>
  <c r="R238" i="2"/>
  <c r="R239" i="2"/>
  <c r="Y239" i="2" s="1"/>
  <c r="R240" i="2"/>
  <c r="Y240" i="2" s="1"/>
  <c r="R241" i="2"/>
  <c r="R242" i="2"/>
  <c r="R243" i="2"/>
  <c r="Y243" i="2" s="1"/>
  <c r="R244" i="2"/>
  <c r="Y244" i="2" s="1"/>
  <c r="R245" i="2"/>
  <c r="R246" i="2"/>
  <c r="R247" i="2"/>
  <c r="Y247" i="2" s="1"/>
  <c r="R248" i="2"/>
  <c r="Y248" i="2" s="1"/>
  <c r="Y245" i="2" l="1"/>
  <c r="Y241" i="2"/>
  <c r="Y237" i="2"/>
  <c r="Y246" i="2"/>
  <c r="Y242" i="2"/>
  <c r="Y238" i="2"/>
  <c r="L233" i="2"/>
  <c r="F233" i="2"/>
  <c r="E231" i="2" l="1"/>
  <c r="F77" i="4" l="1"/>
  <c r="X55" i="3"/>
  <c r="Z232" i="2"/>
  <c r="L232" i="2"/>
  <c r="F232" i="2"/>
  <c r="F231" i="2"/>
  <c r="X233" i="2"/>
  <c r="X234" i="2"/>
  <c r="X249" i="2"/>
  <c r="X269" i="2"/>
  <c r="X270" i="2"/>
  <c r="X271" i="2"/>
  <c r="X272" i="2"/>
  <c r="R233" i="2"/>
  <c r="R234" i="2"/>
  <c r="R249" i="2"/>
  <c r="Y249" i="2" s="1"/>
  <c r="R269" i="2"/>
  <c r="R270" i="2"/>
  <c r="R271" i="2"/>
  <c r="R272" i="2"/>
  <c r="Y271" i="2" l="1"/>
  <c r="Y269" i="2"/>
  <c r="Y270" i="2"/>
  <c r="Y272" i="2"/>
  <c r="Y234" i="2"/>
  <c r="Y233" i="2"/>
  <c r="L99" i="4"/>
  <c r="F99" i="4"/>
  <c r="L230" i="2" l="1"/>
  <c r="K230" i="2"/>
  <c r="G229" i="2"/>
  <c r="I70" i="1"/>
  <c r="F228" i="2"/>
  <c r="K228" i="2"/>
  <c r="L227" i="2"/>
  <c r="K227" i="2"/>
  <c r="K226" i="2"/>
  <c r="D69" i="1"/>
  <c r="Q225" i="2"/>
  <c r="K225" i="2"/>
  <c r="K224" i="2"/>
  <c r="L68" i="1"/>
  <c r="F223" i="2" l="1"/>
  <c r="G67" i="1"/>
  <c r="K223" i="2"/>
  <c r="K66" i="1"/>
  <c r="K222" i="2"/>
  <c r="K220" i="2"/>
  <c r="L220" i="2"/>
  <c r="R220" i="2" s="1"/>
  <c r="Q219" i="2"/>
  <c r="R219" i="2" s="1"/>
  <c r="Y219" i="2" s="1"/>
  <c r="K219" i="2"/>
  <c r="X218" i="2"/>
  <c r="X219" i="2"/>
  <c r="X220" i="2"/>
  <c r="J218" i="2"/>
  <c r="K218" i="2"/>
  <c r="L211" i="2"/>
  <c r="K211" i="2"/>
  <c r="Z221" i="2"/>
  <c r="E221" i="2"/>
  <c r="D221" i="2"/>
  <c r="Z213" i="2"/>
  <c r="F213" i="2"/>
  <c r="X211" i="2"/>
  <c r="X212" i="2"/>
  <c r="X213" i="2"/>
  <c r="R213" i="2"/>
  <c r="Z212" i="2"/>
  <c r="F212" i="2"/>
  <c r="R212" i="2" s="1"/>
  <c r="Y212" i="2" s="1"/>
  <c r="Z217" i="2"/>
  <c r="K217" i="2"/>
  <c r="Z216" i="2"/>
  <c r="L216" i="2"/>
  <c r="Z215" i="2"/>
  <c r="L215" i="2"/>
  <c r="Z214" i="2"/>
  <c r="L214" i="2"/>
  <c r="R218" i="2" l="1"/>
  <c r="Y218" i="2" s="1"/>
  <c r="R211" i="2"/>
  <c r="Y211" i="2" s="1"/>
  <c r="Y220" i="2"/>
  <c r="Y213" i="2"/>
  <c r="L98" i="4" l="1"/>
  <c r="F98" i="4"/>
  <c r="K208" i="2" l="1"/>
  <c r="D65" i="1"/>
  <c r="K207" i="2" l="1"/>
  <c r="H64" i="1"/>
  <c r="G64" i="1"/>
  <c r="L63" i="1"/>
  <c r="K206" i="2"/>
  <c r="F205" i="2"/>
  <c r="D205" i="2"/>
  <c r="U61" i="1" l="1"/>
  <c r="I61" i="1"/>
  <c r="O61" i="1" s="1"/>
  <c r="K202" i="2"/>
  <c r="R202" i="2" s="1"/>
  <c r="X201" i="2"/>
  <c r="X202" i="2"/>
  <c r="K201" i="2"/>
  <c r="R201" i="2" s="1"/>
  <c r="U60" i="1"/>
  <c r="E60" i="1"/>
  <c r="O60" i="1" s="1"/>
  <c r="W61" i="1" l="1"/>
  <c r="W60" i="1"/>
  <c r="Y201" i="2"/>
  <c r="Y202" i="2"/>
  <c r="H74" i="3"/>
  <c r="G74" i="3"/>
  <c r="O74" i="3" s="1"/>
  <c r="F204" i="2" l="1"/>
  <c r="F203" i="2"/>
  <c r="Z204" i="2"/>
  <c r="L204" i="2"/>
  <c r="H62" i="1"/>
  <c r="E97" i="4"/>
  <c r="D97" i="4"/>
  <c r="D200" i="2" l="1"/>
  <c r="F200" i="2" l="1"/>
  <c r="E200" i="2"/>
  <c r="K199" i="2"/>
  <c r="J199" i="2"/>
  <c r="L198" i="2"/>
  <c r="F198" i="2"/>
  <c r="H59" i="1"/>
  <c r="K197" i="2"/>
  <c r="F197" i="2"/>
  <c r="L194" i="2"/>
  <c r="F194" i="2"/>
  <c r="X193" i="2"/>
  <c r="X194" i="2"/>
  <c r="F193" i="2"/>
  <c r="M193" i="2"/>
  <c r="R193" i="2" s="1"/>
  <c r="R194" i="2" l="1"/>
  <c r="Y194" i="2" s="1"/>
  <c r="Y193" i="2"/>
  <c r="L96" i="4"/>
  <c r="F96" i="4"/>
  <c r="Z191" i="2" l="1"/>
  <c r="K191" i="2"/>
  <c r="Z196" i="2"/>
  <c r="F196" i="2"/>
  <c r="E195" i="2"/>
  <c r="D195" i="2"/>
  <c r="Z195" i="2"/>
  <c r="Z192" i="2"/>
  <c r="K192" i="2"/>
  <c r="Z190" i="2"/>
  <c r="E190" i="2"/>
  <c r="D190" i="2"/>
  <c r="Z189" i="2"/>
  <c r="E189" i="2"/>
  <c r="D189" i="2"/>
  <c r="Z188" i="2"/>
  <c r="E188" i="2"/>
  <c r="D188" i="2"/>
  <c r="Z187" i="2"/>
  <c r="E187" i="2"/>
  <c r="D187" i="2"/>
  <c r="L184" i="2" l="1"/>
  <c r="F76" i="4"/>
  <c r="X54" i="3"/>
  <c r="X53" i="3"/>
  <c r="L75" i="4"/>
  <c r="Z186" i="2" l="1"/>
  <c r="L186" i="2"/>
  <c r="Z185" i="2"/>
  <c r="L185" i="2"/>
  <c r="F184" i="2"/>
  <c r="K184" i="2"/>
  <c r="Q183" i="2"/>
  <c r="K183" i="2"/>
  <c r="J182" i="2"/>
  <c r="K182" i="2"/>
  <c r="J181" i="2"/>
  <c r="K181" i="2"/>
  <c r="L180" i="2"/>
  <c r="K180" i="2"/>
  <c r="I179" i="2"/>
  <c r="J179" i="2"/>
  <c r="U56" i="1" l="1"/>
  <c r="O56" i="1"/>
  <c r="R174" i="2"/>
  <c r="X174" i="2"/>
  <c r="W56" i="1" l="1"/>
  <c r="Y174" i="2"/>
  <c r="Z178" i="2"/>
  <c r="K178" i="2"/>
  <c r="Z177" i="2"/>
  <c r="J177" i="2"/>
  <c r="Z176" i="2"/>
  <c r="Z175" i="2"/>
  <c r="Z173" i="2"/>
  <c r="D54" i="1"/>
  <c r="Z172" i="2"/>
  <c r="Z171" i="2" l="1"/>
  <c r="F171" i="2"/>
  <c r="E171" i="2"/>
  <c r="D171" i="2"/>
  <c r="Z170" i="2"/>
  <c r="K170" i="2"/>
  <c r="J169" i="2" l="1"/>
  <c r="K167" i="2" l="1"/>
  <c r="E51" i="1"/>
  <c r="F166" i="2" l="1"/>
  <c r="R50" i="1"/>
  <c r="L165" i="2" l="1"/>
  <c r="K165" i="2"/>
  <c r="J164" i="2" l="1"/>
  <c r="E164" i="2"/>
  <c r="D164" i="2"/>
  <c r="K163" i="2"/>
  <c r="F163" i="2"/>
  <c r="F162" i="2"/>
  <c r="I49" i="1"/>
  <c r="I161" i="2"/>
  <c r="I275" i="2" s="1"/>
  <c r="F161" i="2"/>
  <c r="L160" i="2"/>
  <c r="F160" i="2"/>
  <c r="K159" i="2"/>
  <c r="J159" i="2"/>
  <c r="F158" i="2"/>
  <c r="H48" i="1"/>
  <c r="L157" i="2"/>
  <c r="L275" i="2" s="1"/>
  <c r="K47" i="1"/>
  <c r="E156" i="2"/>
  <c r="E275" i="2" s="1"/>
  <c r="F156" i="2"/>
  <c r="D156" i="2"/>
  <c r="D275" i="2" s="1"/>
  <c r="K155" i="2"/>
  <c r="I155" i="2"/>
  <c r="K154" i="2"/>
  <c r="J154" i="2"/>
  <c r="J149" i="2"/>
  <c r="X149" i="2"/>
  <c r="G275" i="2"/>
  <c r="H275" i="2"/>
  <c r="M275" i="2"/>
  <c r="N275" i="2"/>
  <c r="O275" i="2"/>
  <c r="Q275" i="2"/>
  <c r="S275" i="2"/>
  <c r="T275" i="2"/>
  <c r="U275" i="2"/>
  <c r="V275" i="2"/>
  <c r="W275" i="2"/>
  <c r="K149" i="2"/>
  <c r="K275" i="2" l="1"/>
  <c r="R149" i="2"/>
  <c r="Y149" i="2" s="1"/>
  <c r="R72" i="3"/>
  <c r="H95" i="4"/>
  <c r="L94" i="4" l="1"/>
  <c r="F94" i="4"/>
  <c r="Z153" i="2" l="1"/>
  <c r="F153" i="2"/>
  <c r="Z152" i="2"/>
  <c r="F152" i="2"/>
  <c r="Z151" i="2"/>
  <c r="F151" i="2"/>
  <c r="Z150" i="2"/>
  <c r="J150" i="2"/>
  <c r="J275" i="2" s="1"/>
  <c r="Z275" i="2" l="1"/>
  <c r="F275" i="2"/>
  <c r="L64" i="4"/>
  <c r="F63" i="4"/>
  <c r="L129" i="2"/>
  <c r="F126" i="2"/>
  <c r="L126" i="2"/>
  <c r="F125" i="2"/>
  <c r="L125" i="2"/>
  <c r="G118" i="2"/>
  <c r="F116" i="2"/>
  <c r="F115" i="2"/>
  <c r="F113" i="2"/>
  <c r="L138" i="2" l="1"/>
  <c r="L136" i="2"/>
  <c r="F129" i="2"/>
  <c r="F128" i="2"/>
  <c r="R128" i="2" s="1"/>
  <c r="Z117" i="2"/>
  <c r="X128" i="2"/>
  <c r="F127" i="2"/>
  <c r="L127" i="2"/>
  <c r="J126" i="2"/>
  <c r="Y128" i="2" l="1"/>
  <c r="Q123" i="2" l="1"/>
  <c r="F123" i="2"/>
  <c r="M123" i="2"/>
  <c r="F121" i="2"/>
  <c r="F120" i="2"/>
  <c r="M120" i="2"/>
  <c r="X119" i="2"/>
  <c r="M119" i="2"/>
  <c r="R119" i="2" s="1"/>
  <c r="F118" i="2"/>
  <c r="J118" i="2"/>
  <c r="J116" i="2"/>
  <c r="L113" i="2"/>
  <c r="F112" i="2"/>
  <c r="F111" i="2"/>
  <c r="F110" i="2"/>
  <c r="F109" i="2"/>
  <c r="F103" i="2"/>
  <c r="K101" i="2"/>
  <c r="Y203" i="3"/>
  <c r="F66" i="4"/>
  <c r="D66" i="4"/>
  <c r="L66" i="4"/>
  <c r="L63" i="4"/>
  <c r="M63" i="4"/>
  <c r="E61" i="4"/>
  <c r="D61" i="4"/>
  <c r="E58" i="4"/>
  <c r="D58" i="4"/>
  <c r="F57" i="4"/>
  <c r="R45" i="3"/>
  <c r="F56" i="4"/>
  <c r="Y119" i="2" l="1"/>
  <c r="J60" i="2"/>
  <c r="F60" i="2"/>
  <c r="J59" i="2" l="1"/>
  <c r="K59" i="2"/>
  <c r="L58" i="2"/>
  <c r="F58" i="2"/>
  <c r="F32" i="3" l="1"/>
  <c r="L53" i="2" l="1"/>
  <c r="K53" i="2"/>
  <c r="Q57" i="2"/>
  <c r="K57" i="2"/>
  <c r="K56" i="2"/>
  <c r="J56" i="2"/>
  <c r="K55" i="2"/>
  <c r="J55" i="2"/>
  <c r="F40" i="4"/>
  <c r="L40" i="4"/>
  <c r="Z54" i="2" l="1"/>
  <c r="K54" i="2"/>
  <c r="X44" i="2" l="1"/>
  <c r="X45" i="2"/>
  <c r="X46" i="2"/>
  <c r="X47" i="2"/>
  <c r="X48" i="2"/>
  <c r="X49" i="2"/>
  <c r="X50" i="2"/>
  <c r="E52" i="2"/>
  <c r="D52" i="2"/>
  <c r="F52" i="2"/>
  <c r="K50" i="2"/>
  <c r="J50" i="2"/>
  <c r="K28" i="1"/>
  <c r="K49" i="2"/>
  <c r="R49" i="2" s="1"/>
  <c r="Y49" i="2" s="1"/>
  <c r="K48" i="2"/>
  <c r="F48" i="2"/>
  <c r="F21" i="4"/>
  <c r="X20" i="3"/>
  <c r="Z47" i="2"/>
  <c r="K47" i="2"/>
  <c r="R47" i="2" s="1"/>
  <c r="L46" i="2"/>
  <c r="F46" i="2"/>
  <c r="R46" i="2" s="1"/>
  <c r="K45" i="2"/>
  <c r="J45" i="2"/>
  <c r="R45" i="2" s="1"/>
  <c r="Y45" i="2" s="1"/>
  <c r="F44" i="2"/>
  <c r="L44" i="2"/>
  <c r="R48" i="2" l="1"/>
  <c r="Y48" i="2" s="1"/>
  <c r="R50" i="2"/>
  <c r="Y50" i="2" s="1"/>
  <c r="Y46" i="2"/>
  <c r="R44" i="2"/>
  <c r="Y44" i="2" s="1"/>
  <c r="Y47" i="2"/>
  <c r="Z51" i="2"/>
  <c r="L51" i="2"/>
  <c r="U42" i="2" l="1"/>
  <c r="Q27" i="1"/>
  <c r="K41" i="2" l="1"/>
  <c r="L40" i="2"/>
  <c r="F26" i="1"/>
  <c r="L25" i="1"/>
  <c r="H25" i="1"/>
  <c r="L39" i="4" l="1"/>
  <c r="L31" i="3"/>
  <c r="H31" i="3"/>
  <c r="J39" i="2" l="1"/>
  <c r="K39" i="2"/>
  <c r="Z38" i="2"/>
  <c r="D24" i="1"/>
  <c r="D23" i="1"/>
  <c r="Z37" i="2"/>
  <c r="Z36" i="2"/>
  <c r="D21" i="1"/>
  <c r="Z35" i="2"/>
  <c r="D20" i="4"/>
  <c r="E20" i="4"/>
  <c r="X19" i="3"/>
  <c r="D20" i="1"/>
  <c r="Z34" i="2"/>
  <c r="G32" i="2"/>
  <c r="I19" i="1"/>
  <c r="E34" i="4" l="1"/>
  <c r="D34" i="4"/>
  <c r="F30" i="3"/>
  <c r="L33" i="4"/>
  <c r="F33" i="4"/>
  <c r="E19" i="4" l="1"/>
  <c r="D19" i="4"/>
  <c r="X18" i="3"/>
  <c r="Z33" i="2"/>
  <c r="K33" i="2"/>
  <c r="Z31" i="2"/>
  <c r="K31" i="2"/>
  <c r="L30" i="2"/>
  <c r="K30" i="2"/>
  <c r="K29" i="2"/>
  <c r="J29" i="2"/>
  <c r="F29" i="2"/>
  <c r="E29" i="2"/>
  <c r="D29" i="2"/>
  <c r="L28" i="2"/>
  <c r="K28" i="2"/>
  <c r="J28" i="2"/>
  <c r="F28" i="2"/>
  <c r="E28" i="2"/>
  <c r="D28" i="2"/>
  <c r="L27" i="2"/>
  <c r="K27" i="2"/>
  <c r="F27" i="2"/>
  <c r="X24" i="2"/>
  <c r="Z24" i="2"/>
  <c r="F24" i="2"/>
  <c r="R24" i="2" s="1"/>
  <c r="Z23" i="2" l="1"/>
  <c r="F23" i="2"/>
  <c r="R23" i="2" s="1"/>
  <c r="Z22" i="2"/>
  <c r="F22" i="2"/>
  <c r="Z21" i="2"/>
  <c r="F21" i="2"/>
  <c r="X23" i="2"/>
  <c r="Y23" i="2" l="1"/>
  <c r="F26" i="2"/>
  <c r="H18" i="1"/>
  <c r="M25" i="2"/>
  <c r="K25" i="2"/>
  <c r="F20" i="2"/>
  <c r="J20" i="2"/>
  <c r="I20" i="2"/>
  <c r="F19" i="2"/>
  <c r="L19" i="2"/>
  <c r="F18" i="2"/>
  <c r="M18" i="2"/>
  <c r="H17" i="1"/>
  <c r="D17" i="1"/>
  <c r="L32" i="4" l="1"/>
  <c r="F32" i="4"/>
  <c r="U45" i="4" l="1"/>
  <c r="V45" i="4"/>
  <c r="W45" i="4"/>
  <c r="T45" i="4"/>
  <c r="X45" i="4" s="1"/>
  <c r="N45" i="4"/>
  <c r="O45" i="4"/>
  <c r="P45" i="4"/>
  <c r="Q45" i="4"/>
  <c r="L45" i="4"/>
  <c r="M45" i="4"/>
  <c r="G45" i="4"/>
  <c r="H45" i="4"/>
  <c r="I45" i="4"/>
  <c r="J45" i="4"/>
  <c r="K45" i="4"/>
  <c r="F45" i="4"/>
  <c r="E45" i="4"/>
  <c r="D45" i="4"/>
  <c r="X41" i="4"/>
  <c r="R41" i="4"/>
  <c r="Y41" i="4" s="1"/>
  <c r="X61" i="2"/>
  <c r="R61" i="2"/>
  <c r="U33" i="1"/>
  <c r="O33" i="1"/>
  <c r="W33" i="1" s="1"/>
  <c r="R87" i="2"/>
  <c r="X83" i="2"/>
  <c r="R83" i="2"/>
  <c r="X72" i="2"/>
  <c r="X73" i="2"/>
  <c r="X74" i="2"/>
  <c r="R72" i="2"/>
  <c r="R73" i="2"/>
  <c r="R74" i="2"/>
  <c r="X69" i="2"/>
  <c r="X70" i="2"/>
  <c r="R69" i="2"/>
  <c r="R70" i="2"/>
  <c r="X64" i="2"/>
  <c r="X65" i="2"/>
  <c r="R64" i="2"/>
  <c r="R65" i="2"/>
  <c r="H40" i="3"/>
  <c r="R27" i="4"/>
  <c r="X28" i="3"/>
  <c r="R71" i="2"/>
  <c r="X71" i="2"/>
  <c r="U34" i="1"/>
  <c r="O34" i="1"/>
  <c r="W34" i="1" s="1"/>
  <c r="R86" i="2"/>
  <c r="R84" i="2"/>
  <c r="U33" i="3"/>
  <c r="U34" i="3"/>
  <c r="U35" i="3"/>
  <c r="U36" i="3"/>
  <c r="U37" i="3"/>
  <c r="U38" i="3"/>
  <c r="O33" i="3"/>
  <c r="O34" i="3"/>
  <c r="O35" i="3"/>
  <c r="O36" i="3"/>
  <c r="O37" i="3"/>
  <c r="O38" i="3"/>
  <c r="O32" i="3"/>
  <c r="R68" i="2"/>
  <c r="R67" i="2"/>
  <c r="R66" i="2"/>
  <c r="R63" i="2"/>
  <c r="R57" i="2"/>
  <c r="R62" i="2"/>
  <c r="O31" i="1"/>
  <c r="R58" i="2"/>
  <c r="R56" i="2"/>
  <c r="R55" i="2"/>
  <c r="U29" i="1"/>
  <c r="X50" i="4"/>
  <c r="R50" i="4"/>
  <c r="Y50" i="4" s="1"/>
  <c r="X98" i="2"/>
  <c r="R98" i="2"/>
  <c r="R63" i="4"/>
  <c r="F69" i="4"/>
  <c r="R123" i="2"/>
  <c r="R138" i="2"/>
  <c r="R139" i="2"/>
  <c r="R140" i="2"/>
  <c r="R141" i="2"/>
  <c r="R142" i="2"/>
  <c r="R143" i="2"/>
  <c r="R144" i="2"/>
  <c r="R137" i="2"/>
  <c r="R136" i="2"/>
  <c r="R129" i="2"/>
  <c r="R126" i="2"/>
  <c r="R125" i="2"/>
  <c r="R121" i="2"/>
  <c r="R120" i="2"/>
  <c r="L146" i="2"/>
  <c r="M146" i="2"/>
  <c r="R116" i="2"/>
  <c r="R115" i="2"/>
  <c r="X114" i="2"/>
  <c r="R114" i="2"/>
  <c r="R112" i="2"/>
  <c r="R111" i="2"/>
  <c r="R110" i="2"/>
  <c r="I146" i="2"/>
  <c r="F40" i="3"/>
  <c r="R32" i="4"/>
  <c r="O22" i="1"/>
  <c r="R54" i="2"/>
  <c r="E96" i="2"/>
  <c r="R21" i="4"/>
  <c r="U27" i="1"/>
  <c r="O27" i="1"/>
  <c r="X41" i="2"/>
  <c r="R41" i="2"/>
  <c r="R20" i="4"/>
  <c r="X37" i="2"/>
  <c r="R37" i="2"/>
  <c r="U23" i="1"/>
  <c r="O23" i="1"/>
  <c r="W23" i="1" s="1"/>
  <c r="R32" i="2"/>
  <c r="R31" i="2"/>
  <c r="R30" i="2"/>
  <c r="U21" i="1"/>
  <c r="U22" i="1"/>
  <c r="O21" i="1"/>
  <c r="R28" i="2"/>
  <c r="X28" i="2"/>
  <c r="X29" i="2"/>
  <c r="X30" i="2"/>
  <c r="X31" i="2"/>
  <c r="X32" i="2"/>
  <c r="R29" i="2"/>
  <c r="I42" i="1"/>
  <c r="R19" i="4"/>
  <c r="F30" i="4"/>
  <c r="F48" i="4" s="1"/>
  <c r="R25" i="2"/>
  <c r="O20" i="1"/>
  <c r="U20" i="1"/>
  <c r="U19" i="1"/>
  <c r="H42" i="1"/>
  <c r="Q96" i="2"/>
  <c r="R53" i="2"/>
  <c r="V96" i="2"/>
  <c r="R42" i="1"/>
  <c r="R43" i="2"/>
  <c r="X43" i="2"/>
  <c r="O24" i="1"/>
  <c r="R38" i="2"/>
  <c r="R36" i="2"/>
  <c r="R35" i="2"/>
  <c r="R33" i="2"/>
  <c r="R19" i="2"/>
  <c r="U26" i="1"/>
  <c r="O17" i="1"/>
  <c r="U18" i="1"/>
  <c r="O18" i="1"/>
  <c r="K42" i="1"/>
  <c r="U96" i="2"/>
  <c r="W96" i="2"/>
  <c r="T96" i="2"/>
  <c r="AA568" i="2"/>
  <c r="H96" i="2"/>
  <c r="I96" i="2"/>
  <c r="M96" i="2"/>
  <c r="N96" i="2"/>
  <c r="O96" i="2"/>
  <c r="P96" i="2"/>
  <c r="O30" i="3"/>
  <c r="R35" i="4"/>
  <c r="R36" i="4"/>
  <c r="Y36" i="4" s="1"/>
  <c r="R37" i="4"/>
  <c r="R38" i="4"/>
  <c r="R39" i="4"/>
  <c r="X34" i="4"/>
  <c r="X35" i="4"/>
  <c r="X36" i="4"/>
  <c r="X37" i="4"/>
  <c r="X38" i="4"/>
  <c r="X39" i="4"/>
  <c r="X40" i="4"/>
  <c r="R89" i="2"/>
  <c r="X22" i="4"/>
  <c r="X23" i="4"/>
  <c r="X24" i="4"/>
  <c r="X25" i="4"/>
  <c r="X26" i="4"/>
  <c r="R22" i="4"/>
  <c r="Y22" i="4" s="1"/>
  <c r="R23" i="4"/>
  <c r="R24" i="4"/>
  <c r="R25" i="4"/>
  <c r="R26" i="4"/>
  <c r="Y26" i="4" s="1"/>
  <c r="R28" i="4"/>
  <c r="O21" i="3"/>
  <c r="O22" i="3"/>
  <c r="O23" i="3"/>
  <c r="O24" i="3"/>
  <c r="O25" i="3"/>
  <c r="U21" i="3"/>
  <c r="W21" i="3" s="1"/>
  <c r="U22" i="3"/>
  <c r="U23" i="3"/>
  <c r="U24" i="3"/>
  <c r="U25" i="3"/>
  <c r="W25" i="3" s="1"/>
  <c r="U18" i="3"/>
  <c r="U19" i="3"/>
  <c r="R80" i="2"/>
  <c r="R82" i="2"/>
  <c r="R88" i="2"/>
  <c r="R90" i="2"/>
  <c r="R91" i="2"/>
  <c r="R92" i="2"/>
  <c r="R93" i="2"/>
  <c r="X80" i="2"/>
  <c r="X81" i="2"/>
  <c r="X82" i="2"/>
  <c r="Y82" i="2" s="1"/>
  <c r="X84" i="2"/>
  <c r="Y84" i="2" s="1"/>
  <c r="X85" i="2"/>
  <c r="X86" i="2"/>
  <c r="X87" i="2"/>
  <c r="X88" i="2"/>
  <c r="X89" i="2"/>
  <c r="X90" i="2"/>
  <c r="X91" i="2"/>
  <c r="X92" i="2"/>
  <c r="Y92" i="2" s="1"/>
  <c r="X93" i="2"/>
  <c r="E30" i="4"/>
  <c r="E48" i="4" s="1"/>
  <c r="O26" i="1"/>
  <c r="X26" i="2"/>
  <c r="X27" i="2"/>
  <c r="U24" i="1"/>
  <c r="U25" i="1"/>
  <c r="R26" i="2"/>
  <c r="R27" i="2"/>
  <c r="X66" i="2"/>
  <c r="X67" i="2"/>
  <c r="X68" i="2"/>
  <c r="X55" i="2"/>
  <c r="X56" i="2"/>
  <c r="X57" i="2"/>
  <c r="X58" i="2"/>
  <c r="Y58" i="2" s="1"/>
  <c r="X59" i="2"/>
  <c r="X60" i="2"/>
  <c r="X62" i="2"/>
  <c r="X63" i="2"/>
  <c r="Y63" i="2" s="1"/>
  <c r="X75" i="2"/>
  <c r="X76" i="2"/>
  <c r="X77" i="2"/>
  <c r="X78" i="2"/>
  <c r="X53" i="2"/>
  <c r="X54" i="2"/>
  <c r="R59" i="2"/>
  <c r="R75" i="2"/>
  <c r="Y75" i="2" s="1"/>
  <c r="R77" i="2"/>
  <c r="O37" i="1"/>
  <c r="W37" i="1" s="1"/>
  <c r="O38" i="1"/>
  <c r="O39" i="1"/>
  <c r="U37" i="1"/>
  <c r="U38" i="1"/>
  <c r="U39" i="1"/>
  <c r="U35" i="1"/>
  <c r="U36" i="1"/>
  <c r="U31" i="1"/>
  <c r="U32" i="1"/>
  <c r="O29" i="1"/>
  <c r="O30" i="1"/>
  <c r="O32" i="1"/>
  <c r="O35" i="1"/>
  <c r="O36" i="1"/>
  <c r="R52" i="2"/>
  <c r="R42" i="2"/>
  <c r="O28" i="1"/>
  <c r="R156" i="4"/>
  <c r="Y156" i="4" s="1"/>
  <c r="X156" i="4"/>
  <c r="R157" i="4"/>
  <c r="X157" i="4"/>
  <c r="Z565" i="2"/>
  <c r="F565" i="2"/>
  <c r="R557" i="2"/>
  <c r="K565" i="2"/>
  <c r="U148" i="3"/>
  <c r="G151" i="3"/>
  <c r="F174" i="4"/>
  <c r="R170" i="4"/>
  <c r="X552" i="2"/>
  <c r="O201" i="1"/>
  <c r="R549" i="2"/>
  <c r="N565" i="2"/>
  <c r="R547" i="2"/>
  <c r="H218" i="1"/>
  <c r="F218" i="1"/>
  <c r="R181" i="4"/>
  <c r="G174" i="4"/>
  <c r="R545" i="2"/>
  <c r="M184" i="4"/>
  <c r="X179" i="4"/>
  <c r="X180" i="4"/>
  <c r="X181" i="4"/>
  <c r="X182" i="4"/>
  <c r="R179" i="4"/>
  <c r="Y179" i="4" s="1"/>
  <c r="R178" i="4"/>
  <c r="O149" i="3"/>
  <c r="O147" i="3"/>
  <c r="D184" i="4"/>
  <c r="R539" i="2"/>
  <c r="U193" i="1"/>
  <c r="O193" i="1"/>
  <c r="K218" i="1"/>
  <c r="X532" i="2"/>
  <c r="R532" i="2"/>
  <c r="R527" i="2"/>
  <c r="M565" i="2"/>
  <c r="R524" i="2"/>
  <c r="O191" i="1"/>
  <c r="R522" i="2"/>
  <c r="J565" i="2"/>
  <c r="F184" i="4"/>
  <c r="F187" i="4" s="1"/>
  <c r="L565" i="2"/>
  <c r="X513" i="2"/>
  <c r="R513" i="2"/>
  <c r="R512" i="2"/>
  <c r="X511" i="2"/>
  <c r="X512" i="2"/>
  <c r="R511" i="2"/>
  <c r="R510" i="2"/>
  <c r="X509" i="2"/>
  <c r="X510" i="2"/>
  <c r="R509" i="2"/>
  <c r="X515" i="2"/>
  <c r="R515" i="2"/>
  <c r="X514" i="2"/>
  <c r="R514" i="2"/>
  <c r="W565" i="2"/>
  <c r="U565" i="2"/>
  <c r="T565" i="2"/>
  <c r="Q565" i="2"/>
  <c r="P565" i="2"/>
  <c r="O565" i="2"/>
  <c r="I565" i="2"/>
  <c r="H565" i="2"/>
  <c r="D565" i="2"/>
  <c r="X563" i="2"/>
  <c r="R563" i="2"/>
  <c r="X562" i="2"/>
  <c r="R562" i="2"/>
  <c r="X561" i="2"/>
  <c r="R561" i="2"/>
  <c r="X560" i="2"/>
  <c r="R560" i="2"/>
  <c r="X559" i="2"/>
  <c r="R559" i="2"/>
  <c r="X558" i="2"/>
  <c r="X557" i="2"/>
  <c r="X556" i="2"/>
  <c r="R556" i="2"/>
  <c r="X555" i="2"/>
  <c r="R555" i="2"/>
  <c r="X554" i="2"/>
  <c r="R554" i="2"/>
  <c r="X553" i="2"/>
  <c r="R552" i="2"/>
  <c r="X551" i="2"/>
  <c r="R551" i="2"/>
  <c r="X550" i="2"/>
  <c r="R550" i="2"/>
  <c r="X549" i="2"/>
  <c r="X548" i="2"/>
  <c r="X547" i="2"/>
  <c r="X546" i="2"/>
  <c r="R546" i="2"/>
  <c r="X545" i="2"/>
  <c r="X544" i="2"/>
  <c r="X543" i="2"/>
  <c r="R543" i="2"/>
  <c r="X542" i="2"/>
  <c r="R542" i="2"/>
  <c r="X541" i="2"/>
  <c r="R541" i="2"/>
  <c r="X540" i="2"/>
  <c r="R540" i="2"/>
  <c r="X539" i="2"/>
  <c r="X538" i="2"/>
  <c r="R538" i="2"/>
  <c r="X537" i="2"/>
  <c r="R537" i="2"/>
  <c r="X536" i="2"/>
  <c r="R536" i="2"/>
  <c r="X535" i="2"/>
  <c r="R535" i="2"/>
  <c r="X534" i="2"/>
  <c r="R534" i="2"/>
  <c r="X533" i="2"/>
  <c r="R533" i="2"/>
  <c r="X531" i="2"/>
  <c r="R531" i="2"/>
  <c r="X530" i="2"/>
  <c r="X529" i="2"/>
  <c r="R529" i="2"/>
  <c r="X528" i="2"/>
  <c r="R528" i="2"/>
  <c r="X527" i="2"/>
  <c r="X526" i="2"/>
  <c r="R526" i="2"/>
  <c r="X525" i="2"/>
  <c r="X524" i="2"/>
  <c r="X523" i="2"/>
  <c r="R523" i="2"/>
  <c r="X522" i="2"/>
  <c r="X521" i="2"/>
  <c r="R521" i="2"/>
  <c r="X520" i="2"/>
  <c r="X519" i="2"/>
  <c r="R519" i="2"/>
  <c r="X518" i="2"/>
  <c r="R518" i="2"/>
  <c r="X517" i="2"/>
  <c r="R517" i="2"/>
  <c r="X516" i="2"/>
  <c r="R516" i="2"/>
  <c r="Y516" i="2" s="1"/>
  <c r="U211" i="1"/>
  <c r="U212" i="1"/>
  <c r="U213" i="1"/>
  <c r="U214" i="1"/>
  <c r="U203" i="1"/>
  <c r="U204" i="1"/>
  <c r="U205" i="1"/>
  <c r="U206" i="1"/>
  <c r="U207" i="1"/>
  <c r="U208" i="1"/>
  <c r="U209" i="1"/>
  <c r="U210" i="1"/>
  <c r="U192" i="1"/>
  <c r="U194" i="1"/>
  <c r="U195" i="1"/>
  <c r="U196" i="1"/>
  <c r="U197" i="1"/>
  <c r="U198" i="1"/>
  <c r="U199" i="1"/>
  <c r="U200" i="1"/>
  <c r="U201" i="1"/>
  <c r="U202" i="1"/>
  <c r="U191" i="1"/>
  <c r="W191" i="1" s="1"/>
  <c r="U190" i="1"/>
  <c r="T218" i="1"/>
  <c r="S218" i="1"/>
  <c r="R218" i="1"/>
  <c r="Q218" i="1"/>
  <c r="N218" i="1"/>
  <c r="M218" i="1"/>
  <c r="L218" i="1"/>
  <c r="J218" i="1"/>
  <c r="I218" i="1"/>
  <c r="G218" i="1"/>
  <c r="E218" i="1"/>
  <c r="U216" i="1"/>
  <c r="O216" i="1"/>
  <c r="O214" i="1"/>
  <c r="O213" i="1"/>
  <c r="O212" i="1"/>
  <c r="O211" i="1"/>
  <c r="W211" i="1" s="1"/>
  <c r="O210" i="1"/>
  <c r="O209" i="1"/>
  <c r="O208" i="1"/>
  <c r="O207" i="1"/>
  <c r="W207" i="1" s="1"/>
  <c r="O206" i="1"/>
  <c r="O205" i="1"/>
  <c r="O204" i="1"/>
  <c r="O203" i="1"/>
  <c r="W203" i="1" s="1"/>
  <c r="O202" i="1"/>
  <c r="W202" i="1" s="1"/>
  <c r="O200" i="1"/>
  <c r="O198" i="1"/>
  <c r="O197" i="1"/>
  <c r="W197" i="1" s="1"/>
  <c r="O196" i="1"/>
  <c r="O195" i="1"/>
  <c r="O192" i="1"/>
  <c r="O190" i="1"/>
  <c r="X453" i="2"/>
  <c r="R453" i="2"/>
  <c r="F506" i="2"/>
  <c r="Z506" i="2"/>
  <c r="R450" i="2"/>
  <c r="X450" i="2"/>
  <c r="R449" i="2"/>
  <c r="X449" i="2"/>
  <c r="U159" i="1"/>
  <c r="O159" i="1"/>
  <c r="R448" i="2"/>
  <c r="X448" i="2"/>
  <c r="U160" i="1"/>
  <c r="D187" i="1"/>
  <c r="X124" i="3"/>
  <c r="Q506" i="2"/>
  <c r="J506" i="2"/>
  <c r="R154" i="4"/>
  <c r="F161" i="4"/>
  <c r="R443" i="2"/>
  <c r="X442" i="2"/>
  <c r="X443" i="2"/>
  <c r="D506" i="2"/>
  <c r="R441" i="2"/>
  <c r="R436" i="2"/>
  <c r="R439" i="2"/>
  <c r="R438" i="2"/>
  <c r="R437" i="2"/>
  <c r="E506" i="2"/>
  <c r="X427" i="2"/>
  <c r="X428" i="2"/>
  <c r="R427" i="2"/>
  <c r="X429" i="2"/>
  <c r="R429" i="2"/>
  <c r="R432" i="2"/>
  <c r="R431" i="2"/>
  <c r="R430" i="2"/>
  <c r="R119" i="4"/>
  <c r="Z420" i="2"/>
  <c r="W420" i="2"/>
  <c r="V420" i="2"/>
  <c r="U420" i="2"/>
  <c r="T420" i="2"/>
  <c r="Q420" i="2"/>
  <c r="P420" i="2"/>
  <c r="O420" i="2"/>
  <c r="N420" i="2"/>
  <c r="M420" i="2"/>
  <c r="J420" i="2"/>
  <c r="I420" i="2"/>
  <c r="H420" i="2"/>
  <c r="G420" i="2"/>
  <c r="D420" i="2"/>
  <c r="E420" i="2"/>
  <c r="R402" i="2"/>
  <c r="Y402" i="2" s="1"/>
  <c r="R404" i="2"/>
  <c r="Y404" i="2" s="1"/>
  <c r="R401" i="2"/>
  <c r="Y401" i="2" s="1"/>
  <c r="K420" i="2"/>
  <c r="L420" i="2"/>
  <c r="U138" i="1"/>
  <c r="O138" i="1"/>
  <c r="H152" i="1"/>
  <c r="D152" i="1"/>
  <c r="O131" i="1"/>
  <c r="O97" i="3"/>
  <c r="W97" i="3" s="1"/>
  <c r="O98" i="3"/>
  <c r="U97" i="3"/>
  <c r="U98" i="3"/>
  <c r="U108" i="3"/>
  <c r="O108" i="3"/>
  <c r="X137" i="4"/>
  <c r="R137" i="4"/>
  <c r="Y137" i="4" s="1"/>
  <c r="O107" i="3"/>
  <c r="X133" i="4"/>
  <c r="X134" i="4"/>
  <c r="X135" i="4"/>
  <c r="X136" i="4"/>
  <c r="R133" i="4"/>
  <c r="Y133" i="4" s="1"/>
  <c r="R134" i="4"/>
  <c r="R135" i="4"/>
  <c r="Y135" i="4" s="1"/>
  <c r="R136" i="4"/>
  <c r="Y136" i="4" s="1"/>
  <c r="F140" i="4"/>
  <c r="E140" i="4"/>
  <c r="U107" i="3"/>
  <c r="R132" i="4"/>
  <c r="O130" i="1"/>
  <c r="X121" i="4"/>
  <c r="X122" i="4"/>
  <c r="Y122" i="4" s="1"/>
  <c r="R121" i="4"/>
  <c r="R122" i="4"/>
  <c r="X102" i="3"/>
  <c r="G111" i="3"/>
  <c r="O105" i="3"/>
  <c r="W105" i="3" s="1"/>
  <c r="R131" i="4"/>
  <c r="X131" i="4"/>
  <c r="X132" i="4"/>
  <c r="O128" i="1"/>
  <c r="G134" i="1"/>
  <c r="I398" i="2"/>
  <c r="O125" i="1"/>
  <c r="U122" i="1"/>
  <c r="U123" i="1"/>
  <c r="O123" i="1"/>
  <c r="O122" i="1"/>
  <c r="X352" i="2"/>
  <c r="R352" i="2"/>
  <c r="R118" i="4"/>
  <c r="R359" i="2"/>
  <c r="X345" i="2"/>
  <c r="R345" i="2"/>
  <c r="R351" i="2"/>
  <c r="U118" i="1"/>
  <c r="O118" i="1"/>
  <c r="R350" i="2"/>
  <c r="R349" i="2"/>
  <c r="X347" i="2"/>
  <c r="X348" i="2"/>
  <c r="X349" i="2"/>
  <c r="X350" i="2"/>
  <c r="X351" i="2"/>
  <c r="R347" i="2"/>
  <c r="R354" i="2"/>
  <c r="O120" i="1"/>
  <c r="O121" i="1"/>
  <c r="R353" i="2"/>
  <c r="R358" i="2"/>
  <c r="R355" i="2"/>
  <c r="R356" i="2"/>
  <c r="R357" i="2"/>
  <c r="X355" i="2"/>
  <c r="X356" i="2"/>
  <c r="X357" i="2"/>
  <c r="X358" i="2"/>
  <c r="X359" i="2"/>
  <c r="O119" i="1"/>
  <c r="X338" i="2"/>
  <c r="X339" i="2"/>
  <c r="X340" i="2"/>
  <c r="X341" i="2"/>
  <c r="X342" i="2"/>
  <c r="X343" i="2"/>
  <c r="X344" i="2"/>
  <c r="X346" i="2"/>
  <c r="X353" i="2"/>
  <c r="R346" i="2"/>
  <c r="R344" i="2"/>
  <c r="Y344" i="2" s="1"/>
  <c r="R342" i="2"/>
  <c r="R341" i="2"/>
  <c r="R340" i="2"/>
  <c r="R338" i="2"/>
  <c r="R337" i="2"/>
  <c r="O116" i="1"/>
  <c r="R336" i="2"/>
  <c r="R335" i="2"/>
  <c r="Q398" i="2"/>
  <c r="R322" i="2"/>
  <c r="R321" i="2"/>
  <c r="R320" i="2"/>
  <c r="R319" i="2"/>
  <c r="R309" i="2"/>
  <c r="D398" i="2"/>
  <c r="X308" i="2"/>
  <c r="X309" i="2"/>
  <c r="R308" i="2"/>
  <c r="R318" i="2"/>
  <c r="R317" i="2"/>
  <c r="G398" i="2"/>
  <c r="R316" i="2"/>
  <c r="R315" i="2"/>
  <c r="R314" i="2"/>
  <c r="R313" i="2"/>
  <c r="O115" i="1"/>
  <c r="K134" i="1"/>
  <c r="R311" i="2"/>
  <c r="R310" i="2"/>
  <c r="R307" i="2"/>
  <c r="R306" i="2"/>
  <c r="R301" i="2"/>
  <c r="R300" i="2"/>
  <c r="R297" i="2"/>
  <c r="O109" i="1"/>
  <c r="R296" i="2"/>
  <c r="R295" i="2"/>
  <c r="O108" i="1"/>
  <c r="R290" i="2"/>
  <c r="R287" i="2"/>
  <c r="F92" i="4"/>
  <c r="R74" i="4"/>
  <c r="E92" i="4"/>
  <c r="R100" i="4"/>
  <c r="O53" i="1"/>
  <c r="R189" i="2"/>
  <c r="D92" i="4"/>
  <c r="J110" i="4"/>
  <c r="R98" i="4"/>
  <c r="I110" i="4"/>
  <c r="R97" i="4"/>
  <c r="O72" i="3"/>
  <c r="R96" i="4"/>
  <c r="M110" i="4"/>
  <c r="X94" i="4"/>
  <c r="R94" i="4"/>
  <c r="X176" i="2"/>
  <c r="R176" i="2"/>
  <c r="R172" i="2"/>
  <c r="R167" i="2"/>
  <c r="R182" i="2"/>
  <c r="R181" i="2"/>
  <c r="R180" i="2"/>
  <c r="R179" i="2"/>
  <c r="X179" i="2"/>
  <c r="X180" i="2"/>
  <c r="X181" i="2"/>
  <c r="X182" i="2"/>
  <c r="X170" i="2"/>
  <c r="X178" i="2"/>
  <c r="X171" i="2"/>
  <c r="R171" i="2"/>
  <c r="R163" i="2"/>
  <c r="O52" i="1"/>
  <c r="R161" i="2"/>
  <c r="N92" i="1"/>
  <c r="R160" i="2"/>
  <c r="O49" i="1"/>
  <c r="U49" i="1"/>
  <c r="U50" i="1"/>
  <c r="U51" i="1"/>
  <c r="U52" i="1"/>
  <c r="O48" i="1"/>
  <c r="G92" i="1"/>
  <c r="U48" i="1"/>
  <c r="R157" i="2"/>
  <c r="R156" i="2"/>
  <c r="X156" i="2"/>
  <c r="X157" i="2"/>
  <c r="X158" i="2"/>
  <c r="X159" i="2"/>
  <c r="X160" i="2"/>
  <c r="X161" i="2"/>
  <c r="X162" i="2"/>
  <c r="X163" i="2"/>
  <c r="X164" i="2"/>
  <c r="X165" i="2"/>
  <c r="X166" i="2"/>
  <c r="R154" i="2"/>
  <c r="O47" i="1"/>
  <c r="X153" i="2"/>
  <c r="R153" i="2"/>
  <c r="O54" i="1"/>
  <c r="R187" i="2"/>
  <c r="R186" i="2"/>
  <c r="X175" i="2"/>
  <c r="R175" i="2"/>
  <c r="R178" i="2"/>
  <c r="X183" i="2"/>
  <c r="R183" i="2"/>
  <c r="R184" i="2"/>
  <c r="R177" i="2"/>
  <c r="R173" i="2"/>
  <c r="X169" i="2"/>
  <c r="R168" i="2"/>
  <c r="R151" i="2"/>
  <c r="R150" i="2"/>
  <c r="X53" i="4"/>
  <c r="X238" i="4"/>
  <c r="X237" i="4"/>
  <c r="X235" i="4"/>
  <c r="X234" i="4"/>
  <c r="X233" i="4"/>
  <c r="X232" i="4"/>
  <c r="X231" i="4"/>
  <c r="X230" i="4"/>
  <c r="X229" i="4"/>
  <c r="X228" i="4"/>
  <c r="X227" i="4"/>
  <c r="X226" i="4"/>
  <c r="X225" i="4"/>
  <c r="X224" i="4"/>
  <c r="X223" i="4"/>
  <c r="X222" i="4"/>
  <c r="X221" i="4"/>
  <c r="X219" i="4"/>
  <c r="X218" i="4"/>
  <c r="X217" i="4"/>
  <c r="X216" i="4"/>
  <c r="X215" i="4"/>
  <c r="X214" i="4"/>
  <c r="X213" i="4"/>
  <c r="X212" i="4"/>
  <c r="X211" i="4"/>
  <c r="X210" i="4"/>
  <c r="X209" i="4"/>
  <c r="X208" i="4"/>
  <c r="X207" i="4"/>
  <c r="X206" i="4"/>
  <c r="X205" i="4"/>
  <c r="X204" i="4"/>
  <c r="X203" i="4"/>
  <c r="X200" i="4"/>
  <c r="X199" i="4"/>
  <c r="X198" i="4"/>
  <c r="X196" i="4"/>
  <c r="X195" i="4"/>
  <c r="X194" i="4"/>
  <c r="X193" i="4"/>
  <c r="X192" i="4"/>
  <c r="X191" i="4"/>
  <c r="X190" i="4"/>
  <c r="X189" i="4"/>
  <c r="X178" i="4"/>
  <c r="X177" i="4"/>
  <c r="X176" i="4"/>
  <c r="X172" i="4"/>
  <c r="X171" i="4"/>
  <c r="X170" i="4"/>
  <c r="X169" i="4"/>
  <c r="X168" i="4"/>
  <c r="X155" i="4"/>
  <c r="X154" i="4"/>
  <c r="X148" i="4"/>
  <c r="X147" i="4"/>
  <c r="Y147" i="4" s="1"/>
  <c r="X146" i="4"/>
  <c r="X130" i="4"/>
  <c r="X129" i="4"/>
  <c r="X120" i="4"/>
  <c r="X119" i="4"/>
  <c r="Y119" i="4" s="1"/>
  <c r="X118" i="4"/>
  <c r="Y118" i="4" s="1"/>
  <c r="X113" i="4"/>
  <c r="X112" i="4"/>
  <c r="X111" i="4"/>
  <c r="X106" i="4"/>
  <c r="X105" i="4"/>
  <c r="X104" i="4"/>
  <c r="Y104" i="4" s="1"/>
  <c r="X103" i="4"/>
  <c r="X102" i="4"/>
  <c r="X101" i="4"/>
  <c r="X100" i="4"/>
  <c r="X99" i="4"/>
  <c r="X98" i="4"/>
  <c r="X97" i="4"/>
  <c r="X96" i="4"/>
  <c r="X95" i="4"/>
  <c r="X88" i="4"/>
  <c r="X87" i="4"/>
  <c r="X86" i="4"/>
  <c r="X85" i="4"/>
  <c r="X84" i="4"/>
  <c r="X83" i="4"/>
  <c r="X82" i="4"/>
  <c r="X81" i="4"/>
  <c r="X80" i="4"/>
  <c r="X79" i="4"/>
  <c r="X78" i="4"/>
  <c r="X77" i="4"/>
  <c r="X76" i="4"/>
  <c r="X75" i="4"/>
  <c r="X74" i="4"/>
  <c r="X67" i="4"/>
  <c r="X66" i="4"/>
  <c r="X65" i="4"/>
  <c r="X64" i="4"/>
  <c r="X63" i="4"/>
  <c r="X62" i="4"/>
  <c r="X61" i="4"/>
  <c r="X60" i="4"/>
  <c r="X59" i="4"/>
  <c r="X58" i="4"/>
  <c r="X57" i="4"/>
  <c r="X56" i="4"/>
  <c r="X55" i="4"/>
  <c r="X54" i="4"/>
  <c r="X33" i="4"/>
  <c r="X32" i="4"/>
  <c r="X21" i="4"/>
  <c r="X20" i="4"/>
  <c r="X19" i="4"/>
  <c r="X15" i="4"/>
  <c r="R238" i="4"/>
  <c r="R237" i="4"/>
  <c r="R235" i="4"/>
  <c r="R234" i="4"/>
  <c r="Y234" i="4" s="1"/>
  <c r="R233" i="4"/>
  <c r="R232" i="4"/>
  <c r="R231" i="4"/>
  <c r="R230" i="4"/>
  <c r="Y230" i="4" s="1"/>
  <c r="R229" i="4"/>
  <c r="R228" i="4"/>
  <c r="R227" i="4"/>
  <c r="Y227" i="4" s="1"/>
  <c r="R226" i="4"/>
  <c r="Y226" i="4" s="1"/>
  <c r="R225" i="4"/>
  <c r="R224" i="4"/>
  <c r="R223" i="4"/>
  <c r="R222" i="4"/>
  <c r="Y222" i="4" s="1"/>
  <c r="R221" i="4"/>
  <c r="R219" i="4"/>
  <c r="R218" i="4"/>
  <c r="R217" i="4"/>
  <c r="Y217" i="4" s="1"/>
  <c r="R216" i="4"/>
  <c r="R215" i="4"/>
  <c r="R214" i="4"/>
  <c r="R213" i="4"/>
  <c r="Y213" i="4" s="1"/>
  <c r="R212" i="4"/>
  <c r="R211" i="4"/>
  <c r="R210" i="4"/>
  <c r="R209" i="4"/>
  <c r="Y209" i="4" s="1"/>
  <c r="R208" i="4"/>
  <c r="R207" i="4"/>
  <c r="R206" i="4"/>
  <c r="R205" i="4"/>
  <c r="Y205" i="4" s="1"/>
  <c r="R204" i="4"/>
  <c r="R203" i="4"/>
  <c r="R200" i="4"/>
  <c r="R199" i="4"/>
  <c r="R198" i="4"/>
  <c r="R196" i="4"/>
  <c r="R195" i="4"/>
  <c r="Y195" i="4" s="1"/>
  <c r="R194" i="4"/>
  <c r="Y194" i="4" s="1"/>
  <c r="R193" i="4"/>
  <c r="R192" i="4"/>
  <c r="R191" i="4"/>
  <c r="Y191" i="4" s="1"/>
  <c r="R190" i="4"/>
  <c r="Y190" i="4" s="1"/>
  <c r="R189" i="4"/>
  <c r="R172" i="4"/>
  <c r="R171" i="4"/>
  <c r="R169" i="4"/>
  <c r="Y169" i="4" s="1"/>
  <c r="R155" i="4"/>
  <c r="R148" i="4"/>
  <c r="Y148" i="4" s="1"/>
  <c r="R147" i="4"/>
  <c r="R146" i="4"/>
  <c r="Y145" i="4"/>
  <c r="R130" i="4"/>
  <c r="R129" i="4"/>
  <c r="R120" i="4"/>
  <c r="R113" i="4"/>
  <c r="R112" i="4"/>
  <c r="R111" i="4"/>
  <c r="R106" i="4"/>
  <c r="Y106" i="4" s="1"/>
  <c r="R105" i="4"/>
  <c r="R104" i="4"/>
  <c r="R103" i="4"/>
  <c r="R102" i="4"/>
  <c r="Y102" i="4" s="1"/>
  <c r="R101" i="4"/>
  <c r="R99" i="4"/>
  <c r="Y99" i="4" s="1"/>
  <c r="R88" i="4"/>
  <c r="R87" i="4"/>
  <c r="R86" i="4"/>
  <c r="R85" i="4"/>
  <c r="Y85" i="4" s="1"/>
  <c r="R84" i="4"/>
  <c r="R83" i="4"/>
  <c r="Y83" i="4" s="1"/>
  <c r="R82" i="4"/>
  <c r="R81" i="4"/>
  <c r="R80" i="4"/>
  <c r="Y80" i="4" s="1"/>
  <c r="R79" i="4"/>
  <c r="Y79" i="4" s="1"/>
  <c r="R78" i="4"/>
  <c r="R77" i="4"/>
  <c r="R76" i="4"/>
  <c r="Y76" i="4" s="1"/>
  <c r="R75" i="4"/>
  <c r="R67" i="4"/>
  <c r="R62" i="4"/>
  <c r="R61" i="4"/>
  <c r="R59" i="4"/>
  <c r="Y59" i="4" s="1"/>
  <c r="R56" i="4"/>
  <c r="R55" i="4"/>
  <c r="R54" i="4"/>
  <c r="R53" i="4"/>
  <c r="Y53" i="4" s="1"/>
  <c r="R40" i="4"/>
  <c r="R33" i="4"/>
  <c r="R18" i="4"/>
  <c r="R15" i="4"/>
  <c r="Y15" i="4" s="1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2" i="2"/>
  <c r="X451" i="2"/>
  <c r="X447" i="2"/>
  <c r="X446" i="2"/>
  <c r="X445" i="2"/>
  <c r="X444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6" i="2"/>
  <c r="X422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0" i="2"/>
  <c r="X399" i="2"/>
  <c r="X354" i="2"/>
  <c r="X337" i="2"/>
  <c r="X336" i="2"/>
  <c r="X335" i="2"/>
  <c r="X333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7" i="2"/>
  <c r="X306" i="2"/>
  <c r="X305" i="2"/>
  <c r="X304" i="2"/>
  <c r="X302" i="2"/>
  <c r="X301" i="2"/>
  <c r="X300" i="2"/>
  <c r="X297" i="2"/>
  <c r="X296" i="2"/>
  <c r="X290" i="2"/>
  <c r="X287" i="2"/>
  <c r="X283" i="2"/>
  <c r="X282" i="2"/>
  <c r="X281" i="2"/>
  <c r="X280" i="2"/>
  <c r="X279" i="2"/>
  <c r="X278" i="2"/>
  <c r="X277" i="2"/>
  <c r="X276" i="2"/>
  <c r="X27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17" i="2"/>
  <c r="X216" i="2"/>
  <c r="X215" i="2"/>
  <c r="X214" i="2"/>
  <c r="X210" i="2"/>
  <c r="X209" i="2"/>
  <c r="X208" i="2"/>
  <c r="X207" i="2"/>
  <c r="X206" i="2"/>
  <c r="X205" i="2"/>
  <c r="X204" i="2"/>
  <c r="X203" i="2"/>
  <c r="X200" i="2"/>
  <c r="X199" i="2"/>
  <c r="X198" i="2"/>
  <c r="X197" i="2"/>
  <c r="X196" i="2"/>
  <c r="X195" i="2"/>
  <c r="X192" i="2"/>
  <c r="X191" i="2"/>
  <c r="X190" i="2"/>
  <c r="X189" i="2"/>
  <c r="X188" i="2"/>
  <c r="X187" i="2"/>
  <c r="X186" i="2"/>
  <c r="X185" i="2"/>
  <c r="X184" i="2"/>
  <c r="X177" i="2"/>
  <c r="X172" i="2"/>
  <c r="X168" i="2"/>
  <c r="X167" i="2"/>
  <c r="X155" i="2"/>
  <c r="X154" i="2"/>
  <c r="X152" i="2"/>
  <c r="X151" i="2"/>
  <c r="X150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7" i="2"/>
  <c r="X126" i="2"/>
  <c r="X125" i="2"/>
  <c r="X124" i="2"/>
  <c r="X123" i="2"/>
  <c r="X122" i="2"/>
  <c r="X121" i="2"/>
  <c r="X120" i="2"/>
  <c r="X118" i="2"/>
  <c r="X117" i="2"/>
  <c r="X116" i="2"/>
  <c r="X115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94" i="2"/>
  <c r="X79" i="2"/>
  <c r="X52" i="2"/>
  <c r="X51" i="2"/>
  <c r="X42" i="2"/>
  <c r="Y42" i="2" s="1"/>
  <c r="X40" i="2"/>
  <c r="X39" i="2"/>
  <c r="X38" i="2"/>
  <c r="Y38" i="2" s="1"/>
  <c r="X36" i="2"/>
  <c r="X35" i="2"/>
  <c r="X34" i="2"/>
  <c r="X33" i="2"/>
  <c r="X25" i="2"/>
  <c r="Y25" i="2" s="1"/>
  <c r="X22" i="2"/>
  <c r="X21" i="2"/>
  <c r="X20" i="2"/>
  <c r="X19" i="2"/>
  <c r="Y19" i="2" s="1"/>
  <c r="X18" i="2"/>
  <c r="R504" i="2"/>
  <c r="R503" i="2"/>
  <c r="R502" i="2"/>
  <c r="R501" i="2"/>
  <c r="R500" i="2"/>
  <c r="R499" i="2"/>
  <c r="R498" i="2"/>
  <c r="R497" i="2"/>
  <c r="R496" i="2"/>
  <c r="R495" i="2"/>
  <c r="R494" i="2"/>
  <c r="R493" i="2"/>
  <c r="R492" i="2"/>
  <c r="R491" i="2"/>
  <c r="R490" i="2"/>
  <c r="R489" i="2"/>
  <c r="R488" i="2"/>
  <c r="R487" i="2"/>
  <c r="R486" i="2"/>
  <c r="R485" i="2"/>
  <c r="R484" i="2"/>
  <c r="R483" i="2"/>
  <c r="R482" i="2"/>
  <c r="R481" i="2"/>
  <c r="R480" i="2"/>
  <c r="R479" i="2"/>
  <c r="R478" i="2"/>
  <c r="R477" i="2"/>
  <c r="R476" i="2"/>
  <c r="R475" i="2"/>
  <c r="R474" i="2"/>
  <c r="R473" i="2"/>
  <c r="R472" i="2"/>
  <c r="R471" i="2"/>
  <c r="R470" i="2"/>
  <c r="R469" i="2"/>
  <c r="R468" i="2"/>
  <c r="R467" i="2"/>
  <c r="R466" i="2"/>
  <c r="R465" i="2"/>
  <c r="R464" i="2"/>
  <c r="R463" i="2"/>
  <c r="R462" i="2"/>
  <c r="R461" i="2"/>
  <c r="R460" i="2"/>
  <c r="R459" i="2"/>
  <c r="R458" i="2"/>
  <c r="R457" i="2"/>
  <c r="R456" i="2"/>
  <c r="R455" i="2"/>
  <c r="R454" i="2"/>
  <c r="R452" i="2"/>
  <c r="R451" i="2"/>
  <c r="R447" i="2"/>
  <c r="R446" i="2"/>
  <c r="R445" i="2"/>
  <c r="R440" i="2"/>
  <c r="R422" i="2"/>
  <c r="R419" i="2"/>
  <c r="R418" i="2"/>
  <c r="R417" i="2"/>
  <c r="R416" i="2"/>
  <c r="R415" i="2"/>
  <c r="R414" i="2"/>
  <c r="R413" i="2"/>
  <c r="R412" i="2"/>
  <c r="R411" i="2"/>
  <c r="R410" i="2"/>
  <c r="R409" i="2"/>
  <c r="R408" i="2"/>
  <c r="R407" i="2"/>
  <c r="R406" i="2"/>
  <c r="R405" i="2"/>
  <c r="R399" i="2"/>
  <c r="R283" i="2"/>
  <c r="R282" i="2"/>
  <c r="R281" i="2"/>
  <c r="R280" i="2"/>
  <c r="R279" i="2"/>
  <c r="R278" i="2"/>
  <c r="R277" i="2"/>
  <c r="R276" i="2"/>
  <c r="R274" i="2"/>
  <c r="R273" i="2"/>
  <c r="R232" i="2"/>
  <c r="R231" i="2"/>
  <c r="R230" i="2"/>
  <c r="R229" i="2"/>
  <c r="R228" i="2"/>
  <c r="R227" i="2"/>
  <c r="R226" i="2"/>
  <c r="R225" i="2"/>
  <c r="R224" i="2"/>
  <c r="R223" i="2"/>
  <c r="R222" i="2"/>
  <c r="R221" i="2"/>
  <c r="R217" i="2"/>
  <c r="R216" i="2"/>
  <c r="R215" i="2"/>
  <c r="R214" i="2"/>
  <c r="R210" i="2"/>
  <c r="R209" i="2"/>
  <c r="R208" i="2"/>
  <c r="R207" i="2"/>
  <c r="R206" i="2"/>
  <c r="R205" i="2"/>
  <c r="R204" i="2"/>
  <c r="R203" i="2"/>
  <c r="R200" i="2"/>
  <c r="R199" i="2"/>
  <c r="R198" i="2"/>
  <c r="R197" i="2"/>
  <c r="R196" i="2"/>
  <c r="R195" i="2"/>
  <c r="R192" i="2"/>
  <c r="R191" i="2"/>
  <c r="R190" i="2"/>
  <c r="R185" i="2"/>
  <c r="R133" i="2"/>
  <c r="R132" i="2"/>
  <c r="R131" i="2"/>
  <c r="R130" i="2"/>
  <c r="R124" i="2"/>
  <c r="R122" i="2"/>
  <c r="R108" i="2"/>
  <c r="R106" i="2"/>
  <c r="R104" i="2"/>
  <c r="R102" i="2"/>
  <c r="R94" i="2"/>
  <c r="R79" i="2"/>
  <c r="R51" i="2"/>
  <c r="R40" i="2"/>
  <c r="R39" i="2"/>
  <c r="R34" i="2"/>
  <c r="R15" i="2"/>
  <c r="X15" i="2"/>
  <c r="K146" i="2"/>
  <c r="R101" i="2"/>
  <c r="U45" i="3"/>
  <c r="U44" i="1"/>
  <c r="W44" i="1" s="1"/>
  <c r="R134" i="2"/>
  <c r="R118" i="2"/>
  <c r="G146" i="2"/>
  <c r="E146" i="2"/>
  <c r="R113" i="2"/>
  <c r="R105" i="2"/>
  <c r="R65" i="4"/>
  <c r="R64" i="4"/>
  <c r="M69" i="4"/>
  <c r="R60" i="4"/>
  <c r="Y60" i="4" s="1"/>
  <c r="E69" i="4"/>
  <c r="R58" i="4"/>
  <c r="R20" i="2"/>
  <c r="U146" i="2"/>
  <c r="V146" i="2"/>
  <c r="U17" i="2"/>
  <c r="V17" i="2"/>
  <c r="J220" i="4"/>
  <c r="J239" i="4" s="1"/>
  <c r="J236" i="4"/>
  <c r="T236" i="4"/>
  <c r="U236" i="4"/>
  <c r="T220" i="4"/>
  <c r="U220" i="4"/>
  <c r="T197" i="4"/>
  <c r="U197" i="4"/>
  <c r="T184" i="4"/>
  <c r="U184" i="4"/>
  <c r="T174" i="4"/>
  <c r="U174" i="4"/>
  <c r="U187" i="4" s="1"/>
  <c r="T161" i="4"/>
  <c r="T164" i="4" s="1"/>
  <c r="U161" i="4"/>
  <c r="T152" i="4"/>
  <c r="U152" i="4"/>
  <c r="T69" i="4"/>
  <c r="U69" i="4"/>
  <c r="T92" i="4"/>
  <c r="U92" i="4"/>
  <c r="T110" i="4"/>
  <c r="T114" i="4" s="1"/>
  <c r="U110" i="4"/>
  <c r="T127" i="4"/>
  <c r="U127" i="4"/>
  <c r="T140" i="4"/>
  <c r="U140" i="4"/>
  <c r="T30" i="4"/>
  <c r="U30" i="4"/>
  <c r="U48" i="4" s="1"/>
  <c r="U52" i="4" s="1"/>
  <c r="U71" i="4" s="1"/>
  <c r="U72" i="4" s="1"/>
  <c r="T17" i="4"/>
  <c r="U17" i="4"/>
  <c r="U398" i="2"/>
  <c r="V398" i="2"/>
  <c r="U284" i="2"/>
  <c r="V284" i="2"/>
  <c r="U506" i="2"/>
  <c r="V506" i="2"/>
  <c r="W163" i="3"/>
  <c r="W143" i="3"/>
  <c r="W15" i="3"/>
  <c r="U194" i="3"/>
  <c r="U196" i="3" s="1"/>
  <c r="U193" i="3"/>
  <c r="U192" i="3"/>
  <c r="U191" i="3"/>
  <c r="U187" i="3"/>
  <c r="U186" i="3"/>
  <c r="U185" i="3"/>
  <c r="U184" i="3"/>
  <c r="U183" i="3"/>
  <c r="U182" i="3"/>
  <c r="U181" i="3"/>
  <c r="U180" i="3"/>
  <c r="U179" i="3"/>
  <c r="U178" i="3"/>
  <c r="U177" i="3"/>
  <c r="U176" i="3"/>
  <c r="U175" i="3"/>
  <c r="U174" i="3"/>
  <c r="U173" i="3"/>
  <c r="U172" i="3"/>
  <c r="U171" i="3"/>
  <c r="U189" i="3" s="1"/>
  <c r="U170" i="3"/>
  <c r="U166" i="3"/>
  <c r="U162" i="3"/>
  <c r="U161" i="3"/>
  <c r="U160" i="3"/>
  <c r="U159" i="3"/>
  <c r="U158" i="3"/>
  <c r="U157" i="3"/>
  <c r="U156" i="3"/>
  <c r="U149" i="3"/>
  <c r="W149" i="3" s="1"/>
  <c r="U147" i="3"/>
  <c r="U142" i="3"/>
  <c r="U141" i="3"/>
  <c r="U140" i="3"/>
  <c r="U139" i="3"/>
  <c r="U138" i="3"/>
  <c r="U129" i="3"/>
  <c r="U128" i="3"/>
  <c r="U127" i="3"/>
  <c r="U126" i="3"/>
  <c r="W126" i="3" s="1"/>
  <c r="U121" i="3"/>
  <c r="U120" i="3"/>
  <c r="U119" i="3"/>
  <c r="U118" i="3"/>
  <c r="U117" i="3"/>
  <c r="U106" i="3"/>
  <c r="U105" i="3"/>
  <c r="U104" i="3"/>
  <c r="W104" i="3" s="1"/>
  <c r="U96" i="3"/>
  <c r="U95" i="3"/>
  <c r="U88" i="3"/>
  <c r="U74" i="3"/>
  <c r="U73" i="3"/>
  <c r="U72" i="3"/>
  <c r="W72" i="3" s="1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47" i="3"/>
  <c r="U32" i="3"/>
  <c r="U31" i="3"/>
  <c r="U30" i="3"/>
  <c r="U26" i="3"/>
  <c r="W26" i="3" s="1"/>
  <c r="U20" i="3"/>
  <c r="O17" i="3"/>
  <c r="Q16" i="3"/>
  <c r="R16" i="3"/>
  <c r="S16" i="3"/>
  <c r="U14" i="3"/>
  <c r="U16" i="3" s="1"/>
  <c r="O194" i="3"/>
  <c r="O193" i="3"/>
  <c r="W193" i="3" s="1"/>
  <c r="O192" i="3"/>
  <c r="O191" i="3"/>
  <c r="W191" i="3" s="1"/>
  <c r="O187" i="3"/>
  <c r="O186" i="3"/>
  <c r="O185" i="3"/>
  <c r="O184" i="3"/>
  <c r="W184" i="3" s="1"/>
  <c r="O183" i="3"/>
  <c r="O182" i="3"/>
  <c r="O181" i="3"/>
  <c r="O180" i="3"/>
  <c r="O179" i="3"/>
  <c r="O178" i="3"/>
  <c r="W178" i="3" s="1"/>
  <c r="O177" i="3"/>
  <c r="W177" i="3" s="1"/>
  <c r="O176" i="3"/>
  <c r="O175" i="3"/>
  <c r="O174" i="3"/>
  <c r="O173" i="3"/>
  <c r="O172" i="3"/>
  <c r="W172" i="3" s="1"/>
  <c r="O171" i="3"/>
  <c r="O170" i="3"/>
  <c r="O166" i="3"/>
  <c r="O162" i="3"/>
  <c r="O161" i="3"/>
  <c r="O160" i="3"/>
  <c r="W160" i="3" s="1"/>
  <c r="O159" i="3"/>
  <c r="O158" i="3"/>
  <c r="W158" i="3" s="1"/>
  <c r="O157" i="3"/>
  <c r="O156" i="3"/>
  <c r="W156" i="3" s="1"/>
  <c r="O146" i="3"/>
  <c r="O142" i="3"/>
  <c r="O141" i="3"/>
  <c r="W141" i="3" s="1"/>
  <c r="O140" i="3"/>
  <c r="O139" i="3"/>
  <c r="W139" i="3" s="1"/>
  <c r="O138" i="3"/>
  <c r="O129" i="3"/>
  <c r="O128" i="3"/>
  <c r="O127" i="3"/>
  <c r="W127" i="3" s="1"/>
  <c r="O121" i="3"/>
  <c r="W121" i="3" s="1"/>
  <c r="O120" i="3"/>
  <c r="W120" i="3" s="1"/>
  <c r="O119" i="3"/>
  <c r="O118" i="3"/>
  <c r="O117" i="3"/>
  <c r="W117" i="3" s="1"/>
  <c r="O104" i="3"/>
  <c r="O96" i="3"/>
  <c r="W96" i="3" s="1"/>
  <c r="O95" i="3"/>
  <c r="O88" i="3"/>
  <c r="W74" i="3"/>
  <c r="O73" i="3"/>
  <c r="O86" i="3" s="1"/>
  <c r="O67" i="3"/>
  <c r="O66" i="3"/>
  <c r="O65" i="3"/>
  <c r="W65" i="3" s="1"/>
  <c r="O64" i="3"/>
  <c r="O63" i="3"/>
  <c r="O62" i="3"/>
  <c r="O61" i="3"/>
  <c r="O60" i="3"/>
  <c r="O59" i="3"/>
  <c r="O58" i="3"/>
  <c r="O57" i="3"/>
  <c r="W57" i="3" s="1"/>
  <c r="O56" i="3"/>
  <c r="O55" i="3"/>
  <c r="O54" i="3"/>
  <c r="O53" i="3"/>
  <c r="W53" i="3" s="1"/>
  <c r="O52" i="3"/>
  <c r="W52" i="3" s="1"/>
  <c r="O47" i="3"/>
  <c r="O45" i="3"/>
  <c r="O26" i="3"/>
  <c r="O20" i="3"/>
  <c r="W20" i="3" s="1"/>
  <c r="O19" i="3"/>
  <c r="O18" i="3"/>
  <c r="O14" i="3"/>
  <c r="U170" i="1"/>
  <c r="U185" i="1"/>
  <c r="U184" i="1"/>
  <c r="W184" i="1" s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69" i="1"/>
  <c r="U168" i="1"/>
  <c r="U167" i="1"/>
  <c r="U166" i="1"/>
  <c r="U165" i="1"/>
  <c r="U164" i="1"/>
  <c r="U163" i="1"/>
  <c r="U162" i="1"/>
  <c r="U161" i="1"/>
  <c r="U158" i="1"/>
  <c r="U154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6" i="1"/>
  <c r="U109" i="1"/>
  <c r="U131" i="1"/>
  <c r="U130" i="1"/>
  <c r="U129" i="1"/>
  <c r="U128" i="1"/>
  <c r="U127" i="1"/>
  <c r="U126" i="1"/>
  <c r="U125" i="1"/>
  <c r="U120" i="1"/>
  <c r="U121" i="1"/>
  <c r="U119" i="1"/>
  <c r="U117" i="1"/>
  <c r="U116" i="1"/>
  <c r="W116" i="1" s="1"/>
  <c r="U115" i="1"/>
  <c r="U110" i="1"/>
  <c r="U108" i="1"/>
  <c r="W108" i="1" s="1"/>
  <c r="U107" i="1"/>
  <c r="U103" i="1"/>
  <c r="U102" i="1"/>
  <c r="U101" i="1"/>
  <c r="U100" i="1"/>
  <c r="U99" i="1"/>
  <c r="U98" i="1"/>
  <c r="U97" i="1"/>
  <c r="U96" i="1"/>
  <c r="U95" i="1"/>
  <c r="U94" i="1"/>
  <c r="U93" i="1"/>
  <c r="U90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59" i="1"/>
  <c r="U58" i="1"/>
  <c r="U57" i="1"/>
  <c r="U55" i="1"/>
  <c r="U54" i="1"/>
  <c r="U53" i="1"/>
  <c r="U47" i="1"/>
  <c r="U40" i="1"/>
  <c r="U28" i="1"/>
  <c r="U17" i="1"/>
  <c r="O143" i="1"/>
  <c r="O144" i="1"/>
  <c r="O145" i="1"/>
  <c r="O146" i="1"/>
  <c r="O185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58" i="1"/>
  <c r="O154" i="1"/>
  <c r="O150" i="1"/>
  <c r="O149" i="1"/>
  <c r="O148" i="1"/>
  <c r="O147" i="1"/>
  <c r="O142" i="1"/>
  <c r="O141" i="1"/>
  <c r="O140" i="1"/>
  <c r="O139" i="1"/>
  <c r="O103" i="1"/>
  <c r="O102" i="1"/>
  <c r="O101" i="1"/>
  <c r="O100" i="1"/>
  <c r="O99" i="1"/>
  <c r="O98" i="1"/>
  <c r="O97" i="1"/>
  <c r="O96" i="1"/>
  <c r="O95" i="1"/>
  <c r="O94" i="1"/>
  <c r="O93" i="1"/>
  <c r="O90" i="1"/>
  <c r="W90" i="1" s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59" i="1"/>
  <c r="O58" i="1"/>
  <c r="O57" i="1"/>
  <c r="O55" i="1"/>
  <c r="O40" i="1"/>
  <c r="W40" i="1" s="1"/>
  <c r="W151" i="1"/>
  <c r="W91" i="1"/>
  <c r="W15" i="1"/>
  <c r="U14" i="1"/>
  <c r="U16" i="1" s="1"/>
  <c r="O14" i="1"/>
  <c r="D196" i="3"/>
  <c r="F196" i="3"/>
  <c r="G196" i="3"/>
  <c r="X196" i="3"/>
  <c r="D236" i="4"/>
  <c r="D220" i="4"/>
  <c r="D239" i="4" s="1"/>
  <c r="F189" i="3"/>
  <c r="N220" i="4"/>
  <c r="E220" i="4"/>
  <c r="H506" i="2"/>
  <c r="O220" i="4"/>
  <c r="S187" i="1"/>
  <c r="L152" i="1"/>
  <c r="E152" i="1"/>
  <c r="Y16" i="2"/>
  <c r="M152" i="1"/>
  <c r="I152" i="1"/>
  <c r="J152" i="1"/>
  <c r="G152" i="1"/>
  <c r="F197" i="4"/>
  <c r="O174" i="4"/>
  <c r="E174" i="4"/>
  <c r="D174" i="4"/>
  <c r="D187" i="4" s="1"/>
  <c r="W184" i="4"/>
  <c r="V184" i="4"/>
  <c r="Q184" i="4"/>
  <c r="P184" i="4"/>
  <c r="K184" i="4"/>
  <c r="J184" i="4"/>
  <c r="I184" i="4"/>
  <c r="H184" i="4"/>
  <c r="G184" i="4"/>
  <c r="E184" i="4"/>
  <c r="O184" i="4"/>
  <c r="W174" i="4"/>
  <c r="W187" i="4" s="1"/>
  <c r="V174" i="4"/>
  <c r="Q174" i="4"/>
  <c r="P174" i="4"/>
  <c r="N174" i="4"/>
  <c r="M174" i="4"/>
  <c r="M187" i="4" s="1"/>
  <c r="L174" i="4"/>
  <c r="K174" i="4"/>
  <c r="K187" i="4" s="1"/>
  <c r="J174" i="4"/>
  <c r="I174" i="4"/>
  <c r="H174" i="4"/>
  <c r="X151" i="3"/>
  <c r="T151" i="3"/>
  <c r="S151" i="3"/>
  <c r="R151" i="3"/>
  <c r="Q151" i="3"/>
  <c r="N151" i="3"/>
  <c r="M151" i="3"/>
  <c r="L151" i="3"/>
  <c r="K151" i="3"/>
  <c r="J151" i="3"/>
  <c r="I151" i="3"/>
  <c r="H151" i="3"/>
  <c r="F151" i="3"/>
  <c r="D151" i="3"/>
  <c r="E151" i="3"/>
  <c r="T145" i="3"/>
  <c r="S145" i="3"/>
  <c r="S154" i="3" s="1"/>
  <c r="R145" i="3"/>
  <c r="Q145" i="3"/>
  <c r="N145" i="3"/>
  <c r="M145" i="3"/>
  <c r="M154" i="3" s="1"/>
  <c r="L145" i="3"/>
  <c r="K145" i="3"/>
  <c r="J145" i="3"/>
  <c r="I145" i="3"/>
  <c r="I154" i="3" s="1"/>
  <c r="H145" i="3"/>
  <c r="G145" i="3"/>
  <c r="G154" i="3" s="1"/>
  <c r="F145" i="3"/>
  <c r="F154" i="3" s="1"/>
  <c r="E145" i="3"/>
  <c r="E154" i="3" s="1"/>
  <c r="D145" i="3"/>
  <c r="X131" i="3"/>
  <c r="G131" i="3"/>
  <c r="E131" i="3"/>
  <c r="D131" i="3"/>
  <c r="D161" i="4"/>
  <c r="D17" i="2"/>
  <c r="D284" i="2"/>
  <c r="E17" i="2"/>
  <c r="E284" i="2"/>
  <c r="F17" i="2"/>
  <c r="F284" i="2"/>
  <c r="G17" i="2"/>
  <c r="G284" i="2"/>
  <c r="H17" i="2"/>
  <c r="H146" i="2"/>
  <c r="H284" i="2"/>
  <c r="I17" i="2"/>
  <c r="I284" i="2"/>
  <c r="J17" i="2"/>
  <c r="J284" i="2"/>
  <c r="K17" i="2"/>
  <c r="K284" i="2"/>
  <c r="L17" i="2"/>
  <c r="L284" i="2"/>
  <c r="M17" i="2"/>
  <c r="M284" i="2"/>
  <c r="N17" i="2"/>
  <c r="N284" i="2"/>
  <c r="O17" i="2"/>
  <c r="O284" i="2"/>
  <c r="P17" i="2"/>
  <c r="P146" i="2"/>
  <c r="P284" i="2"/>
  <c r="P398" i="2"/>
  <c r="Q17" i="2"/>
  <c r="Q146" i="2"/>
  <c r="Q284" i="2"/>
  <c r="T17" i="2"/>
  <c r="T146" i="2"/>
  <c r="T284" i="2"/>
  <c r="W17" i="2"/>
  <c r="W146" i="2"/>
  <c r="W284" i="2"/>
  <c r="W398" i="2"/>
  <c r="Z17" i="2"/>
  <c r="Z146" i="2"/>
  <c r="Z284" i="2"/>
  <c r="F152" i="4"/>
  <c r="F164" i="4" s="1"/>
  <c r="F124" i="3"/>
  <c r="O161" i="4"/>
  <c r="Q17" i="4"/>
  <c r="Q30" i="4"/>
  <c r="Q69" i="4"/>
  <c r="Q92" i="4"/>
  <c r="Q110" i="4"/>
  <c r="Q127" i="4"/>
  <c r="Q140" i="4"/>
  <c r="Q152" i="4"/>
  <c r="Q161" i="4"/>
  <c r="Q164" i="4" s="1"/>
  <c r="Q197" i="4"/>
  <c r="V17" i="4"/>
  <c r="V30" i="4"/>
  <c r="V48" i="4" s="1"/>
  <c r="V52" i="4" s="1"/>
  <c r="V69" i="4"/>
  <c r="V92" i="4"/>
  <c r="V110" i="4"/>
  <c r="V127" i="4"/>
  <c r="V140" i="4"/>
  <c r="V152" i="4"/>
  <c r="V161" i="4"/>
  <c r="V197" i="4"/>
  <c r="W17" i="4"/>
  <c r="X17" i="4" s="1"/>
  <c r="W30" i="4"/>
  <c r="W48" i="4" s="1"/>
  <c r="W69" i="4"/>
  <c r="W92" i="4"/>
  <c r="W110" i="4"/>
  <c r="W127" i="4"/>
  <c r="W142" i="4" s="1"/>
  <c r="W140" i="4"/>
  <c r="W152" i="4"/>
  <c r="W161" i="4"/>
  <c r="W164" i="4" s="1"/>
  <c r="W197" i="4"/>
  <c r="X197" i="4" s="1"/>
  <c r="D17" i="4"/>
  <c r="E17" i="4"/>
  <c r="F17" i="4"/>
  <c r="G17" i="4"/>
  <c r="G30" i="4"/>
  <c r="G48" i="4" s="1"/>
  <c r="G69" i="4"/>
  <c r="G92" i="4"/>
  <c r="G110" i="4"/>
  <c r="H17" i="4"/>
  <c r="H30" i="4"/>
  <c r="H69" i="4"/>
  <c r="H92" i="4"/>
  <c r="H110" i="4"/>
  <c r="I17" i="4"/>
  <c r="I30" i="4"/>
  <c r="I48" i="4" s="1"/>
  <c r="I69" i="4"/>
  <c r="I92" i="4"/>
  <c r="J17" i="4"/>
  <c r="J48" i="4"/>
  <c r="J92" i="4"/>
  <c r="J114" i="4" s="1"/>
  <c r="K17" i="4"/>
  <c r="K30" i="4"/>
  <c r="K69" i="4"/>
  <c r="K92" i="4"/>
  <c r="K114" i="4" s="1"/>
  <c r="K110" i="4"/>
  <c r="L17" i="4"/>
  <c r="L30" i="4"/>
  <c r="L92" i="4"/>
  <c r="M17" i="4"/>
  <c r="M30" i="4"/>
  <c r="M48" i="4" s="1"/>
  <c r="M92" i="4"/>
  <c r="N17" i="4"/>
  <c r="N30" i="4"/>
  <c r="N69" i="4"/>
  <c r="N92" i="4"/>
  <c r="N110" i="4"/>
  <c r="O17" i="4"/>
  <c r="O30" i="4"/>
  <c r="O48" i="4" s="1"/>
  <c r="O52" i="4" s="1"/>
  <c r="O69" i="4"/>
  <c r="O92" i="4"/>
  <c r="O114" i="4" s="1"/>
  <c r="O110" i="4"/>
  <c r="P17" i="4"/>
  <c r="P30" i="4"/>
  <c r="P69" i="4"/>
  <c r="P92" i="4"/>
  <c r="P110" i="4"/>
  <c r="D140" i="4"/>
  <c r="F127" i="4"/>
  <c r="F142" i="4" s="1"/>
  <c r="G127" i="4"/>
  <c r="G140" i="4"/>
  <c r="H127" i="4"/>
  <c r="H140" i="4"/>
  <c r="I127" i="4"/>
  <c r="I140" i="4"/>
  <c r="J127" i="4"/>
  <c r="J142" i="4" s="1"/>
  <c r="J140" i="4"/>
  <c r="K127" i="4"/>
  <c r="K140" i="4"/>
  <c r="L127" i="4"/>
  <c r="L140" i="4"/>
  <c r="M127" i="4"/>
  <c r="M140" i="4"/>
  <c r="N127" i="4"/>
  <c r="N140" i="4"/>
  <c r="O127" i="4"/>
  <c r="O140" i="4"/>
  <c r="P127" i="4"/>
  <c r="P140" i="4"/>
  <c r="G152" i="4"/>
  <c r="H152" i="4"/>
  <c r="I152" i="4"/>
  <c r="I164" i="4" s="1"/>
  <c r="J152" i="4"/>
  <c r="K152" i="4"/>
  <c r="L152" i="4"/>
  <c r="M152" i="4"/>
  <c r="N152" i="4"/>
  <c r="O152" i="4"/>
  <c r="O164" i="4" s="1"/>
  <c r="P152" i="4"/>
  <c r="G161" i="4"/>
  <c r="G164" i="4" s="1"/>
  <c r="H161" i="4"/>
  <c r="I161" i="4"/>
  <c r="J161" i="4"/>
  <c r="K161" i="4"/>
  <c r="L161" i="4"/>
  <c r="M161" i="4"/>
  <c r="P161" i="4"/>
  <c r="K197" i="4"/>
  <c r="L197" i="4"/>
  <c r="M197" i="4"/>
  <c r="N197" i="4"/>
  <c r="O197" i="4"/>
  <c r="P197" i="4"/>
  <c r="E197" i="4"/>
  <c r="G197" i="4"/>
  <c r="H197" i="4"/>
  <c r="I197" i="4"/>
  <c r="J197" i="4"/>
  <c r="D197" i="4"/>
  <c r="E16" i="3"/>
  <c r="E28" i="3"/>
  <c r="E40" i="3"/>
  <c r="E70" i="3"/>
  <c r="E86" i="3"/>
  <c r="E102" i="3"/>
  <c r="F16" i="3"/>
  <c r="F28" i="3"/>
  <c r="F42" i="3" s="1"/>
  <c r="F43" i="3" s="1"/>
  <c r="F49" i="3" s="1"/>
  <c r="F50" i="3" s="1"/>
  <c r="F70" i="3"/>
  <c r="F102" i="3"/>
  <c r="D16" i="3"/>
  <c r="D28" i="3"/>
  <c r="D42" i="3" s="1"/>
  <c r="D70" i="3"/>
  <c r="D86" i="3"/>
  <c r="D102" i="3"/>
  <c r="D111" i="3"/>
  <c r="D124" i="3"/>
  <c r="G16" i="3"/>
  <c r="G28" i="3"/>
  <c r="G40" i="3"/>
  <c r="G70" i="3"/>
  <c r="G86" i="3"/>
  <c r="G102" i="3"/>
  <c r="G124" i="3"/>
  <c r="H16" i="3"/>
  <c r="H28" i="3"/>
  <c r="H70" i="3"/>
  <c r="H86" i="3"/>
  <c r="H102" i="3"/>
  <c r="H124" i="3"/>
  <c r="H131" i="3"/>
  <c r="H134" i="3" s="1"/>
  <c r="I16" i="3"/>
  <c r="I28" i="3"/>
  <c r="I40" i="3"/>
  <c r="I70" i="3"/>
  <c r="I86" i="3"/>
  <c r="I102" i="3"/>
  <c r="I111" i="3"/>
  <c r="I124" i="3"/>
  <c r="I131" i="3"/>
  <c r="J16" i="3"/>
  <c r="J28" i="3"/>
  <c r="J42" i="3" s="1"/>
  <c r="J43" i="3" s="1"/>
  <c r="J49" i="3" s="1"/>
  <c r="J50" i="3" s="1"/>
  <c r="J40" i="3"/>
  <c r="J70" i="3"/>
  <c r="J86" i="3"/>
  <c r="J102" i="3"/>
  <c r="J111" i="3"/>
  <c r="J114" i="3" s="1"/>
  <c r="J124" i="3"/>
  <c r="J131" i="3"/>
  <c r="K16" i="3"/>
  <c r="K28" i="3"/>
  <c r="K40" i="3"/>
  <c r="K70" i="3"/>
  <c r="K86" i="3"/>
  <c r="K102" i="3"/>
  <c r="K111" i="3"/>
  <c r="K124" i="3"/>
  <c r="K131" i="3"/>
  <c r="L16" i="3"/>
  <c r="L28" i="3"/>
  <c r="L40" i="3"/>
  <c r="L70" i="3"/>
  <c r="L86" i="3"/>
  <c r="L102" i="3"/>
  <c r="L111" i="3"/>
  <c r="L114" i="3" s="1"/>
  <c r="L124" i="3"/>
  <c r="L131" i="3"/>
  <c r="M16" i="3"/>
  <c r="M28" i="3"/>
  <c r="M40" i="3"/>
  <c r="M70" i="3"/>
  <c r="M86" i="3"/>
  <c r="M102" i="3"/>
  <c r="M111" i="3"/>
  <c r="M124" i="3"/>
  <c r="M131" i="3"/>
  <c r="N16" i="3"/>
  <c r="N28" i="3"/>
  <c r="N40" i="3"/>
  <c r="N70" i="3"/>
  <c r="N86" i="3"/>
  <c r="N102" i="3"/>
  <c r="N111" i="3"/>
  <c r="N124" i="3"/>
  <c r="Q42" i="3"/>
  <c r="Q70" i="3"/>
  <c r="Q86" i="3"/>
  <c r="Q102" i="3"/>
  <c r="Q111" i="3"/>
  <c r="Q124" i="3"/>
  <c r="Q131" i="3"/>
  <c r="R42" i="3"/>
  <c r="R70" i="3"/>
  <c r="R86" i="3"/>
  <c r="R102" i="3"/>
  <c r="R111" i="3"/>
  <c r="R114" i="3" s="1"/>
  <c r="R124" i="3"/>
  <c r="R131" i="3"/>
  <c r="S28" i="3"/>
  <c r="S40" i="3"/>
  <c r="S70" i="3"/>
  <c r="S86" i="3"/>
  <c r="S102" i="3"/>
  <c r="S111" i="3"/>
  <c r="S114" i="3" s="1"/>
  <c r="S124" i="3"/>
  <c r="S134" i="3" s="1"/>
  <c r="S131" i="3"/>
  <c r="T16" i="3"/>
  <c r="T28" i="3"/>
  <c r="T40" i="3"/>
  <c r="T70" i="3"/>
  <c r="T86" i="3"/>
  <c r="T102" i="3"/>
  <c r="T111" i="3"/>
  <c r="T124" i="3"/>
  <c r="T131" i="3"/>
  <c r="D164" i="3"/>
  <c r="E164" i="3"/>
  <c r="F164" i="3"/>
  <c r="G164" i="3"/>
  <c r="H164" i="3"/>
  <c r="I164" i="3"/>
  <c r="J164" i="3"/>
  <c r="K164" i="3"/>
  <c r="L164" i="3"/>
  <c r="M164" i="3"/>
  <c r="N164" i="3"/>
  <c r="Q164" i="3"/>
  <c r="R164" i="3"/>
  <c r="S164" i="3"/>
  <c r="T164" i="3"/>
  <c r="X16" i="3"/>
  <c r="X40" i="3"/>
  <c r="X86" i="3"/>
  <c r="X111" i="3"/>
  <c r="X164" i="3"/>
  <c r="S134" i="1"/>
  <c r="N134" i="1"/>
  <c r="T134" i="1"/>
  <c r="S16" i="1"/>
  <c r="S42" i="1"/>
  <c r="S92" i="1"/>
  <c r="M16" i="1"/>
  <c r="M42" i="1"/>
  <c r="M92" i="1"/>
  <c r="M104" i="1"/>
  <c r="N16" i="1"/>
  <c r="N42" i="1"/>
  <c r="N104" i="1"/>
  <c r="R134" i="1"/>
  <c r="R16" i="1"/>
  <c r="R43" i="1" s="1"/>
  <c r="R45" i="1" s="1"/>
  <c r="R46" i="1" s="1"/>
  <c r="R92" i="1"/>
  <c r="R104" i="1"/>
  <c r="T16" i="1"/>
  <c r="T42" i="1"/>
  <c r="T92" i="1"/>
  <c r="T104" i="1"/>
  <c r="E16" i="1"/>
  <c r="E42" i="1"/>
  <c r="E92" i="1"/>
  <c r="E104" i="1"/>
  <c r="F16" i="1"/>
  <c r="F42" i="1"/>
  <c r="F92" i="1"/>
  <c r="F104" i="1"/>
  <c r="L16" i="1"/>
  <c r="L42" i="1"/>
  <c r="L92" i="1"/>
  <c r="L104" i="1"/>
  <c r="J16" i="1"/>
  <c r="J42" i="1"/>
  <c r="J104" i="1"/>
  <c r="D16" i="1"/>
  <c r="D104" i="1"/>
  <c r="G16" i="1"/>
  <c r="G42" i="1"/>
  <c r="G104" i="1"/>
  <c r="H16" i="1"/>
  <c r="H104" i="1"/>
  <c r="I16" i="1"/>
  <c r="I104" i="1"/>
  <c r="K16" i="1"/>
  <c r="K104" i="1"/>
  <c r="Q16" i="1"/>
  <c r="Q42" i="1"/>
  <c r="Q92" i="1"/>
  <c r="Q104" i="1"/>
  <c r="Q134" i="1"/>
  <c r="Q189" i="3"/>
  <c r="Q196" i="3"/>
  <c r="R189" i="3"/>
  <c r="R196" i="3"/>
  <c r="Y16" i="4"/>
  <c r="I187" i="1"/>
  <c r="D189" i="3"/>
  <c r="G189" i="3"/>
  <c r="L196" i="3"/>
  <c r="G220" i="4"/>
  <c r="G236" i="4"/>
  <c r="G239" i="4" s="1"/>
  <c r="H220" i="4"/>
  <c r="H236" i="4"/>
  <c r="I236" i="4"/>
  <c r="K220" i="4"/>
  <c r="K236" i="4"/>
  <c r="L220" i="4"/>
  <c r="L236" i="4"/>
  <c r="M220" i="4"/>
  <c r="M236" i="4"/>
  <c r="N236" i="4"/>
  <c r="N239" i="4" s="1"/>
  <c r="O236" i="4"/>
  <c r="O239" i="4" s="1"/>
  <c r="P220" i="4"/>
  <c r="P236" i="4"/>
  <c r="Q220" i="4"/>
  <c r="Q236" i="4"/>
  <c r="Q239" i="4" s="1"/>
  <c r="V220" i="4"/>
  <c r="V236" i="4"/>
  <c r="W220" i="4"/>
  <c r="W236" i="4"/>
  <c r="W239" i="4" s="1"/>
  <c r="L189" i="3"/>
  <c r="H189" i="3"/>
  <c r="H199" i="3" s="1"/>
  <c r="H196" i="3"/>
  <c r="I189" i="3"/>
  <c r="I196" i="3"/>
  <c r="J189" i="3"/>
  <c r="J199" i="3" s="1"/>
  <c r="J196" i="3"/>
  <c r="K189" i="3"/>
  <c r="K196" i="3"/>
  <c r="M189" i="3"/>
  <c r="M196" i="3"/>
  <c r="N189" i="3"/>
  <c r="S189" i="3"/>
  <c r="S196" i="3"/>
  <c r="T189" i="3"/>
  <c r="T196" i="3"/>
  <c r="T199" i="3" s="1"/>
  <c r="G187" i="1"/>
  <c r="H187" i="1"/>
  <c r="J187" i="1"/>
  <c r="K152" i="1"/>
  <c r="K187" i="1"/>
  <c r="N152" i="1"/>
  <c r="Q187" i="1"/>
  <c r="R152" i="1"/>
  <c r="R187" i="1"/>
  <c r="T152" i="1"/>
  <c r="T187" i="1"/>
  <c r="P506" i="2"/>
  <c r="W506" i="2"/>
  <c r="I498" i="3"/>
  <c r="I519" i="1"/>
  <c r="E152" i="4"/>
  <c r="F187" i="1"/>
  <c r="N184" i="4"/>
  <c r="D152" i="4"/>
  <c r="D164" i="4" s="1"/>
  <c r="F236" i="4"/>
  <c r="N161" i="4"/>
  <c r="N164" i="4" s="1"/>
  <c r="E236" i="4"/>
  <c r="D127" i="4"/>
  <c r="O398" i="2"/>
  <c r="N146" i="2"/>
  <c r="T398" i="2"/>
  <c r="O146" i="2"/>
  <c r="N506" i="2"/>
  <c r="I506" i="2"/>
  <c r="M134" i="1"/>
  <c r="E124" i="3"/>
  <c r="N131" i="3"/>
  <c r="X189" i="3"/>
  <c r="X199" i="3" s="1"/>
  <c r="N196" i="3"/>
  <c r="E111" i="3"/>
  <c r="E196" i="3"/>
  <c r="X70" i="3"/>
  <c r="E189" i="3"/>
  <c r="Q152" i="1"/>
  <c r="N187" i="1"/>
  <c r="F152" i="1"/>
  <c r="M187" i="1"/>
  <c r="E134" i="1"/>
  <c r="L187" i="1"/>
  <c r="E187" i="1"/>
  <c r="S152" i="1"/>
  <c r="I220" i="4"/>
  <c r="I239" i="4" s="1"/>
  <c r="F220" i="4"/>
  <c r="T506" i="2"/>
  <c r="M506" i="2"/>
  <c r="G506" i="2"/>
  <c r="X173" i="2"/>
  <c r="L110" i="4"/>
  <c r="D110" i="4"/>
  <c r="D114" i="4" s="1"/>
  <c r="R57" i="4"/>
  <c r="D69" i="4"/>
  <c r="E110" i="4"/>
  <c r="F86" i="3"/>
  <c r="R95" i="4"/>
  <c r="Y95" i="4" s="1"/>
  <c r="F110" i="4"/>
  <c r="R158" i="2"/>
  <c r="O51" i="1"/>
  <c r="O117" i="1"/>
  <c r="O136" i="1"/>
  <c r="K92" i="1"/>
  <c r="O126" i="1"/>
  <c r="O129" i="1"/>
  <c r="L134" i="1"/>
  <c r="D134" i="1"/>
  <c r="I92" i="1"/>
  <c r="F134" i="1"/>
  <c r="O127" i="1"/>
  <c r="J134" i="1"/>
  <c r="I134" i="1"/>
  <c r="J92" i="1"/>
  <c r="H92" i="1"/>
  <c r="D92" i="1"/>
  <c r="O50" i="1"/>
  <c r="W50" i="1" s="1"/>
  <c r="H134" i="1"/>
  <c r="O110" i="1"/>
  <c r="O107" i="1"/>
  <c r="E127" i="4"/>
  <c r="W162" i="3"/>
  <c r="R343" i="2"/>
  <c r="R166" i="2"/>
  <c r="M398" i="2"/>
  <c r="R135" i="2"/>
  <c r="R305" i="2"/>
  <c r="R333" i="2"/>
  <c r="R434" i="2"/>
  <c r="R428" i="2"/>
  <c r="R304" i="2"/>
  <c r="Y304" i="2" s="1"/>
  <c r="J398" i="2"/>
  <c r="R348" i="2"/>
  <c r="R152" i="2"/>
  <c r="R339" i="2"/>
  <c r="R165" i="2"/>
  <c r="D146" i="2"/>
  <c r="R155" i="2"/>
  <c r="R164" i="2"/>
  <c r="R170" i="2"/>
  <c r="R323" i="2"/>
  <c r="R435" i="2"/>
  <c r="R159" i="2"/>
  <c r="R162" i="2"/>
  <c r="R324" i="2"/>
  <c r="R400" i="2"/>
  <c r="R426" i="2"/>
  <c r="R169" i="2"/>
  <c r="K398" i="2"/>
  <c r="R312" i="2"/>
  <c r="R107" i="2"/>
  <c r="L506" i="2"/>
  <c r="R188" i="2"/>
  <c r="R433" i="2"/>
  <c r="F420" i="2"/>
  <c r="K506" i="2"/>
  <c r="F398" i="2"/>
  <c r="L398" i="2"/>
  <c r="N398" i="2"/>
  <c r="E398" i="2"/>
  <c r="H398" i="2"/>
  <c r="Z398" i="2"/>
  <c r="R444" i="2"/>
  <c r="O506" i="2"/>
  <c r="R109" i="2"/>
  <c r="R302" i="2"/>
  <c r="R442" i="2"/>
  <c r="O160" i="1"/>
  <c r="E565" i="2"/>
  <c r="R520" i="2"/>
  <c r="R525" i="2"/>
  <c r="R530" i="2"/>
  <c r="O194" i="1"/>
  <c r="O199" i="1"/>
  <c r="D218" i="1"/>
  <c r="R544" i="2"/>
  <c r="G565" i="2"/>
  <c r="R548" i="2"/>
  <c r="V565" i="2"/>
  <c r="R182" i="4"/>
  <c r="Y182" i="4" s="1"/>
  <c r="F111" i="3"/>
  <c r="F114" i="3" s="1"/>
  <c r="H111" i="3"/>
  <c r="X145" i="3"/>
  <c r="F131" i="3"/>
  <c r="F134" i="3" s="1"/>
  <c r="O126" i="3"/>
  <c r="O148" i="3"/>
  <c r="R553" i="2"/>
  <c r="R558" i="2"/>
  <c r="Y181" i="4"/>
  <c r="Y120" i="4"/>
  <c r="R177" i="4"/>
  <c r="Y177" i="4" s="1"/>
  <c r="R168" i="4"/>
  <c r="R180" i="4"/>
  <c r="E161" i="4"/>
  <c r="Y158" i="4"/>
  <c r="R176" i="4"/>
  <c r="Y176" i="4" s="1"/>
  <c r="L184" i="4"/>
  <c r="Y159" i="4"/>
  <c r="Y153" i="4"/>
  <c r="W180" i="3"/>
  <c r="W170" i="3"/>
  <c r="O106" i="3"/>
  <c r="X134" i="3"/>
  <c r="W176" i="3"/>
  <c r="W129" i="3"/>
  <c r="Y150" i="4"/>
  <c r="O16" i="3"/>
  <c r="W14" i="3"/>
  <c r="W16" i="3" s="1"/>
  <c r="E134" i="3"/>
  <c r="W119" i="3"/>
  <c r="L187" i="4"/>
  <c r="R81" i="2"/>
  <c r="Y81" i="2" s="1"/>
  <c r="V187" i="4"/>
  <c r="D30" i="4"/>
  <c r="Y196" i="4"/>
  <c r="W174" i="3"/>
  <c r="U164" i="3"/>
  <c r="U30" i="1"/>
  <c r="W30" i="1" s="1"/>
  <c r="O25" i="1"/>
  <c r="O31" i="3"/>
  <c r="W31" i="3" s="1"/>
  <c r="N48" i="4"/>
  <c r="Y207" i="4"/>
  <c r="R66" i="4"/>
  <c r="K164" i="4"/>
  <c r="P48" i="4"/>
  <c r="K48" i="4"/>
  <c r="K52" i="4" s="1"/>
  <c r="T48" i="4"/>
  <c r="T52" i="4" s="1"/>
  <c r="T71" i="4" s="1"/>
  <c r="Y112" i="4"/>
  <c r="Y130" i="4"/>
  <c r="Y200" i="4"/>
  <c r="X92" i="4"/>
  <c r="R34" i="4"/>
  <c r="Y34" i="4" s="1"/>
  <c r="L69" i="4"/>
  <c r="U164" i="4"/>
  <c r="X152" i="4"/>
  <c r="U239" i="4"/>
  <c r="Y74" i="4"/>
  <c r="Y32" i="4"/>
  <c r="Y81" i="4"/>
  <c r="Y86" i="4"/>
  <c r="G96" i="2"/>
  <c r="R103" i="2"/>
  <c r="R127" i="2"/>
  <c r="R22" i="2"/>
  <c r="R60" i="2"/>
  <c r="W24" i="3"/>
  <c r="W19" i="3"/>
  <c r="W32" i="3"/>
  <c r="Y77" i="4"/>
  <c r="R78" i="2"/>
  <c r="J96" i="2"/>
  <c r="Y74" i="2"/>
  <c r="Y29" i="2"/>
  <c r="W80" i="1"/>
  <c r="O19" i="1"/>
  <c r="D42" i="1"/>
  <c r="D43" i="1" s="1"/>
  <c r="D45" i="1" s="1"/>
  <c r="D46" i="1" s="1"/>
  <c r="Y27" i="2"/>
  <c r="D96" i="2"/>
  <c r="K96" i="2"/>
  <c r="R117" i="2"/>
  <c r="R21" i="2"/>
  <c r="R18" i="2"/>
  <c r="J146" i="2"/>
  <c r="R76" i="2"/>
  <c r="F96" i="2"/>
  <c r="R85" i="2"/>
  <c r="F146" i="2"/>
  <c r="L96" i="2"/>
  <c r="Z96" i="2"/>
  <c r="D142" i="4" l="1"/>
  <c r="Q142" i="4"/>
  <c r="N142" i="4"/>
  <c r="T142" i="4"/>
  <c r="U111" i="3"/>
  <c r="G114" i="3"/>
  <c r="W108" i="3"/>
  <c r="H114" i="3"/>
  <c r="X398" i="2"/>
  <c r="O102" i="3"/>
  <c r="E142" i="4"/>
  <c r="W125" i="1"/>
  <c r="L142" i="4"/>
  <c r="J90" i="3"/>
  <c r="D90" i="3"/>
  <c r="S90" i="3"/>
  <c r="K90" i="3"/>
  <c r="X90" i="3"/>
  <c r="N42" i="3"/>
  <c r="W47" i="3"/>
  <c r="W88" i="3"/>
  <c r="Y346" i="2"/>
  <c r="Y319" i="2"/>
  <c r="Y341" i="2"/>
  <c r="Y107" i="2"/>
  <c r="Q114" i="4"/>
  <c r="P114" i="4"/>
  <c r="I114" i="4"/>
  <c r="Y98" i="4"/>
  <c r="E114" i="4"/>
  <c r="W114" i="4"/>
  <c r="Y97" i="4"/>
  <c r="M114" i="4"/>
  <c r="X110" i="4"/>
  <c r="Y101" i="4"/>
  <c r="Y105" i="4"/>
  <c r="Y113" i="4"/>
  <c r="Y111" i="4"/>
  <c r="Y94" i="4"/>
  <c r="M239" i="4"/>
  <c r="K239" i="4"/>
  <c r="Y168" i="4"/>
  <c r="I187" i="4"/>
  <c r="Y172" i="4"/>
  <c r="Y189" i="4"/>
  <c r="Y193" i="4"/>
  <c r="Y198" i="4"/>
  <c r="Y204" i="4"/>
  <c r="Y212" i="4"/>
  <c r="Y216" i="4"/>
  <c r="Y221" i="4"/>
  <c r="Y229" i="4"/>
  <c r="Y233" i="4"/>
  <c r="Y238" i="4"/>
  <c r="P164" i="4"/>
  <c r="U142" i="4"/>
  <c r="Y180" i="4"/>
  <c r="G187" i="4"/>
  <c r="N187" i="4"/>
  <c r="H187" i="4"/>
  <c r="Y192" i="4"/>
  <c r="Y237" i="4"/>
  <c r="E164" i="4"/>
  <c r="X184" i="4"/>
  <c r="W138" i="3"/>
  <c r="W118" i="3"/>
  <c r="O164" i="3"/>
  <c r="W164" i="3" s="1"/>
  <c r="J134" i="3"/>
  <c r="H154" i="3"/>
  <c r="L154" i="3"/>
  <c r="R154" i="3"/>
  <c r="G134" i="3"/>
  <c r="E90" i="3"/>
  <c r="N90" i="3"/>
  <c r="O124" i="3"/>
  <c r="E199" i="3"/>
  <c r="S199" i="3"/>
  <c r="L199" i="3"/>
  <c r="G199" i="3"/>
  <c r="J154" i="3"/>
  <c r="W171" i="3"/>
  <c r="W175" i="3"/>
  <c r="W179" i="3"/>
  <c r="W183" i="3"/>
  <c r="W187" i="3"/>
  <c r="W194" i="3"/>
  <c r="U131" i="3"/>
  <c r="W142" i="3"/>
  <c r="W145" i="3" s="1"/>
  <c r="Y407" i="2"/>
  <c r="Y411" i="2"/>
  <c r="Y415" i="2"/>
  <c r="Y419" i="2"/>
  <c r="W74" i="1"/>
  <c r="W78" i="1"/>
  <c r="W129" i="1"/>
  <c r="W193" i="1"/>
  <c r="Y103" i="4"/>
  <c r="W54" i="3"/>
  <c r="W58" i="3"/>
  <c r="W62" i="3"/>
  <c r="W66" i="3"/>
  <c r="T114" i="3"/>
  <c r="T154" i="3"/>
  <c r="W23" i="3"/>
  <c r="I199" i="3"/>
  <c r="M134" i="3"/>
  <c r="K114" i="3"/>
  <c r="I90" i="3"/>
  <c r="I91" i="3" s="1"/>
  <c r="I92" i="3" s="1"/>
  <c r="O131" i="3"/>
  <c r="W95" i="3"/>
  <c r="W166" i="3"/>
  <c r="X114" i="3"/>
  <c r="T90" i="3"/>
  <c r="Q134" i="3"/>
  <c r="Q90" i="3"/>
  <c r="N114" i="3"/>
  <c r="M114" i="3"/>
  <c r="K134" i="3"/>
  <c r="U28" i="3"/>
  <c r="W22" i="3"/>
  <c r="W60" i="3"/>
  <c r="M90" i="3"/>
  <c r="H90" i="3"/>
  <c r="W52" i="1"/>
  <c r="W57" i="1"/>
  <c r="W63" i="1"/>
  <c r="W94" i="1"/>
  <c r="W98" i="1"/>
  <c r="W102" i="1"/>
  <c r="W146" i="1"/>
  <c r="W76" i="1"/>
  <c r="W166" i="1"/>
  <c r="W192" i="1"/>
  <c r="W110" i="1"/>
  <c r="W171" i="1"/>
  <c r="W183" i="1"/>
  <c r="W159" i="1"/>
  <c r="Y133" i="2"/>
  <c r="Y412" i="2"/>
  <c r="Y416" i="2"/>
  <c r="Y422" i="2"/>
  <c r="Y310" i="2"/>
  <c r="U70" i="3"/>
  <c r="F90" i="3"/>
  <c r="F91" i="3" s="1"/>
  <c r="F92" i="3" s="1"/>
  <c r="Y192" i="2"/>
  <c r="Y204" i="2"/>
  <c r="Y215" i="2"/>
  <c r="Y230" i="2"/>
  <c r="L90" i="3"/>
  <c r="W18" i="3"/>
  <c r="O28" i="3"/>
  <c r="W55" i="3"/>
  <c r="W59" i="3"/>
  <c r="W63" i="3"/>
  <c r="W56" i="3"/>
  <c r="W64" i="3"/>
  <c r="R90" i="3"/>
  <c r="W139" i="1"/>
  <c r="W164" i="1"/>
  <c r="W185" i="1"/>
  <c r="W147" i="1"/>
  <c r="W163" i="1"/>
  <c r="W194" i="1"/>
  <c r="W138" i="1"/>
  <c r="Y428" i="2"/>
  <c r="Y53" i="2"/>
  <c r="Y444" i="2"/>
  <c r="W20" i="1"/>
  <c r="W25" i="1"/>
  <c r="W28" i="1"/>
  <c r="V114" i="4"/>
  <c r="W55" i="1"/>
  <c r="W62" i="1"/>
  <c r="W66" i="1"/>
  <c r="W70" i="1"/>
  <c r="W73" i="1"/>
  <c r="W77" i="1"/>
  <c r="X275" i="2"/>
  <c r="Y302" i="2"/>
  <c r="Y525" i="2"/>
  <c r="Y188" i="2"/>
  <c r="Y435" i="2"/>
  <c r="Y434" i="2"/>
  <c r="Y451" i="2"/>
  <c r="Y456" i="2"/>
  <c r="Y460" i="2"/>
  <c r="Y464" i="2"/>
  <c r="Y468" i="2"/>
  <c r="Y472" i="2"/>
  <c r="Y476" i="2"/>
  <c r="Y480" i="2"/>
  <c r="Y484" i="2"/>
  <c r="Y488" i="2"/>
  <c r="Y492" i="2"/>
  <c r="Y496" i="2"/>
  <c r="Y500" i="2"/>
  <c r="Y504" i="2"/>
  <c r="Y432" i="2"/>
  <c r="Y170" i="2"/>
  <c r="Y333" i="2"/>
  <c r="Y406" i="2"/>
  <c r="Y418" i="2"/>
  <c r="Y178" i="2"/>
  <c r="Y59" i="2"/>
  <c r="Y160" i="2"/>
  <c r="R275" i="2"/>
  <c r="Y94" i="2"/>
  <c r="H114" i="4"/>
  <c r="Y150" i="2"/>
  <c r="Y155" i="4"/>
  <c r="R161" i="4"/>
  <c r="L239" i="4"/>
  <c r="O142" i="4"/>
  <c r="M142" i="4"/>
  <c r="K142" i="4"/>
  <c r="G142" i="4"/>
  <c r="P187" i="4"/>
  <c r="E187" i="4"/>
  <c r="Y131" i="4"/>
  <c r="J164" i="4"/>
  <c r="X127" i="4"/>
  <c r="T187" i="4"/>
  <c r="X187" i="4" s="1"/>
  <c r="X236" i="4"/>
  <c r="Y121" i="4"/>
  <c r="X174" i="4"/>
  <c r="H239" i="4"/>
  <c r="R152" i="4"/>
  <c r="Y152" i="4" s="1"/>
  <c r="P142" i="4"/>
  <c r="X140" i="4"/>
  <c r="Y215" i="4"/>
  <c r="Y219" i="4"/>
  <c r="Y224" i="4"/>
  <c r="Y228" i="4"/>
  <c r="Y232" i="4"/>
  <c r="Y134" i="4"/>
  <c r="J52" i="4"/>
  <c r="J71" i="4" s="1"/>
  <c r="J72" i="4" s="1"/>
  <c r="H48" i="4"/>
  <c r="H52" i="4" s="1"/>
  <c r="P52" i="4"/>
  <c r="P71" i="4" s="1"/>
  <c r="P72" i="4" s="1"/>
  <c r="Y64" i="4"/>
  <c r="Y37" i="4"/>
  <c r="Y39" i="4"/>
  <c r="Y35" i="4"/>
  <c r="Q48" i="4"/>
  <c r="Q52" i="4" s="1"/>
  <c r="Q71" i="4" s="1"/>
  <c r="Q72" i="4" s="1"/>
  <c r="Q115" i="4" s="1"/>
  <c r="Q116" i="4" s="1"/>
  <c r="Q143" i="4" s="1"/>
  <c r="Q144" i="4" s="1"/>
  <c r="Q165" i="4" s="1"/>
  <c r="Q166" i="4" s="1"/>
  <c r="Y56" i="4"/>
  <c r="Y67" i="4"/>
  <c r="Q187" i="4"/>
  <c r="Y96" i="4"/>
  <c r="Y132" i="4"/>
  <c r="P115" i="4"/>
  <c r="P116" i="4" s="1"/>
  <c r="F239" i="4"/>
  <c r="L164" i="4"/>
  <c r="H164" i="4"/>
  <c r="G114" i="4"/>
  <c r="X161" i="4"/>
  <c r="R184" i="4"/>
  <c r="Y184" i="4" s="1"/>
  <c r="J187" i="4"/>
  <c r="O187" i="4"/>
  <c r="E239" i="4"/>
  <c r="Y146" i="4"/>
  <c r="Y206" i="4"/>
  <c r="Y210" i="4"/>
  <c r="Y75" i="4"/>
  <c r="Y100" i="4"/>
  <c r="Y235" i="4"/>
  <c r="U114" i="4"/>
  <c r="X114" i="4" s="1"/>
  <c r="P239" i="4"/>
  <c r="J115" i="4"/>
  <c r="J116" i="4" s="1"/>
  <c r="J143" i="4" s="1"/>
  <c r="J144" i="4" s="1"/>
  <c r="V164" i="4"/>
  <c r="X164" i="4" s="1"/>
  <c r="T239" i="4"/>
  <c r="Y78" i="4"/>
  <c r="Y203" i="4"/>
  <c r="Y214" i="4"/>
  <c r="Y218" i="4"/>
  <c r="Y223" i="4"/>
  <c r="Y225" i="4"/>
  <c r="Y178" i="4"/>
  <c r="Y157" i="4"/>
  <c r="M164" i="4"/>
  <c r="I142" i="4"/>
  <c r="N114" i="4"/>
  <c r="Y82" i="4"/>
  <c r="Y171" i="4"/>
  <c r="Y231" i="4"/>
  <c r="Y154" i="4"/>
  <c r="Y170" i="4"/>
  <c r="W34" i="3"/>
  <c r="Q43" i="3"/>
  <c r="Q49" i="3" s="1"/>
  <c r="Q50" i="3" s="1"/>
  <c r="W45" i="3"/>
  <c r="W38" i="3"/>
  <c r="W124" i="3"/>
  <c r="I134" i="3"/>
  <c r="W140" i="3"/>
  <c r="U124" i="3"/>
  <c r="U134" i="3" s="1"/>
  <c r="U145" i="3"/>
  <c r="O189" i="3"/>
  <c r="W128" i="3"/>
  <c r="O111" i="3"/>
  <c r="U151" i="3"/>
  <c r="M199" i="3"/>
  <c r="D199" i="3"/>
  <c r="Q114" i="3"/>
  <c r="N134" i="3"/>
  <c r="D154" i="3"/>
  <c r="K154" i="3"/>
  <c r="N154" i="3"/>
  <c r="W107" i="3"/>
  <c r="O145" i="3"/>
  <c r="O196" i="3"/>
  <c r="T134" i="3"/>
  <c r="I114" i="3"/>
  <c r="F199" i="3"/>
  <c r="W159" i="3"/>
  <c r="W173" i="3"/>
  <c r="W181" i="3"/>
  <c r="W185" i="3"/>
  <c r="U199" i="3"/>
  <c r="N199" i="3"/>
  <c r="R134" i="3"/>
  <c r="G90" i="3"/>
  <c r="Q154" i="3"/>
  <c r="X154" i="3"/>
  <c r="W73" i="3"/>
  <c r="U102" i="3"/>
  <c r="U114" i="3" s="1"/>
  <c r="W98" i="3"/>
  <c r="W102" i="3" s="1"/>
  <c r="K199" i="3"/>
  <c r="R199" i="3"/>
  <c r="E114" i="3"/>
  <c r="D134" i="3"/>
  <c r="W192" i="3"/>
  <c r="W106" i="3"/>
  <c r="W131" i="3"/>
  <c r="W161" i="3"/>
  <c r="W186" i="3"/>
  <c r="L134" i="3"/>
  <c r="U154" i="3"/>
  <c r="W130" i="1"/>
  <c r="W172" i="1"/>
  <c r="W176" i="1"/>
  <c r="W180" i="1"/>
  <c r="W143" i="1"/>
  <c r="W107" i="1"/>
  <c r="W126" i="1"/>
  <c r="W95" i="1"/>
  <c r="Y511" i="2"/>
  <c r="Y515" i="2"/>
  <c r="Y312" i="2"/>
  <c r="Y499" i="2"/>
  <c r="Y169" i="2"/>
  <c r="Y175" i="2"/>
  <c r="Y134" i="2"/>
  <c r="Y139" i="2"/>
  <c r="Y143" i="2"/>
  <c r="G100" i="2"/>
  <c r="Y114" i="2"/>
  <c r="X565" i="2"/>
  <c r="Y205" i="2"/>
  <c r="W148" i="1"/>
  <c r="W93" i="1"/>
  <c r="W173" i="1"/>
  <c r="W100" i="1"/>
  <c r="W170" i="1"/>
  <c r="W196" i="1"/>
  <c r="W206" i="1"/>
  <c r="W210" i="1"/>
  <c r="W214" i="1"/>
  <c r="W201" i="1"/>
  <c r="W200" i="1"/>
  <c r="W51" i="1"/>
  <c r="W160" i="1"/>
  <c r="W97" i="1"/>
  <c r="W101" i="1"/>
  <c r="W115" i="1"/>
  <c r="W121" i="1"/>
  <c r="W118" i="1"/>
  <c r="W123" i="1"/>
  <c r="W190" i="1"/>
  <c r="W216" i="1"/>
  <c r="K100" i="2"/>
  <c r="K147" i="2" s="1"/>
  <c r="K148" i="2" s="1"/>
  <c r="K285" i="2" s="1"/>
  <c r="K286" i="2" s="1"/>
  <c r="K424" i="2" s="1"/>
  <c r="K425" i="2" s="1"/>
  <c r="K507" i="2" s="1"/>
  <c r="K508" i="2" s="1"/>
  <c r="K566" i="2" s="1"/>
  <c r="K570" i="2" s="1"/>
  <c r="Y93" i="2"/>
  <c r="Y65" i="2"/>
  <c r="Y111" i="2"/>
  <c r="Y41" i="2"/>
  <c r="Y116" i="2"/>
  <c r="Y121" i="2"/>
  <c r="Y110" i="2"/>
  <c r="Y140" i="2"/>
  <c r="Y144" i="2"/>
  <c r="Y58" i="4"/>
  <c r="Y66" i="4"/>
  <c r="X69" i="4"/>
  <c r="Y54" i="4"/>
  <c r="O71" i="4"/>
  <c r="O72" i="4" s="1"/>
  <c r="O115" i="4" s="1"/>
  <c r="O116" i="4" s="1"/>
  <c r="O143" i="4" s="1"/>
  <c r="O144" i="4" s="1"/>
  <c r="O165" i="4" s="1"/>
  <c r="O166" i="4" s="1"/>
  <c r="O188" i="4" s="1"/>
  <c r="O201" i="4" s="1"/>
  <c r="O202" i="4" s="1"/>
  <c r="O240" i="4" s="1"/>
  <c r="O246" i="4" s="1"/>
  <c r="K71" i="4"/>
  <c r="K72" i="4" s="1"/>
  <c r="K115" i="4" s="1"/>
  <c r="K116" i="4" s="1"/>
  <c r="Y62" i="4"/>
  <c r="Y115" i="2"/>
  <c r="Y120" i="2"/>
  <c r="Y129" i="2"/>
  <c r="Y84" i="4"/>
  <c r="Y88" i="4"/>
  <c r="Y25" i="4"/>
  <c r="Y38" i="4"/>
  <c r="Y65" i="4"/>
  <c r="Y33" i="4"/>
  <c r="Y87" i="4"/>
  <c r="Y57" i="4"/>
  <c r="Y61" i="4"/>
  <c r="Y19" i="4"/>
  <c r="Y21" i="4"/>
  <c r="Y23" i="4"/>
  <c r="N52" i="4"/>
  <c r="N71" i="4" s="1"/>
  <c r="N72" i="4" s="1"/>
  <c r="W33" i="3"/>
  <c r="W37" i="3"/>
  <c r="K42" i="3"/>
  <c r="K43" i="3" s="1"/>
  <c r="K49" i="3" s="1"/>
  <c r="K50" i="3" s="1"/>
  <c r="K91" i="3" s="1"/>
  <c r="K92" i="3" s="1"/>
  <c r="W36" i="3"/>
  <c r="M42" i="3"/>
  <c r="M43" i="3" s="1"/>
  <c r="M49" i="3" s="1"/>
  <c r="M50" i="3" s="1"/>
  <c r="I42" i="3"/>
  <c r="I43" i="3" s="1"/>
  <c r="I49" i="3" s="1"/>
  <c r="I50" i="3" s="1"/>
  <c r="T42" i="3"/>
  <c r="T43" i="3" s="1"/>
  <c r="T49" i="3" s="1"/>
  <c r="T50" i="3" s="1"/>
  <c r="S42" i="3"/>
  <c r="S43" i="3" s="1"/>
  <c r="S49" i="3" s="1"/>
  <c r="S50" i="3" s="1"/>
  <c r="G42" i="3"/>
  <c r="G43" i="3" s="1"/>
  <c r="G49" i="3" s="1"/>
  <c r="G50" i="3" s="1"/>
  <c r="E42" i="3"/>
  <c r="E43" i="3" s="1"/>
  <c r="E49" i="3" s="1"/>
  <c r="E50" i="3" s="1"/>
  <c r="L42" i="3"/>
  <c r="L43" i="3" s="1"/>
  <c r="L49" i="3" s="1"/>
  <c r="L50" i="3" s="1"/>
  <c r="T100" i="2"/>
  <c r="T147" i="2" s="1"/>
  <c r="T148" i="2" s="1"/>
  <c r="T285" i="2" s="1"/>
  <c r="T286" i="2" s="1"/>
  <c r="T424" i="2" s="1"/>
  <c r="T425" i="2" s="1"/>
  <c r="T507" i="2" s="1"/>
  <c r="T508" i="2" s="1"/>
  <c r="T566" i="2" s="1"/>
  <c r="T570" i="2" s="1"/>
  <c r="Y78" i="2"/>
  <c r="Y136" i="2"/>
  <c r="Y190" i="2"/>
  <c r="Y200" i="2"/>
  <c r="Y440" i="2"/>
  <c r="Y429" i="2"/>
  <c r="Y104" i="2"/>
  <c r="Y427" i="2"/>
  <c r="Y443" i="2"/>
  <c r="Y532" i="2"/>
  <c r="Y185" i="2"/>
  <c r="Y195" i="2"/>
  <c r="Y199" i="2"/>
  <c r="Y273" i="2"/>
  <c r="Y278" i="2"/>
  <c r="Y282" i="2"/>
  <c r="Y445" i="2"/>
  <c r="Y452" i="2"/>
  <c r="Y457" i="2"/>
  <c r="Y461" i="2"/>
  <c r="Y469" i="2"/>
  <c r="Y473" i="2"/>
  <c r="Y481" i="2"/>
  <c r="Y151" i="2"/>
  <c r="Y183" i="2"/>
  <c r="Y179" i="2"/>
  <c r="Y509" i="2"/>
  <c r="W58" i="1"/>
  <c r="W68" i="1"/>
  <c r="W71" i="1"/>
  <c r="W174" i="1"/>
  <c r="W178" i="1"/>
  <c r="W182" i="1"/>
  <c r="W145" i="1"/>
  <c r="W198" i="1"/>
  <c r="W117" i="1"/>
  <c r="W65" i="1"/>
  <c r="W142" i="1"/>
  <c r="W149" i="1"/>
  <c r="W161" i="1"/>
  <c r="W175" i="1"/>
  <c r="W122" i="1"/>
  <c r="W204" i="1"/>
  <c r="W208" i="1"/>
  <c r="W212" i="1"/>
  <c r="W36" i="1"/>
  <c r="W29" i="1"/>
  <c r="W35" i="1"/>
  <c r="J43" i="1"/>
  <c r="J45" i="1" s="1"/>
  <c r="J46" i="1" s="1"/>
  <c r="J105" i="1" s="1"/>
  <c r="J106" i="1" s="1"/>
  <c r="J156" i="1" s="1"/>
  <c r="J157" i="1" s="1"/>
  <c r="J188" i="1" s="1"/>
  <c r="J189" i="1" s="1"/>
  <c r="J219" i="1" s="1"/>
  <c r="J223" i="1" s="1"/>
  <c r="E43" i="1"/>
  <c r="E45" i="1" s="1"/>
  <c r="E46" i="1" s="1"/>
  <c r="E105" i="1" s="1"/>
  <c r="E106" i="1" s="1"/>
  <c r="E156" i="1" s="1"/>
  <c r="E157" i="1" s="1"/>
  <c r="E188" i="1" s="1"/>
  <c r="E189" i="1" s="1"/>
  <c r="E219" i="1" s="1"/>
  <c r="E223" i="1" s="1"/>
  <c r="T43" i="1"/>
  <c r="T45" i="1" s="1"/>
  <c r="T46" i="1" s="1"/>
  <c r="T105" i="1" s="1"/>
  <c r="T106" i="1" s="1"/>
  <c r="T156" i="1" s="1"/>
  <c r="T157" i="1" s="1"/>
  <c r="T188" i="1" s="1"/>
  <c r="T189" i="1" s="1"/>
  <c r="T219" i="1" s="1"/>
  <c r="T223" i="1" s="1"/>
  <c r="W150" i="1"/>
  <c r="W162" i="1"/>
  <c r="W165" i="1"/>
  <c r="W169" i="1"/>
  <c r="W120" i="1"/>
  <c r="W127" i="1"/>
  <c r="U152" i="1"/>
  <c r="W158" i="1"/>
  <c r="W168" i="1"/>
  <c r="W54" i="1"/>
  <c r="O92" i="1"/>
  <c r="W49" i="1"/>
  <c r="Y548" i="2"/>
  <c r="Y400" i="2"/>
  <c r="Y164" i="2"/>
  <c r="Y187" i="2"/>
  <c r="Y287" i="2"/>
  <c r="Y156" i="2"/>
  <c r="Y342" i="2"/>
  <c r="Y357" i="2"/>
  <c r="Y538" i="2"/>
  <c r="Y541" i="2"/>
  <c r="Y70" i="2"/>
  <c r="Y520" i="2"/>
  <c r="Y442" i="2"/>
  <c r="Y307" i="2"/>
  <c r="Y338" i="2"/>
  <c r="X506" i="2"/>
  <c r="Y297" i="2"/>
  <c r="Y322" i="2"/>
  <c r="Y352" i="2"/>
  <c r="Y158" i="2"/>
  <c r="Y177" i="2"/>
  <c r="Y437" i="2"/>
  <c r="Y459" i="2"/>
  <c r="Y487" i="2"/>
  <c r="Y157" i="2"/>
  <c r="Y290" i="2"/>
  <c r="Y318" i="2"/>
  <c r="Y356" i="2"/>
  <c r="Y521" i="2"/>
  <c r="Y527" i="2"/>
  <c r="Y55" i="2"/>
  <c r="Y72" i="2"/>
  <c r="Y83" i="2"/>
  <c r="Y162" i="2"/>
  <c r="Y323" i="2"/>
  <c r="Y166" i="2"/>
  <c r="Y196" i="2"/>
  <c r="Y167" i="2"/>
  <c r="Y296" i="2"/>
  <c r="Y353" i="2"/>
  <c r="Y449" i="2"/>
  <c r="Y553" i="2"/>
  <c r="Y560" i="2"/>
  <c r="Y32" i="2"/>
  <c r="Y61" i="2"/>
  <c r="Y305" i="2"/>
  <c r="Y206" i="2"/>
  <c r="Y210" i="2"/>
  <c r="Y217" i="2"/>
  <c r="Y224" i="2"/>
  <c r="Y228" i="2"/>
  <c r="Y232" i="2"/>
  <c r="Y454" i="2"/>
  <c r="Y458" i="2"/>
  <c r="Y470" i="2"/>
  <c r="Y474" i="2"/>
  <c r="Y112" i="2"/>
  <c r="Y168" i="2"/>
  <c r="Y176" i="2"/>
  <c r="Y518" i="2"/>
  <c r="Y513" i="2"/>
  <c r="Y31" i="2"/>
  <c r="Y118" i="2"/>
  <c r="Y34" i="2"/>
  <c r="Y89" i="2"/>
  <c r="Y88" i="2"/>
  <c r="Q43" i="1"/>
  <c r="Q45" i="1" s="1"/>
  <c r="Q46" i="1" s="1"/>
  <c r="Q105" i="1" s="1"/>
  <c r="Q106" i="1" s="1"/>
  <c r="Q156" i="1" s="1"/>
  <c r="Q157" i="1" s="1"/>
  <c r="Q188" i="1" s="1"/>
  <c r="Q189" i="1" s="1"/>
  <c r="Q219" i="1" s="1"/>
  <c r="Q223" i="1" s="1"/>
  <c r="D105" i="1"/>
  <c r="D106" i="1" s="1"/>
  <c r="D156" i="1" s="1"/>
  <c r="D157" i="1" s="1"/>
  <c r="D188" i="1" s="1"/>
  <c r="D189" i="1" s="1"/>
  <c r="D219" i="1" s="1"/>
  <c r="D223" i="1" s="1"/>
  <c r="O134" i="1"/>
  <c r="G43" i="1"/>
  <c r="G45" i="1" s="1"/>
  <c r="G46" i="1" s="1"/>
  <c r="G105" i="1" s="1"/>
  <c r="G106" i="1" s="1"/>
  <c r="G156" i="1" s="1"/>
  <c r="G157" i="1" s="1"/>
  <c r="G188" i="1" s="1"/>
  <c r="G189" i="1" s="1"/>
  <c r="G219" i="1" s="1"/>
  <c r="G223" i="1" s="1"/>
  <c r="R105" i="1"/>
  <c r="R106" i="1" s="1"/>
  <c r="R156" i="1" s="1"/>
  <c r="R157" i="1" s="1"/>
  <c r="R188" i="1" s="1"/>
  <c r="R189" i="1" s="1"/>
  <c r="R219" i="1" s="1"/>
  <c r="R223" i="1" s="1"/>
  <c r="N43" i="1"/>
  <c r="N45" i="1" s="1"/>
  <c r="N46" i="1" s="1"/>
  <c r="N105" i="1" s="1"/>
  <c r="N106" i="1" s="1"/>
  <c r="N156" i="1" s="1"/>
  <c r="N157" i="1" s="1"/>
  <c r="N188" i="1" s="1"/>
  <c r="N189" i="1" s="1"/>
  <c r="N219" i="1" s="1"/>
  <c r="N223" i="1" s="1"/>
  <c r="W69" i="1"/>
  <c r="W72" i="1"/>
  <c r="W75" i="1"/>
  <c r="W140" i="1"/>
  <c r="W144" i="1"/>
  <c r="W141" i="1"/>
  <c r="U187" i="1"/>
  <c r="W195" i="1"/>
  <c r="W27" i="1"/>
  <c r="W48" i="1"/>
  <c r="K43" i="1"/>
  <c r="K45" i="1" s="1"/>
  <c r="K46" i="1" s="1"/>
  <c r="K105" i="1" s="1"/>
  <c r="K106" i="1" s="1"/>
  <c r="K156" i="1" s="1"/>
  <c r="K157" i="1" s="1"/>
  <c r="K188" i="1" s="1"/>
  <c r="K189" i="1" s="1"/>
  <c r="K219" i="1" s="1"/>
  <c r="K223" i="1" s="1"/>
  <c r="W79" i="1"/>
  <c r="W177" i="1"/>
  <c r="W39" i="1"/>
  <c r="U42" i="1"/>
  <c r="U43" i="1" s="1"/>
  <c r="U45" i="1" s="1"/>
  <c r="U46" i="1" s="1"/>
  <c r="W59" i="1"/>
  <c r="W199" i="1"/>
  <c r="O187" i="1"/>
  <c r="S156" i="1"/>
  <c r="S157" i="1" s="1"/>
  <c r="S188" i="1" s="1"/>
  <c r="S189" i="1" s="1"/>
  <c r="S219" i="1" s="1"/>
  <c r="S223" i="1" s="1"/>
  <c r="O104" i="1"/>
  <c r="W181" i="1"/>
  <c r="U92" i="1"/>
  <c r="U104" i="1"/>
  <c r="W205" i="1"/>
  <c r="W26" i="1"/>
  <c r="W19" i="1"/>
  <c r="W38" i="1"/>
  <c r="W22" i="1"/>
  <c r="W18" i="1"/>
  <c r="Y85" i="2"/>
  <c r="G147" i="2"/>
  <c r="G148" i="2" s="1"/>
  <c r="G285" i="2" s="1"/>
  <c r="G286" i="2" s="1"/>
  <c r="G424" i="2" s="1"/>
  <c r="G425" i="2" s="1"/>
  <c r="G507" i="2" s="1"/>
  <c r="G508" i="2" s="1"/>
  <c r="G566" i="2" s="1"/>
  <c r="G570" i="2" s="1"/>
  <c r="Y106" i="2"/>
  <c r="Y207" i="2"/>
  <c r="Y221" i="2"/>
  <c r="Y281" i="2"/>
  <c r="Y536" i="2"/>
  <c r="Y77" i="2"/>
  <c r="Y90" i="2"/>
  <c r="H100" i="2"/>
  <c r="H147" i="2" s="1"/>
  <c r="H148" i="2" s="1"/>
  <c r="H285" i="2" s="1"/>
  <c r="H286" i="2" s="1"/>
  <c r="H424" i="2" s="1"/>
  <c r="H425" i="2" s="1"/>
  <c r="H507" i="2" s="1"/>
  <c r="H508" i="2" s="1"/>
  <c r="H566" i="2" s="1"/>
  <c r="H570" i="2" s="1"/>
  <c r="Y558" i="2"/>
  <c r="Y544" i="2"/>
  <c r="Y165" i="2"/>
  <c r="Y339" i="2"/>
  <c r="Y348" i="2"/>
  <c r="Z100" i="2"/>
  <c r="Z147" i="2" s="1"/>
  <c r="Z148" i="2" s="1"/>
  <c r="Z285" i="2" s="1"/>
  <c r="Z286" i="2" s="1"/>
  <c r="Z424" i="2" s="1"/>
  <c r="Z425" i="2" s="1"/>
  <c r="Z507" i="2" s="1"/>
  <c r="Z508" i="2" s="1"/>
  <c r="Z566" i="2" s="1"/>
  <c r="Z570" i="2" s="1"/>
  <c r="P100" i="2"/>
  <c r="P147" i="2" s="1"/>
  <c r="P148" i="2" s="1"/>
  <c r="P285" i="2" s="1"/>
  <c r="P286" i="2" s="1"/>
  <c r="P424" i="2" s="1"/>
  <c r="P425" i="2" s="1"/>
  <c r="P507" i="2" s="1"/>
  <c r="P508" i="2" s="1"/>
  <c r="P566" i="2" s="1"/>
  <c r="P570" i="2" s="1"/>
  <c r="Y280" i="2"/>
  <c r="Y463" i="2"/>
  <c r="Y467" i="2"/>
  <c r="Y131" i="2"/>
  <c r="Y227" i="2"/>
  <c r="Y358" i="2"/>
  <c r="Y354" i="2"/>
  <c r="Y351" i="2"/>
  <c r="Y546" i="2"/>
  <c r="Y512" i="2"/>
  <c r="Y26" i="2"/>
  <c r="F100" i="2"/>
  <c r="F147" i="2" s="1"/>
  <c r="F148" i="2" s="1"/>
  <c r="F285" i="2" s="1"/>
  <c r="F286" i="2" s="1"/>
  <c r="F424" i="2" s="1"/>
  <c r="F425" i="2" s="1"/>
  <c r="F507" i="2" s="1"/>
  <c r="F508" i="2" s="1"/>
  <c r="F566" i="2" s="1"/>
  <c r="F570" i="2" s="1"/>
  <c r="Y530" i="2"/>
  <c r="Y324" i="2"/>
  <c r="Y155" i="2"/>
  <c r="Y127" i="2"/>
  <c r="Y336" i="2"/>
  <c r="Y308" i="2"/>
  <c r="Y335" i="2"/>
  <c r="Y345" i="2"/>
  <c r="Y519" i="2"/>
  <c r="Y524" i="2"/>
  <c r="Y533" i="2"/>
  <c r="Y535" i="2"/>
  <c r="Y537" i="2"/>
  <c r="Y555" i="2"/>
  <c r="Y557" i="2"/>
  <c r="Y123" i="2"/>
  <c r="Y67" i="2"/>
  <c r="Y426" i="2"/>
  <c r="Y277" i="2"/>
  <c r="Y471" i="2"/>
  <c r="Y475" i="2"/>
  <c r="Y479" i="2"/>
  <c r="Y483" i="2"/>
  <c r="Y491" i="2"/>
  <c r="Y39" i="2"/>
  <c r="Y132" i="2"/>
  <c r="Y180" i="2"/>
  <c r="Y181" i="2"/>
  <c r="Y340" i="2"/>
  <c r="Y349" i="2"/>
  <c r="Y350" i="2"/>
  <c r="Y448" i="2"/>
  <c r="Y450" i="2"/>
  <c r="Y552" i="2"/>
  <c r="Y522" i="2"/>
  <c r="Y30" i="2"/>
  <c r="Y433" i="2"/>
  <c r="Y152" i="2"/>
  <c r="O100" i="2"/>
  <c r="O147" i="2" s="1"/>
  <c r="O148" i="2" s="1"/>
  <c r="O285" i="2" s="1"/>
  <c r="O286" i="2" s="1"/>
  <c r="O424" i="2" s="1"/>
  <c r="O425" i="2" s="1"/>
  <c r="O507" i="2" s="1"/>
  <c r="O508" i="2" s="1"/>
  <c r="O566" i="2" s="1"/>
  <c r="O570" i="2" s="1"/>
  <c r="U100" i="2"/>
  <c r="U147" i="2" s="1"/>
  <c r="U148" i="2" s="1"/>
  <c r="U285" i="2" s="1"/>
  <c r="U286" i="2" s="1"/>
  <c r="U424" i="2" s="1"/>
  <c r="U425" i="2" s="1"/>
  <c r="U507" i="2" s="1"/>
  <c r="U508" i="2" s="1"/>
  <c r="U566" i="2" s="1"/>
  <c r="U570" i="2" s="1"/>
  <c r="Y209" i="2"/>
  <c r="Y216" i="2"/>
  <c r="Y223" i="2"/>
  <c r="Y231" i="2"/>
  <c r="Y455" i="2"/>
  <c r="Y495" i="2"/>
  <c r="Y503" i="2"/>
  <c r="Y229" i="2"/>
  <c r="Y279" i="2"/>
  <c r="Y283" i="2"/>
  <c r="Y315" i="2"/>
  <c r="X420" i="2"/>
  <c r="Y431" i="2"/>
  <c r="Y497" i="2"/>
  <c r="Y154" i="2"/>
  <c r="Y309" i="2"/>
  <c r="Y438" i="2"/>
  <c r="Y547" i="2"/>
  <c r="Y562" i="2"/>
  <c r="Y510" i="2"/>
  <c r="R284" i="2"/>
  <c r="Y62" i="2"/>
  <c r="Y21" i="2"/>
  <c r="Y51" i="2"/>
  <c r="Y276" i="2"/>
  <c r="Y320" i="2"/>
  <c r="Y436" i="2"/>
  <c r="Y466" i="2"/>
  <c r="Y153" i="2"/>
  <c r="Y171" i="2"/>
  <c r="Y301" i="2"/>
  <c r="Y311" i="2"/>
  <c r="Y314" i="2"/>
  <c r="Y317" i="2"/>
  <c r="Y359" i="2"/>
  <c r="Y551" i="2"/>
  <c r="Y556" i="2"/>
  <c r="Y561" i="2"/>
  <c r="X146" i="2"/>
  <c r="N100" i="2"/>
  <c r="N147" i="2" s="1"/>
  <c r="N148" i="2" s="1"/>
  <c r="N285" i="2" s="1"/>
  <c r="N286" i="2" s="1"/>
  <c r="N424" i="2" s="1"/>
  <c r="N425" i="2" s="1"/>
  <c r="N507" i="2" s="1"/>
  <c r="N508" i="2" s="1"/>
  <c r="N566" i="2" s="1"/>
  <c r="N570" i="2" s="1"/>
  <c r="V100" i="2"/>
  <c r="V147" i="2" s="1"/>
  <c r="Y113" i="2"/>
  <c r="Y405" i="2"/>
  <c r="Y446" i="2"/>
  <c r="Y477" i="2"/>
  <c r="Y485" i="2"/>
  <c r="Y489" i="2"/>
  <c r="Y103" i="2"/>
  <c r="Y161" i="2"/>
  <c r="Y182" i="2"/>
  <c r="Y68" i="2"/>
  <c r="R565" i="2"/>
  <c r="Y109" i="2"/>
  <c r="R398" i="2"/>
  <c r="Y159" i="2"/>
  <c r="Y191" i="2"/>
  <c r="Y197" i="2"/>
  <c r="Y222" i="2"/>
  <c r="Y226" i="2"/>
  <c r="Y409" i="2"/>
  <c r="Y413" i="2"/>
  <c r="Y417" i="2"/>
  <c r="Y447" i="2"/>
  <c r="Y462" i="2"/>
  <c r="Y465" i="2"/>
  <c r="Y478" i="2"/>
  <c r="Y482" i="2"/>
  <c r="Y486" i="2"/>
  <c r="Y490" i="2"/>
  <c r="Y493" i="2"/>
  <c r="Y501" i="2"/>
  <c r="Y141" i="2"/>
  <c r="Y172" i="2"/>
  <c r="Y347" i="2"/>
  <c r="Y523" i="2"/>
  <c r="Y526" i="2"/>
  <c r="Y531" i="2"/>
  <c r="Y534" i="2"/>
  <c r="Y540" i="2"/>
  <c r="Y554" i="2"/>
  <c r="Y539" i="2"/>
  <c r="Y545" i="2"/>
  <c r="Y91" i="2"/>
  <c r="I100" i="2"/>
  <c r="I147" i="2" s="1"/>
  <c r="I148" i="2" s="1"/>
  <c r="I285" i="2" s="1"/>
  <c r="I286" i="2" s="1"/>
  <c r="I424" i="2" s="1"/>
  <c r="I425" i="2" s="1"/>
  <c r="I507" i="2" s="1"/>
  <c r="I508" i="2" s="1"/>
  <c r="I566" i="2" s="1"/>
  <c r="I570" i="2" s="1"/>
  <c r="W100" i="2"/>
  <c r="W147" i="2" s="1"/>
  <c r="W148" i="2" s="1"/>
  <c r="W285" i="2" s="1"/>
  <c r="W286" i="2" s="1"/>
  <c r="W424" i="2" s="1"/>
  <c r="W425" i="2" s="1"/>
  <c r="W507" i="2" s="1"/>
  <c r="W508" i="2" s="1"/>
  <c r="W566" i="2" s="1"/>
  <c r="W570" i="2" s="1"/>
  <c r="Y36" i="2"/>
  <c r="Y43" i="2"/>
  <c r="Y214" i="2"/>
  <c r="Y355" i="2"/>
  <c r="Y76" i="2"/>
  <c r="Y60" i="2"/>
  <c r="Y343" i="2"/>
  <c r="Y124" i="2"/>
  <c r="Y198" i="2"/>
  <c r="Y203" i="2"/>
  <c r="Y410" i="2"/>
  <c r="Y414" i="2"/>
  <c r="Y494" i="2"/>
  <c r="Y498" i="2"/>
  <c r="Y502" i="2"/>
  <c r="Y22" i="2"/>
  <c r="Y108" i="2"/>
  <c r="Y122" i="2"/>
  <c r="Y408" i="2"/>
  <c r="Y313" i="2"/>
  <c r="Y441" i="2"/>
  <c r="R506" i="2"/>
  <c r="Y453" i="2"/>
  <c r="Y517" i="2"/>
  <c r="Y529" i="2"/>
  <c r="Y542" i="2"/>
  <c r="Y550" i="2"/>
  <c r="Y559" i="2"/>
  <c r="Y98" i="2"/>
  <c r="Y73" i="2"/>
  <c r="D100" i="2"/>
  <c r="D147" i="2" s="1"/>
  <c r="D148" i="2" s="1"/>
  <c r="D285" i="2" s="1"/>
  <c r="D286" i="2" s="1"/>
  <c r="Y15" i="2"/>
  <c r="Y17" i="2" s="1"/>
  <c r="Y33" i="2"/>
  <c r="Y117" i="2"/>
  <c r="Y18" i="2"/>
  <c r="Y105" i="2"/>
  <c r="Y130" i="2"/>
  <c r="Y79" i="2"/>
  <c r="Y20" i="2"/>
  <c r="W17" i="1"/>
  <c r="W136" i="1"/>
  <c r="O152" i="1"/>
  <c r="R236" i="4"/>
  <c r="M43" i="1"/>
  <c r="M45" i="1" s="1"/>
  <c r="M46" i="1" s="1"/>
  <c r="M105" i="1" s="1"/>
  <c r="M106" i="1" s="1"/>
  <c r="M156" i="1" s="1"/>
  <c r="M157" i="1" s="1"/>
  <c r="M188" i="1" s="1"/>
  <c r="M189" i="1" s="1"/>
  <c r="M219" i="1" s="1"/>
  <c r="M223" i="1" s="1"/>
  <c r="D114" i="3"/>
  <c r="R197" i="4"/>
  <c r="Y197" i="4" s="1"/>
  <c r="R127" i="4"/>
  <c r="Y127" i="4" s="1"/>
  <c r="R92" i="4"/>
  <c r="Y92" i="4" s="1"/>
  <c r="R110" i="4"/>
  <c r="Y110" i="4" s="1"/>
  <c r="L114" i="4"/>
  <c r="V239" i="4"/>
  <c r="X239" i="4" s="1"/>
  <c r="X220" i="4"/>
  <c r="Q199" i="3"/>
  <c r="N43" i="3"/>
  <c r="N49" i="3" s="1"/>
  <c r="N50" i="3" s="1"/>
  <c r="D43" i="3"/>
  <c r="D49" i="3" s="1"/>
  <c r="D50" i="3" s="1"/>
  <c r="R140" i="4"/>
  <c r="Y140" i="4" s="1"/>
  <c r="R17" i="4"/>
  <c r="J115" i="3"/>
  <c r="J116" i="3" s="1"/>
  <c r="J91" i="3"/>
  <c r="J92" i="3" s="1"/>
  <c r="W148" i="3"/>
  <c r="O151" i="3"/>
  <c r="O154" i="3" s="1"/>
  <c r="H142" i="4"/>
  <c r="U134" i="1"/>
  <c r="R174" i="4"/>
  <c r="Y174" i="4" s="1"/>
  <c r="L43" i="1"/>
  <c r="L45" i="1" s="1"/>
  <c r="L46" i="1" s="1"/>
  <c r="L105" i="1" s="1"/>
  <c r="L106" i="1" s="1"/>
  <c r="L156" i="1" s="1"/>
  <c r="L157" i="1" s="1"/>
  <c r="L188" i="1" s="1"/>
  <c r="L189" i="1" s="1"/>
  <c r="L219" i="1" s="1"/>
  <c r="L223" i="1" s="1"/>
  <c r="F43" i="1"/>
  <c r="F45" i="1" s="1"/>
  <c r="F46" i="1" s="1"/>
  <c r="F105" i="1" s="1"/>
  <c r="F106" i="1" s="1"/>
  <c r="F156" i="1" s="1"/>
  <c r="F157" i="1" s="1"/>
  <c r="F188" i="1" s="1"/>
  <c r="F189" i="1" s="1"/>
  <c r="F219" i="1" s="1"/>
  <c r="F223" i="1" s="1"/>
  <c r="H71" i="4"/>
  <c r="H72" i="4" s="1"/>
  <c r="H115" i="4" s="1"/>
  <c r="H116" i="4" s="1"/>
  <c r="V142" i="4"/>
  <c r="X142" i="4" s="1"/>
  <c r="Y173" i="2"/>
  <c r="F114" i="4"/>
  <c r="W52" i="4"/>
  <c r="W71" i="4" s="1"/>
  <c r="W72" i="4" s="1"/>
  <c r="W115" i="4" s="1"/>
  <c r="W116" i="4" s="1"/>
  <c r="W143" i="4" s="1"/>
  <c r="W144" i="4" s="1"/>
  <c r="W165" i="4" s="1"/>
  <c r="W166" i="4" s="1"/>
  <c r="W188" i="4" s="1"/>
  <c r="W201" i="4" s="1"/>
  <c r="W202" i="4" s="1"/>
  <c r="W240" i="4" s="1"/>
  <c r="W246" i="4" s="1"/>
  <c r="L100" i="2"/>
  <c r="L147" i="2" s="1"/>
  <c r="L148" i="2" s="1"/>
  <c r="L285" i="2" s="1"/>
  <c r="L286" i="2" s="1"/>
  <c r="L424" i="2" s="1"/>
  <c r="L425" i="2" s="1"/>
  <c r="L507" i="2" s="1"/>
  <c r="L508" i="2" s="1"/>
  <c r="L566" i="2" s="1"/>
  <c r="L570" i="2" s="1"/>
  <c r="O218" i="1"/>
  <c r="J100" i="2"/>
  <c r="J147" i="2" s="1"/>
  <c r="J148" i="2" s="1"/>
  <c r="J285" i="2" s="1"/>
  <c r="J286" i="2" s="1"/>
  <c r="J424" i="2" s="1"/>
  <c r="J425" i="2" s="1"/>
  <c r="J507" i="2" s="1"/>
  <c r="J508" i="2" s="1"/>
  <c r="J566" i="2" s="1"/>
  <c r="J570" i="2" s="1"/>
  <c r="R420" i="2"/>
  <c r="R220" i="4"/>
  <c r="Y220" i="4" s="1"/>
  <c r="Y135" i="2"/>
  <c r="V71" i="4"/>
  <c r="V72" i="4" s="1"/>
  <c r="V115" i="4" s="1"/>
  <c r="V116" i="4" s="1"/>
  <c r="X284" i="2"/>
  <c r="W67" i="1"/>
  <c r="W99" i="1"/>
  <c r="W154" i="1"/>
  <c r="W167" i="1"/>
  <c r="W179" i="1"/>
  <c r="W61" i="3"/>
  <c r="W157" i="3"/>
  <c r="U115" i="4"/>
  <c r="U116" i="4" s="1"/>
  <c r="Y208" i="2"/>
  <c r="Y225" i="2"/>
  <c r="Y337" i="2"/>
  <c r="Y549" i="2"/>
  <c r="X96" i="2"/>
  <c r="O70" i="3"/>
  <c r="S43" i="1"/>
  <c r="S45" i="1" s="1"/>
  <c r="S46" i="1" s="1"/>
  <c r="S105" i="1" s="1"/>
  <c r="M52" i="4"/>
  <c r="M71" i="4" s="1"/>
  <c r="M72" i="4" s="1"/>
  <c r="I52" i="4"/>
  <c r="I71" i="4" s="1"/>
  <c r="I72" i="4" s="1"/>
  <c r="I115" i="4" s="1"/>
  <c r="I116" i="4" s="1"/>
  <c r="I143" i="4" s="1"/>
  <c r="I144" i="4" s="1"/>
  <c r="I165" i="4" s="1"/>
  <c r="I166" i="4" s="1"/>
  <c r="I188" i="4" s="1"/>
  <c r="I201" i="4" s="1"/>
  <c r="I202" i="4" s="1"/>
  <c r="I240" i="4" s="1"/>
  <c r="I246" i="4" s="1"/>
  <c r="W64" i="1"/>
  <c r="W96" i="1"/>
  <c r="W182" i="3"/>
  <c r="U86" i="3"/>
  <c r="U40" i="3"/>
  <c r="Y17" i="4"/>
  <c r="Y129" i="4"/>
  <c r="Y211" i="4"/>
  <c r="W109" i="1"/>
  <c r="Y321" i="2"/>
  <c r="W119" i="1"/>
  <c r="Y430" i="2"/>
  <c r="Y63" i="4"/>
  <c r="H42" i="3"/>
  <c r="H43" i="3" s="1"/>
  <c r="H49" i="3" s="1"/>
  <c r="H50" i="3" s="1"/>
  <c r="R45" i="4"/>
  <c r="Y45" i="4" s="1"/>
  <c r="Y208" i="4"/>
  <c r="Y184" i="2"/>
  <c r="Y186" i="2"/>
  <c r="Y189" i="2"/>
  <c r="Y306" i="2"/>
  <c r="Y439" i="2"/>
  <c r="U218" i="1"/>
  <c r="Y514" i="2"/>
  <c r="W147" i="3"/>
  <c r="Y24" i="4"/>
  <c r="Y35" i="2"/>
  <c r="Y142" i="2"/>
  <c r="W35" i="3"/>
  <c r="R43" i="3"/>
  <c r="R49" i="3" s="1"/>
  <c r="R50" i="3" s="1"/>
  <c r="Y40" i="2"/>
  <c r="Y199" i="4"/>
  <c r="W47" i="1"/>
  <c r="Y163" i="2"/>
  <c r="W53" i="1"/>
  <c r="Y295" i="2"/>
  <c r="Y300" i="2"/>
  <c r="Y316" i="2"/>
  <c r="W128" i="1"/>
  <c r="W131" i="1"/>
  <c r="W209" i="1"/>
  <c r="W213" i="1"/>
  <c r="Y528" i="2"/>
  <c r="Y543" i="2"/>
  <c r="Y563" i="2"/>
  <c r="Y54" i="2"/>
  <c r="R146" i="2"/>
  <c r="Y125" i="2"/>
  <c r="Y137" i="2"/>
  <c r="Y66" i="2"/>
  <c r="Y52" i="2"/>
  <c r="W32" i="1"/>
  <c r="Y28" i="2"/>
  <c r="Y20" i="4"/>
  <c r="E100" i="2"/>
  <c r="E147" i="2" s="1"/>
  <c r="E148" i="2" s="1"/>
  <c r="E285" i="2" s="1"/>
  <c r="E286" i="2" s="1"/>
  <c r="E424" i="2" s="1"/>
  <c r="E425" i="2" s="1"/>
  <c r="E507" i="2" s="1"/>
  <c r="E508" i="2" s="1"/>
  <c r="E566" i="2" s="1"/>
  <c r="E570" i="2" s="1"/>
  <c r="Y126" i="2"/>
  <c r="Y138" i="2"/>
  <c r="Y56" i="2"/>
  <c r="Y57" i="2"/>
  <c r="Y86" i="2"/>
  <c r="Y71" i="2"/>
  <c r="Y87" i="2"/>
  <c r="L48" i="4"/>
  <c r="L52" i="4" s="1"/>
  <c r="L71" i="4" s="1"/>
  <c r="L72" i="4" s="1"/>
  <c r="W21" i="1"/>
  <c r="X42" i="3"/>
  <c r="X43" i="3" s="1"/>
  <c r="X49" i="3" s="1"/>
  <c r="X50" i="3" s="1"/>
  <c r="X115" i="3" s="1"/>
  <c r="Y64" i="2"/>
  <c r="Y69" i="2"/>
  <c r="Y40" i="4"/>
  <c r="Y55" i="4"/>
  <c r="Y80" i="2"/>
  <c r="W30" i="3"/>
  <c r="M100" i="2"/>
  <c r="M147" i="2" s="1"/>
  <c r="M148" i="2" s="1"/>
  <c r="M285" i="2" s="1"/>
  <c r="M286" i="2" s="1"/>
  <c r="M424" i="2" s="1"/>
  <c r="M425" i="2" s="1"/>
  <c r="M507" i="2" s="1"/>
  <c r="M508" i="2" s="1"/>
  <c r="M566" i="2" s="1"/>
  <c r="M570" i="2" s="1"/>
  <c r="W24" i="1"/>
  <c r="F52" i="4"/>
  <c r="F71" i="4" s="1"/>
  <c r="F72" i="4" s="1"/>
  <c r="W31" i="1"/>
  <c r="R69" i="4"/>
  <c r="Y69" i="4" s="1"/>
  <c r="D48" i="4"/>
  <c r="D52" i="4" s="1"/>
  <c r="D71" i="4" s="1"/>
  <c r="D72" i="4" s="1"/>
  <c r="D115" i="4" s="1"/>
  <c r="T72" i="4"/>
  <c r="X52" i="4"/>
  <c r="X30" i="4"/>
  <c r="X48" i="4"/>
  <c r="R30" i="4"/>
  <c r="E52" i="4"/>
  <c r="E71" i="4" s="1"/>
  <c r="G52" i="4"/>
  <c r="G71" i="4" s="1"/>
  <c r="G72" i="4" s="1"/>
  <c r="G115" i="4" s="1"/>
  <c r="G116" i="4" s="1"/>
  <c r="O40" i="3"/>
  <c r="Y101" i="2"/>
  <c r="Y102" i="2"/>
  <c r="R96" i="2"/>
  <c r="Q100" i="2"/>
  <c r="Q147" i="2" s="1"/>
  <c r="Q148" i="2" s="1"/>
  <c r="Q285" i="2" s="1"/>
  <c r="Q286" i="2" s="1"/>
  <c r="Q424" i="2" s="1"/>
  <c r="Q425" i="2" s="1"/>
  <c r="Q507" i="2" s="1"/>
  <c r="Q508" i="2" s="1"/>
  <c r="Q566" i="2" s="1"/>
  <c r="Q570" i="2" s="1"/>
  <c r="I43" i="1"/>
  <c r="I45" i="1" s="1"/>
  <c r="I46" i="1" s="1"/>
  <c r="I105" i="1" s="1"/>
  <c r="I106" i="1" s="1"/>
  <c r="I156" i="1" s="1"/>
  <c r="I157" i="1" s="1"/>
  <c r="I188" i="1" s="1"/>
  <c r="I189" i="1" s="1"/>
  <c r="I219" i="1" s="1"/>
  <c r="I223" i="1" s="1"/>
  <c r="O42" i="1"/>
  <c r="H43" i="1"/>
  <c r="H45" i="1" s="1"/>
  <c r="H46" i="1" s="1"/>
  <c r="H105" i="1" s="1"/>
  <c r="H106" i="1" s="1"/>
  <c r="H156" i="1" s="1"/>
  <c r="H157" i="1" s="1"/>
  <c r="H188" i="1" s="1"/>
  <c r="H189" i="1" s="1"/>
  <c r="H219" i="1" s="1"/>
  <c r="H223" i="1" s="1"/>
  <c r="W14" i="1"/>
  <c r="W16" i="1" s="1"/>
  <c r="O16" i="1"/>
  <c r="U143" i="4" l="1"/>
  <c r="U144" i="4" s="1"/>
  <c r="U165" i="4" s="1"/>
  <c r="U166" i="4" s="1"/>
  <c r="U188" i="4" s="1"/>
  <c r="U201" i="4" s="1"/>
  <c r="U202" i="4" s="1"/>
  <c r="U240" i="4" s="1"/>
  <c r="U246" i="4" s="1"/>
  <c r="K143" i="4"/>
  <c r="K144" i="4" s="1"/>
  <c r="K165" i="4" s="1"/>
  <c r="K166" i="4" s="1"/>
  <c r="K188" i="4" s="1"/>
  <c r="K201" i="4" s="1"/>
  <c r="K202" i="4" s="1"/>
  <c r="K240" i="4" s="1"/>
  <c r="K246" i="4" s="1"/>
  <c r="Q115" i="3"/>
  <c r="Q116" i="3" s="1"/>
  <c r="Q135" i="3" s="1"/>
  <c r="Q136" i="3" s="1"/>
  <c r="O114" i="3"/>
  <c r="Y398" i="2"/>
  <c r="Y424" i="2" s="1"/>
  <c r="S91" i="3"/>
  <c r="S92" i="3" s="1"/>
  <c r="R91" i="3"/>
  <c r="R92" i="3" s="1"/>
  <c r="S115" i="3"/>
  <c r="S116" i="3" s="1"/>
  <c r="S135" i="3" s="1"/>
  <c r="R115" i="3"/>
  <c r="R116" i="3" s="1"/>
  <c r="R135" i="3" s="1"/>
  <c r="R136" i="3" s="1"/>
  <c r="R155" i="3" s="1"/>
  <c r="R205" i="3" s="1"/>
  <c r="I115" i="3"/>
  <c r="I116" i="3" s="1"/>
  <c r="I135" i="3" s="1"/>
  <c r="I136" i="3" s="1"/>
  <c r="I155" i="3" s="1"/>
  <c r="I205" i="3" s="1"/>
  <c r="E115" i="3"/>
  <c r="E116" i="3" s="1"/>
  <c r="E135" i="3" s="1"/>
  <c r="E168" i="3" s="1"/>
  <c r="E169" i="3" s="1"/>
  <c r="E200" i="3" s="1"/>
  <c r="T91" i="3"/>
  <c r="T92" i="3" s="1"/>
  <c r="Q91" i="3"/>
  <c r="Q92" i="3" s="1"/>
  <c r="M115" i="4"/>
  <c r="M116" i="4" s="1"/>
  <c r="M143" i="4" s="1"/>
  <c r="M144" i="4" s="1"/>
  <c r="M165" i="4" s="1"/>
  <c r="M166" i="4" s="1"/>
  <c r="M188" i="4" s="1"/>
  <c r="M201" i="4" s="1"/>
  <c r="M202" i="4" s="1"/>
  <c r="M240" i="4" s="1"/>
  <c r="M246" i="4" s="1"/>
  <c r="R187" i="4"/>
  <c r="Q188" i="4"/>
  <c r="Q201" i="4" s="1"/>
  <c r="Q202" i="4" s="1"/>
  <c r="Q240" i="4" s="1"/>
  <c r="Q246" i="4" s="1"/>
  <c r="J135" i="3"/>
  <c r="J136" i="3" s="1"/>
  <c r="J155" i="3" s="1"/>
  <c r="J205" i="3" s="1"/>
  <c r="O134" i="3"/>
  <c r="W134" i="3"/>
  <c r="O199" i="3"/>
  <c r="U42" i="3"/>
  <c r="U43" i="3" s="1"/>
  <c r="W28" i="3"/>
  <c r="T115" i="3"/>
  <c r="T116" i="3" s="1"/>
  <c r="T135" i="3" s="1"/>
  <c r="T168" i="3" s="1"/>
  <c r="T169" i="3" s="1"/>
  <c r="T200" i="3" s="1"/>
  <c r="L91" i="3"/>
  <c r="L92" i="3" s="1"/>
  <c r="Q155" i="3"/>
  <c r="Q205" i="3" s="1"/>
  <c r="M115" i="3"/>
  <c r="M116" i="3" s="1"/>
  <c r="M135" i="3" s="1"/>
  <c r="M168" i="3" s="1"/>
  <c r="M169" i="3" s="1"/>
  <c r="M200" i="3" s="1"/>
  <c r="W196" i="3"/>
  <c r="G115" i="3"/>
  <c r="G116" i="3" s="1"/>
  <c r="G135" i="3" s="1"/>
  <c r="G136" i="3" s="1"/>
  <c r="G155" i="3" s="1"/>
  <c r="G205" i="3" s="1"/>
  <c r="F115" i="3"/>
  <c r="F116" i="3" s="1"/>
  <c r="F135" i="3" s="1"/>
  <c r="F136" i="3" s="1"/>
  <c r="F155" i="3" s="1"/>
  <c r="F205" i="3" s="1"/>
  <c r="L115" i="4"/>
  <c r="L116" i="4" s="1"/>
  <c r="L143" i="4" s="1"/>
  <c r="L144" i="4" s="1"/>
  <c r="L165" i="4" s="1"/>
  <c r="L166" i="4" s="1"/>
  <c r="L188" i="4" s="1"/>
  <c r="L201" i="4" s="1"/>
  <c r="L202" i="4" s="1"/>
  <c r="L240" i="4" s="1"/>
  <c r="L246" i="4" s="1"/>
  <c r="G91" i="3"/>
  <c r="G92" i="3" s="1"/>
  <c r="Q168" i="3"/>
  <c r="Q169" i="3" s="1"/>
  <c r="Q200" i="3" s="1"/>
  <c r="W187" i="1"/>
  <c r="W152" i="1"/>
  <c r="Y565" i="2"/>
  <c r="Y506" i="2"/>
  <c r="Y275" i="2"/>
  <c r="F115" i="4"/>
  <c r="F116" i="4" s="1"/>
  <c r="F143" i="4" s="1"/>
  <c r="F144" i="4" s="1"/>
  <c r="F165" i="4" s="1"/>
  <c r="F166" i="4" s="1"/>
  <c r="F188" i="4" s="1"/>
  <c r="F201" i="4" s="1"/>
  <c r="F202" i="4" s="1"/>
  <c r="F240" i="4" s="1"/>
  <c r="F246" i="4" s="1"/>
  <c r="Y187" i="4"/>
  <c r="R142" i="4"/>
  <c r="Y142" i="4" s="1"/>
  <c r="Y236" i="4"/>
  <c r="Y161" i="4"/>
  <c r="J165" i="4"/>
  <c r="J166" i="4" s="1"/>
  <c r="G143" i="4"/>
  <c r="G144" i="4" s="1"/>
  <c r="G165" i="4" s="1"/>
  <c r="G166" i="4" s="1"/>
  <c r="G188" i="4" s="1"/>
  <c r="G201" i="4" s="1"/>
  <c r="G202" i="4" s="1"/>
  <c r="G240" i="4" s="1"/>
  <c r="G246" i="4" s="1"/>
  <c r="P143" i="4"/>
  <c r="P144" i="4" s="1"/>
  <c r="P165" i="4" s="1"/>
  <c r="P166" i="4" s="1"/>
  <c r="P188" i="4" s="1"/>
  <c r="P201" i="4" s="1"/>
  <c r="P202" i="4" s="1"/>
  <c r="P240" i="4" s="1"/>
  <c r="P246" i="4" s="1"/>
  <c r="H143" i="4"/>
  <c r="H144" i="4" s="1"/>
  <c r="H165" i="4" s="1"/>
  <c r="H166" i="4" s="1"/>
  <c r="H188" i="4" s="1"/>
  <c r="H201" i="4" s="1"/>
  <c r="H202" i="4" s="1"/>
  <c r="H240" i="4" s="1"/>
  <c r="H246" i="4" s="1"/>
  <c r="R114" i="4"/>
  <c r="Y114" i="4" s="1"/>
  <c r="R164" i="4"/>
  <c r="Y164" i="4" s="1"/>
  <c r="R239" i="4"/>
  <c r="Y239" i="4" s="1"/>
  <c r="V143" i="4"/>
  <c r="V144" i="4" s="1"/>
  <c r="V165" i="4" s="1"/>
  <c r="V166" i="4" s="1"/>
  <c r="V188" i="4" s="1"/>
  <c r="V201" i="4" s="1"/>
  <c r="V202" i="4" s="1"/>
  <c r="V240" i="4" s="1"/>
  <c r="V246" i="4" s="1"/>
  <c r="J188" i="4"/>
  <c r="J201" i="4" s="1"/>
  <c r="J202" i="4" s="1"/>
  <c r="J240" i="4" s="1"/>
  <c r="J246" i="4" s="1"/>
  <c r="N115" i="4"/>
  <c r="N116" i="4" s="1"/>
  <c r="N143" i="4" s="1"/>
  <c r="N144" i="4" s="1"/>
  <c r="N165" i="4" s="1"/>
  <c r="N166" i="4" s="1"/>
  <c r="N188" i="4" s="1"/>
  <c r="N201" i="4" s="1"/>
  <c r="N202" i="4" s="1"/>
  <c r="N240" i="4" s="1"/>
  <c r="N246" i="4" s="1"/>
  <c r="K115" i="3"/>
  <c r="K116" i="3" s="1"/>
  <c r="K135" i="3" s="1"/>
  <c r="K168" i="3" s="1"/>
  <c r="K169" i="3" s="1"/>
  <c r="K200" i="3" s="1"/>
  <c r="W151" i="3"/>
  <c r="W154" i="3" s="1"/>
  <c r="W111" i="3"/>
  <c r="W114" i="3" s="1"/>
  <c r="W189" i="3"/>
  <c r="W104" i="1"/>
  <c r="W134" i="1"/>
  <c r="Y146" i="2"/>
  <c r="M91" i="3"/>
  <c r="M92" i="3" s="1"/>
  <c r="E91" i="3"/>
  <c r="E92" i="3" s="1"/>
  <c r="U105" i="1"/>
  <c r="U106" i="1" s="1"/>
  <c r="U156" i="1" s="1"/>
  <c r="U157" i="1" s="1"/>
  <c r="U188" i="1" s="1"/>
  <c r="U189" i="1" s="1"/>
  <c r="U219" i="1" s="1"/>
  <c r="U223" i="1" s="1"/>
  <c r="Y284" i="2"/>
  <c r="X100" i="2"/>
  <c r="W218" i="1"/>
  <c r="W92" i="1"/>
  <c r="H115" i="3"/>
  <c r="H116" i="3" s="1"/>
  <c r="H135" i="3" s="1"/>
  <c r="H168" i="3" s="1"/>
  <c r="H169" i="3" s="1"/>
  <c r="H200" i="3" s="1"/>
  <c r="H91" i="3"/>
  <c r="H92" i="3" s="1"/>
  <c r="W42" i="1"/>
  <c r="Y420" i="2"/>
  <c r="Y96" i="2"/>
  <c r="R100" i="2"/>
  <c r="D115" i="3"/>
  <c r="D116" i="3" s="1"/>
  <c r="D135" i="3" s="1"/>
  <c r="D91" i="3"/>
  <c r="D92" i="3" s="1"/>
  <c r="U90" i="3"/>
  <c r="W86" i="3"/>
  <c r="O90" i="3"/>
  <c r="W70" i="3"/>
  <c r="N91" i="3"/>
  <c r="N92" i="3" s="1"/>
  <c r="N115" i="3"/>
  <c r="N116" i="3" s="1"/>
  <c r="N135" i="3" s="1"/>
  <c r="X91" i="3"/>
  <c r="X92" i="3" s="1"/>
  <c r="R48" i="4"/>
  <c r="Y48" i="4" s="1"/>
  <c r="X71" i="4"/>
  <c r="S168" i="3"/>
  <c r="S169" i="3" s="1"/>
  <c r="S200" i="3" s="1"/>
  <c r="S136" i="3"/>
  <c r="S155" i="3" s="1"/>
  <c r="S205" i="3" s="1"/>
  <c r="R52" i="4"/>
  <c r="Y52" i="4" s="1"/>
  <c r="E72" i="4"/>
  <c r="R71" i="4"/>
  <c r="Y30" i="4"/>
  <c r="X72" i="4"/>
  <c r="T115" i="4"/>
  <c r="D116" i="4"/>
  <c r="L115" i="3"/>
  <c r="L116" i="3" s="1"/>
  <c r="L135" i="3" s="1"/>
  <c r="L136" i="3" s="1"/>
  <c r="L155" i="3" s="1"/>
  <c r="L205" i="3" s="1"/>
  <c r="W40" i="3"/>
  <c r="O42" i="3"/>
  <c r="O43" i="3" s="1"/>
  <c r="O49" i="3" s="1"/>
  <c r="O50" i="3" s="1"/>
  <c r="X135" i="3"/>
  <c r="X116" i="3"/>
  <c r="U49" i="3"/>
  <c r="U50" i="3" s="1"/>
  <c r="R285" i="2"/>
  <c r="R148" i="2"/>
  <c r="R147" i="2"/>
  <c r="X147" i="2"/>
  <c r="V148" i="2"/>
  <c r="R286" i="2"/>
  <c r="D424" i="2"/>
  <c r="D425" i="2" s="1"/>
  <c r="O43" i="1"/>
  <c r="O45" i="1" s="1"/>
  <c r="J168" i="3" l="1"/>
  <c r="J169" i="3" s="1"/>
  <c r="J200" i="3" s="1"/>
  <c r="M136" i="3"/>
  <c r="M155" i="3" s="1"/>
  <c r="M205" i="3" s="1"/>
  <c r="R168" i="3"/>
  <c r="R169" i="3" s="1"/>
  <c r="R200" i="3" s="1"/>
  <c r="E136" i="3"/>
  <c r="E155" i="3" s="1"/>
  <c r="E205" i="3" s="1"/>
  <c r="W42" i="3"/>
  <c r="W199" i="3"/>
  <c r="I168" i="3"/>
  <c r="I169" i="3" s="1"/>
  <c r="I200" i="3" s="1"/>
  <c r="F168" i="3"/>
  <c r="F169" i="3" s="1"/>
  <c r="F200" i="3" s="1"/>
  <c r="G168" i="3"/>
  <c r="G169" i="3" s="1"/>
  <c r="G200" i="3" s="1"/>
  <c r="K136" i="3"/>
  <c r="K155" i="3" s="1"/>
  <c r="K205" i="3" s="1"/>
  <c r="T136" i="3"/>
  <c r="T155" i="3" s="1"/>
  <c r="T205" i="3" s="1"/>
  <c r="H136" i="3"/>
  <c r="H155" i="3" s="1"/>
  <c r="H205" i="3" s="1"/>
  <c r="W43" i="3"/>
  <c r="W49" i="3" s="1"/>
  <c r="Y71" i="4"/>
  <c r="Y100" i="2"/>
  <c r="AB100" i="2" s="1"/>
  <c r="L168" i="3"/>
  <c r="L169" i="3" s="1"/>
  <c r="L200" i="3" s="1"/>
  <c r="N136" i="3"/>
  <c r="N155" i="3" s="1"/>
  <c r="N205" i="3" s="1"/>
  <c r="N168" i="3"/>
  <c r="N169" i="3" s="1"/>
  <c r="N200" i="3" s="1"/>
  <c r="D168" i="3"/>
  <c r="D169" i="3" s="1"/>
  <c r="D200" i="3" s="1"/>
  <c r="D136" i="3"/>
  <c r="D155" i="3" s="1"/>
  <c r="D205" i="3" s="1"/>
  <c r="Y147" i="2"/>
  <c r="AB147" i="2" s="1"/>
  <c r="W90" i="3"/>
  <c r="T116" i="4"/>
  <c r="X115" i="4"/>
  <c r="E115" i="4"/>
  <c r="R72" i="4"/>
  <c r="Y72" i="4" s="1"/>
  <c r="D143" i="4"/>
  <c r="O115" i="3"/>
  <c r="O116" i="3" s="1"/>
  <c r="O135" i="3" s="1"/>
  <c r="O91" i="3"/>
  <c r="O92" i="3" s="1"/>
  <c r="X136" i="3"/>
  <c r="X155" i="3"/>
  <c r="W50" i="3"/>
  <c r="U115" i="3"/>
  <c r="U116" i="3" s="1"/>
  <c r="U91" i="3"/>
  <c r="U92" i="3" s="1"/>
  <c r="V285" i="2"/>
  <c r="X148" i="2"/>
  <c r="Y148" i="2" s="1"/>
  <c r="R425" i="2"/>
  <c r="D507" i="2"/>
  <c r="R424" i="2"/>
  <c r="W43" i="1"/>
  <c r="W45" i="1"/>
  <c r="O46" i="1"/>
  <c r="E116" i="4" l="1"/>
  <c r="R115" i="4"/>
  <c r="Y115" i="4" s="1"/>
  <c r="T143" i="4"/>
  <c r="X116" i="4"/>
  <c r="D144" i="4"/>
  <c r="W92" i="3"/>
  <c r="O136" i="3"/>
  <c r="O155" i="3" s="1"/>
  <c r="O205" i="3" s="1"/>
  <c r="O168" i="3"/>
  <c r="O169" i="3" s="1"/>
  <c r="O200" i="3" s="1"/>
  <c r="X205" i="3"/>
  <c r="X168" i="3"/>
  <c r="U135" i="3"/>
  <c r="W116" i="3"/>
  <c r="W115" i="3"/>
  <c r="W91" i="3"/>
  <c r="V286" i="2"/>
  <c r="X285" i="2"/>
  <c r="Y285" i="2" s="1"/>
  <c r="AB285" i="2" s="1"/>
  <c r="D508" i="2"/>
  <c r="R507" i="2"/>
  <c r="W46" i="1"/>
  <c r="W105" i="1" s="1"/>
  <c r="O105" i="1"/>
  <c r="O106" i="1" s="1"/>
  <c r="T144" i="4" l="1"/>
  <c r="X143" i="4"/>
  <c r="E143" i="4"/>
  <c r="R116" i="4"/>
  <c r="Y116" i="4" s="1"/>
  <c r="D165" i="4"/>
  <c r="X169" i="3"/>
  <c r="X200" i="3"/>
  <c r="U168" i="3"/>
  <c r="U169" i="3" s="1"/>
  <c r="U136" i="3"/>
  <c r="W135" i="3"/>
  <c r="W168" i="3" s="1"/>
  <c r="V424" i="2"/>
  <c r="V425" i="2" s="1"/>
  <c r="X286" i="2"/>
  <c r="D566" i="2"/>
  <c r="R508" i="2"/>
  <c r="O156" i="1"/>
  <c r="O157" i="1" s="1"/>
  <c r="W106" i="1"/>
  <c r="W156" i="1" s="1"/>
  <c r="E144" i="4" l="1"/>
  <c r="R143" i="4"/>
  <c r="Y143" i="4" s="1"/>
  <c r="T165" i="4"/>
  <c r="X144" i="4"/>
  <c r="D166" i="4"/>
  <c r="U155" i="3"/>
  <c r="W136" i="3"/>
  <c r="U200" i="3"/>
  <c r="W200" i="3" s="1"/>
  <c r="W169" i="3"/>
  <c r="X424" i="2"/>
  <c r="Y286" i="2"/>
  <c r="AB424" i="2" s="1"/>
  <c r="V507" i="2"/>
  <c r="X425" i="2"/>
  <c r="Y425" i="2" s="1"/>
  <c r="D570" i="2"/>
  <c r="R566" i="2"/>
  <c r="W157" i="1"/>
  <c r="W188" i="1" s="1"/>
  <c r="O188" i="1"/>
  <c r="O189" i="1" s="1"/>
  <c r="T166" i="4" l="1"/>
  <c r="X165" i="4"/>
  <c r="E165" i="4"/>
  <c r="R144" i="4"/>
  <c r="Y144" i="4" s="1"/>
  <c r="D188" i="4"/>
  <c r="W155" i="3"/>
  <c r="W205" i="3" s="1"/>
  <c r="U205" i="3"/>
  <c r="X507" i="2"/>
  <c r="Y507" i="2" s="1"/>
  <c r="AB507" i="2" s="1"/>
  <c r="V508" i="2"/>
  <c r="R570" i="2"/>
  <c r="W189" i="1"/>
  <c r="W219" i="1" s="1"/>
  <c r="W223" i="1" s="1"/>
  <c r="O219" i="1"/>
  <c r="O223" i="1" s="1"/>
  <c r="E166" i="4" l="1"/>
  <c r="R165" i="4"/>
  <c r="Y165" i="4" s="1"/>
  <c r="Z165" i="4" s="1"/>
  <c r="T188" i="4"/>
  <c r="X166" i="4"/>
  <c r="D201" i="4"/>
  <c r="X508" i="2"/>
  <c r="Y508" i="2" s="1"/>
  <c r="V566" i="2"/>
  <c r="T201" i="4" l="1"/>
  <c r="X188" i="4"/>
  <c r="E188" i="4"/>
  <c r="R166" i="4"/>
  <c r="Y166" i="4" s="1"/>
  <c r="D202" i="4"/>
  <c r="X566" i="2"/>
  <c r="V570" i="2"/>
  <c r="E201" i="4" l="1"/>
  <c r="R188" i="4"/>
  <c r="Y188" i="4" s="1"/>
  <c r="T202" i="4"/>
  <c r="X201" i="4"/>
  <c r="D240" i="4"/>
  <c r="X570" i="2"/>
  <c r="Y566" i="2"/>
  <c r="T240" i="4" l="1"/>
  <c r="X202" i="4"/>
  <c r="E202" i="4"/>
  <c r="R201" i="4"/>
  <c r="Y201" i="4" s="1"/>
  <c r="D246" i="4"/>
  <c r="Y570" i="2"/>
  <c r="AB566" i="2"/>
  <c r="E240" i="4" l="1"/>
  <c r="R202" i="4"/>
  <c r="Y202" i="4" s="1"/>
  <c r="T246" i="4"/>
  <c r="X240" i="4"/>
  <c r="X246" i="4" s="1"/>
  <c r="E246" i="4" l="1"/>
  <c r="R240" i="4"/>
  <c r="Y240" i="4" l="1"/>
  <c r="Y246" i="4" s="1"/>
  <c r="R246" i="4"/>
</calcChain>
</file>

<file path=xl/sharedStrings.xml><?xml version="1.0" encoding="utf-8"?>
<sst xmlns="http://schemas.openxmlformats.org/spreadsheetml/2006/main" count="1565" uniqueCount="751">
  <si>
    <t>K I M U T A T Á S</t>
  </si>
  <si>
    <t>ezer Ft-ban</t>
  </si>
  <si>
    <t xml:space="preserve"> </t>
  </si>
  <si>
    <t>Szöveges indoklás a</t>
  </si>
  <si>
    <t>Egyéb</t>
  </si>
  <si>
    <t>Működési</t>
  </si>
  <si>
    <t>Felhalmozási</t>
  </si>
  <si>
    <t>Bevételek</t>
  </si>
  <si>
    <t>Ssz.</t>
  </si>
  <si>
    <t>forrás származására és a kiadás</t>
  </si>
  <si>
    <t>bevételek</t>
  </si>
  <si>
    <t>célú</t>
  </si>
  <si>
    <t>összesen</t>
  </si>
  <si>
    <t>felhasználási  jogcimére</t>
  </si>
  <si>
    <t>visszatérül.</t>
  </si>
  <si>
    <t>működési</t>
  </si>
  <si>
    <t>bevételei</t>
  </si>
  <si>
    <t>pénzeszköz</t>
  </si>
  <si>
    <t>Érvényes előirányzatok:</t>
  </si>
  <si>
    <t>Módosítás</t>
  </si>
  <si>
    <t>Módosított előirányzat</t>
  </si>
  <si>
    <t>000</t>
  </si>
  <si>
    <t>Felülvizsgálat</t>
  </si>
  <si>
    <t>010</t>
  </si>
  <si>
    <t>030</t>
  </si>
  <si>
    <t>080</t>
  </si>
  <si>
    <t>090</t>
  </si>
  <si>
    <t>120</t>
  </si>
  <si>
    <t>121</t>
  </si>
  <si>
    <t>180</t>
  </si>
  <si>
    <t>Felülvizsgálati módosítások összesen:</t>
  </si>
  <si>
    <t>Módosítások összesen:</t>
  </si>
  <si>
    <t>K I A D Á S O K</t>
  </si>
  <si>
    <t>Ellátottak</t>
  </si>
  <si>
    <t>Intézmény-</t>
  </si>
  <si>
    <t>Kiadások</t>
  </si>
  <si>
    <t>Személyi</t>
  </si>
  <si>
    <t>Munkaadót</t>
  </si>
  <si>
    <t xml:space="preserve">Dologi </t>
  </si>
  <si>
    <t>pénzbeli</t>
  </si>
  <si>
    <t>kiadások</t>
  </si>
  <si>
    <t>kölcsönök</t>
  </si>
  <si>
    <t>Tartalékok</t>
  </si>
  <si>
    <t>finan-</t>
  </si>
  <si>
    <t>juttatás</t>
  </si>
  <si>
    <t>juttatásai</t>
  </si>
  <si>
    <t>nyújtása</t>
  </si>
  <si>
    <t>kiadásai</t>
  </si>
  <si>
    <t>szírozás</t>
  </si>
  <si>
    <t>járulékok</t>
  </si>
  <si>
    <t>támogatás</t>
  </si>
  <si>
    <t>020</t>
  </si>
  <si>
    <t>021</t>
  </si>
  <si>
    <t>025</t>
  </si>
  <si>
    <t>026</t>
  </si>
  <si>
    <t>028</t>
  </si>
  <si>
    <t>032</t>
  </si>
  <si>
    <t>034</t>
  </si>
  <si>
    <t>051</t>
  </si>
  <si>
    <t>052</t>
  </si>
  <si>
    <t>060</t>
  </si>
  <si>
    <t>101</t>
  </si>
  <si>
    <t>Vonal alattiak</t>
  </si>
  <si>
    <t>019</t>
  </si>
  <si>
    <t>1</t>
  </si>
  <si>
    <t>001</t>
  </si>
  <si>
    <t>022</t>
  </si>
  <si>
    <t>Eredeti előirányzatok:</t>
  </si>
  <si>
    <t>Kerekítés miatt</t>
  </si>
  <si>
    <t>002</t>
  </si>
  <si>
    <t>013</t>
  </si>
  <si>
    <t>085</t>
  </si>
  <si>
    <t>102</t>
  </si>
  <si>
    <t>105</t>
  </si>
  <si>
    <t>112</t>
  </si>
  <si>
    <t>150</t>
  </si>
  <si>
    <t>190</t>
  </si>
  <si>
    <t>terhelő</t>
  </si>
  <si>
    <t>Szociális adó</t>
  </si>
  <si>
    <t>támogatások</t>
  </si>
  <si>
    <t>024</t>
  </si>
  <si>
    <t>054</t>
  </si>
  <si>
    <t>1/H-1</t>
  </si>
  <si>
    <t>003</t>
  </si>
  <si>
    <t>H010</t>
  </si>
  <si>
    <t>Előző évi maradvány átvétel</t>
  </si>
  <si>
    <t>FELÜGYELETI HATÁSKÖRŰ MÓDOSÍTÁSOK</t>
  </si>
  <si>
    <t>SAJÁT HATÁSKÖRŰ MÓDOSÍTÁSOK</t>
  </si>
  <si>
    <t>A</t>
  </si>
  <si>
    <t>B</t>
  </si>
  <si>
    <t>Módosítások összesen (A+B)</t>
  </si>
  <si>
    <t>H151</t>
  </si>
  <si>
    <t>1. sz. melléklet</t>
  </si>
  <si>
    <t>2. sz. melléklet</t>
  </si>
  <si>
    <t>3. sz. melléklet</t>
  </si>
  <si>
    <t>4. sz. melléklet</t>
  </si>
  <si>
    <t>Rendelet 4. sz. tábla</t>
  </si>
  <si>
    <t>Eltérés rendelethez:</t>
  </si>
  <si>
    <t>Felülvizs.</t>
  </si>
  <si>
    <t>ő151</t>
  </si>
  <si>
    <t>ő180</t>
  </si>
  <si>
    <t>Rendelet 5. sz. tábla</t>
  </si>
  <si>
    <t>Rendelet 4 sz. tábla</t>
  </si>
  <si>
    <t>belülről</t>
  </si>
  <si>
    <t>átvett</t>
  </si>
  <si>
    <t>Felhal-</t>
  </si>
  <si>
    <t>mozási</t>
  </si>
  <si>
    <t>felhalm.</t>
  </si>
  <si>
    <t>első</t>
  </si>
  <si>
    <t>Csak szöveges módosítás volt</t>
  </si>
  <si>
    <t>Csak szöveges módosítás volt!</t>
  </si>
  <si>
    <t xml:space="preserve">Irányító </t>
  </si>
  <si>
    <t>szervtől</t>
  </si>
  <si>
    <t>kapott</t>
  </si>
  <si>
    <t>H090</t>
  </si>
  <si>
    <t>H105</t>
  </si>
  <si>
    <t>H180</t>
  </si>
  <si>
    <t>…</t>
  </si>
  <si>
    <t>111</t>
  </si>
  <si>
    <t>418</t>
  </si>
  <si>
    <t>419</t>
  </si>
  <si>
    <t>utólag feladásnál</t>
  </si>
  <si>
    <t>nyolcadik</t>
  </si>
  <si>
    <t>Műk. célú támogatások áht-n belülről</t>
  </si>
  <si>
    <t>Önkorm.</t>
  </si>
  <si>
    <t>Elvonások</t>
  </si>
  <si>
    <t>Egyéb műk.c.</t>
  </si>
  <si>
    <t xml:space="preserve">és </t>
  </si>
  <si>
    <t>támogatása</t>
  </si>
  <si>
    <t>befizetések</t>
  </si>
  <si>
    <t>áht-n</t>
  </si>
  <si>
    <t>Felh.c.tám.áht-n belülről</t>
  </si>
  <si>
    <t>Felh.c.átvett pénzeszközök</t>
  </si>
  <si>
    <t>Közhatalmi</t>
  </si>
  <si>
    <t>Egyéb felh.c.</t>
  </si>
  <si>
    <t>Felh.c.</t>
  </si>
  <si>
    <t>támogatások,</t>
  </si>
  <si>
    <t>önk-i</t>
  </si>
  <si>
    <t>célú átvett</t>
  </si>
  <si>
    <t>Költség-</t>
  </si>
  <si>
    <t>vetési</t>
  </si>
  <si>
    <t>Finanszírozási bevételek</t>
  </si>
  <si>
    <t xml:space="preserve">Belföldi </t>
  </si>
  <si>
    <t>Előző év</t>
  </si>
  <si>
    <t>érték-</t>
  </si>
  <si>
    <t>költségv-i</t>
  </si>
  <si>
    <t>papírok</t>
  </si>
  <si>
    <t>maradvány</t>
  </si>
  <si>
    <t>igénybevét.</t>
  </si>
  <si>
    <t>(3+…+13)</t>
  </si>
  <si>
    <t>Finan-</t>
  </si>
  <si>
    <t>szírozási</t>
  </si>
  <si>
    <t>(15+18)</t>
  </si>
  <si>
    <t>(14 + 19)</t>
  </si>
  <si>
    <t>Módosított előirányzatok</t>
  </si>
  <si>
    <t>Módosított előirányzatok:</t>
  </si>
  <si>
    <t>Felh.c.vtérít.</t>
  </si>
  <si>
    <t>Lakás-</t>
  </si>
  <si>
    <t>Hosszú lej.</t>
  </si>
  <si>
    <t>Belföldi</t>
  </si>
  <si>
    <t>Beruházások</t>
  </si>
  <si>
    <t>Felújítások</t>
  </si>
  <si>
    <t>felhalm.célú</t>
  </si>
  <si>
    <t>tám.,kölcsön</t>
  </si>
  <si>
    <t>hitelek,</t>
  </si>
  <si>
    <t xml:space="preserve"> kölcsönök</t>
  </si>
  <si>
    <t>belülre</t>
  </si>
  <si>
    <t>kívülre</t>
  </si>
  <si>
    <t>áht-n belülre</t>
  </si>
  <si>
    <t>áht-n kívülre</t>
  </si>
  <si>
    <t>törlesztése</t>
  </si>
  <si>
    <t>Működési költségvetési kiadások</t>
  </si>
  <si>
    <t>Felhalmozási költségvetési kiadások</t>
  </si>
  <si>
    <t>Finanszírozási kiadások</t>
  </si>
  <si>
    <t>Első</t>
  </si>
  <si>
    <t>(3+16)</t>
  </si>
  <si>
    <t>(18+21)</t>
  </si>
  <si>
    <t>(17+22)</t>
  </si>
  <si>
    <t>Szoc. adó</t>
  </si>
  <si>
    <t>Irányító szervi támogatás</t>
  </si>
  <si>
    <t>Harmadik</t>
  </si>
  <si>
    <t>Működtetett intézmények többletbevétele</t>
  </si>
  <si>
    <t>Polgármesteri Kabinet dologi kiadásra</t>
  </si>
  <si>
    <t>negyedik</t>
  </si>
  <si>
    <t>nov.30.</t>
  </si>
  <si>
    <t>dec.31.</t>
  </si>
  <si>
    <t>ötödik</t>
  </si>
  <si>
    <t>finanszí-</t>
  </si>
  <si>
    <t>rozási</t>
  </si>
  <si>
    <t>035</t>
  </si>
  <si>
    <t>..</t>
  </si>
  <si>
    <t>EIM-2</t>
  </si>
  <si>
    <t>EIM-1</t>
  </si>
  <si>
    <t>K1</t>
  </si>
  <si>
    <t>K2</t>
  </si>
  <si>
    <t>K3</t>
  </si>
  <si>
    <t>K4</t>
  </si>
  <si>
    <t>K502</t>
  </si>
  <si>
    <t>K506</t>
  </si>
  <si>
    <t>K512</t>
  </si>
  <si>
    <t>K513</t>
  </si>
  <si>
    <t>K6</t>
  </si>
  <si>
    <t>K7</t>
  </si>
  <si>
    <t>K84</t>
  </si>
  <si>
    <t>K86</t>
  </si>
  <si>
    <t>K87</t>
  </si>
  <si>
    <t>K89</t>
  </si>
  <si>
    <t>K9111</t>
  </si>
  <si>
    <t>K912</t>
  </si>
  <si>
    <t>K915</t>
  </si>
  <si>
    <t>K916</t>
  </si>
  <si>
    <t>B11</t>
  </si>
  <si>
    <t>B12</t>
  </si>
  <si>
    <t>B16</t>
  </si>
  <si>
    <t>B3</t>
  </si>
  <si>
    <t>B4</t>
  </si>
  <si>
    <t>B6</t>
  </si>
  <si>
    <t>B21</t>
  </si>
  <si>
    <t>B25</t>
  </si>
  <si>
    <t>B5</t>
  </si>
  <si>
    <t>B74</t>
  </si>
  <si>
    <t>B75</t>
  </si>
  <si>
    <t>B812</t>
  </si>
  <si>
    <t>B813</t>
  </si>
  <si>
    <t>B816</t>
  </si>
  <si>
    <t>B817</t>
  </si>
  <si>
    <t>055</t>
  </si>
  <si>
    <t xml:space="preserve">Maradvány </t>
  </si>
  <si>
    <t>Maradvány</t>
  </si>
  <si>
    <t>Maradvánnyal módosított előirányzatok</t>
  </si>
  <si>
    <t>ÁHT-n</t>
  </si>
  <si>
    <t>belüli meg-</t>
  </si>
  <si>
    <t>előlegezések</t>
  </si>
  <si>
    <t>kapott előleg</t>
  </si>
  <si>
    <t>előlegezés</t>
  </si>
  <si>
    <t>visszafiz.</t>
  </si>
  <si>
    <t>EIM-H-1</t>
  </si>
  <si>
    <t>Házipénztár riasztó rendszer</t>
  </si>
  <si>
    <t>Szoc.Iroda működési támogatás átcsop.</t>
  </si>
  <si>
    <t>Hangszer javítás</t>
  </si>
  <si>
    <t>EIM-3</t>
  </si>
  <si>
    <t>Geotechnikai szakértői vélemény készítés</t>
  </si>
  <si>
    <t>EIM-5</t>
  </si>
  <si>
    <t>Diákgyőztesek jutalmazása,Szülők akadémiája progr.</t>
  </si>
  <si>
    <t>EIM-6</t>
  </si>
  <si>
    <t>EIM-7</t>
  </si>
  <si>
    <t>EIM-8</t>
  </si>
  <si>
    <t>Közter.Felügy.elh.tervezési munkáira</t>
  </si>
  <si>
    <t>EIM-9</t>
  </si>
  <si>
    <t>Várakozóhely megváltás</t>
  </si>
  <si>
    <t>Int.fin.-Szászorszép Óvoda</t>
  </si>
  <si>
    <t>Int.fin.-Bölcsődék,Óvodák-2016.XII.havi bérkomp.</t>
  </si>
  <si>
    <t>EIM-7/A</t>
  </si>
  <si>
    <t>Int.fin. - Eü.Szolg. 2016.XII. havi bérkompenzáció</t>
  </si>
  <si>
    <t>EIM-7/PH</t>
  </si>
  <si>
    <t xml:space="preserve"> 2016.XII. havi bérkompenzáció</t>
  </si>
  <si>
    <t>EIM-10</t>
  </si>
  <si>
    <t>Kerületünk az otthonunk Frakciókeret</t>
  </si>
  <si>
    <t>EIM-11</t>
  </si>
  <si>
    <t>KDNP Frakciókeret</t>
  </si>
  <si>
    <t>EIM-12</t>
  </si>
  <si>
    <t>FIDESZ Frakciókeret</t>
  </si>
  <si>
    <t>EIM-13</t>
  </si>
  <si>
    <t>Uszoda - Közlekedés fejlesztése</t>
  </si>
  <si>
    <t>EIM-14</t>
  </si>
  <si>
    <t>EIM-15</t>
  </si>
  <si>
    <t>EIM-19</t>
  </si>
  <si>
    <t>Int.fin.-Bölcsődék,Óvodák, IMK felújítás</t>
  </si>
  <si>
    <t>EIM-H-2
EIM-7</t>
  </si>
  <si>
    <t>2016.XII. havi bérkompenzáció</t>
  </si>
  <si>
    <t>Int.fin.-Bölcsődék,Óvodák,Szoc.Int. Karbantartás</t>
  </si>
  <si>
    <t>EIM-H-4</t>
  </si>
  <si>
    <t>Házasságkötő-terem folyadékhűtő kialakítás</t>
  </si>
  <si>
    <t>Közfoglalkozás támogatása</t>
  </si>
  <si>
    <t xml:space="preserve">Bursa Hungarica - fel nem használt ösztöndíj </t>
  </si>
  <si>
    <t>EIM-20</t>
  </si>
  <si>
    <t>PH. Bérkompenzáció 2017. évi</t>
  </si>
  <si>
    <t>Bérkompenzáció 2017. évi</t>
  </si>
  <si>
    <t>EIM-H-3
EIM-20</t>
  </si>
  <si>
    <t>Int.fin.-Bölcsődék,Óvodák-2017. bérkompenzáció</t>
  </si>
  <si>
    <t>Int.fin. -  Eü. Szolg. 2017. bérkompenzáció</t>
  </si>
  <si>
    <t>EIM-21</t>
  </si>
  <si>
    <t>Int.fin.-Bölcsődék, Szoc. Int. Szoc.ágazati pótlék</t>
  </si>
  <si>
    <t>EIM-22</t>
  </si>
  <si>
    <t>Int.fin.Bölcsődei középfokú végz.dolgozók béremelése</t>
  </si>
  <si>
    <t>EIM-23</t>
  </si>
  <si>
    <t>Polgármesteri Keret felhasználása</t>
  </si>
  <si>
    <t>EIM-H-7</t>
  </si>
  <si>
    <t>Int.fin-Bölcsődei középf. végz.dolgozók béremelése</t>
  </si>
  <si>
    <t>Telefonközpont és készülék beszerzés régi beszámítással</t>
  </si>
  <si>
    <t>EIM-H-8</t>
  </si>
  <si>
    <t>Érmeosztályozó beszerzés régi értékesítésével</t>
  </si>
  <si>
    <t>EIM-29</t>
  </si>
  <si>
    <t>Előző évben adott, fel nem használt támogatások visszafizetése</t>
  </si>
  <si>
    <t>EIM-30</t>
  </si>
  <si>
    <t>EIM-31</t>
  </si>
  <si>
    <t>EIM-32</t>
  </si>
  <si>
    <t>Államkötvény beváltás, kicstárjegy vásárlás</t>
  </si>
  <si>
    <t>EIM-33</t>
  </si>
  <si>
    <t>Áht-n belüli megelőlegezések visszafizetése</t>
  </si>
  <si>
    <t>EIM-45</t>
  </si>
  <si>
    <t>Int.fin. - Törökvész u-i., Kolozsvár u-i Óvodák</t>
  </si>
  <si>
    <t>EIM-35</t>
  </si>
  <si>
    <t>Parkolóban kijelző csere</t>
  </si>
  <si>
    <t>EIM-36</t>
  </si>
  <si>
    <t>EIM-37</t>
  </si>
  <si>
    <t>Völgy u-i Óvodában fűtéskorszerűsítés</t>
  </si>
  <si>
    <t>EIM-38</t>
  </si>
  <si>
    <t>Polg. Hiv. - Illegális hulladék elszállítása</t>
  </si>
  <si>
    <t>Illegális hulladék elszállítása</t>
  </si>
  <si>
    <t>EIM-H-11
EIM-38</t>
  </si>
  <si>
    <t>EIM-39</t>
  </si>
  <si>
    <t>Testvérvárosi kapcsolatok -  Mosbachi látogatás</t>
  </si>
  <si>
    <t>EIM-41</t>
  </si>
  <si>
    <t>TÉR_KÖZ II.pály. Fonódó vill.kapcs.támogatás</t>
  </si>
  <si>
    <t>EIM-43</t>
  </si>
  <si>
    <t>EIM-47</t>
  </si>
  <si>
    <t>Musica Sacra közreműködőinek vendéglátása</t>
  </si>
  <si>
    <t>EIM-48</t>
  </si>
  <si>
    <t>EIM-49</t>
  </si>
  <si>
    <t>Int.fin. -  Eü. Szolg. Személygépkocsi beszerzés</t>
  </si>
  <si>
    <t>EIM-H-13</t>
  </si>
  <si>
    <t>Főv.parkoláshoz adatátviteli c.távk.díj</t>
  </si>
  <si>
    <t>EIM-51</t>
  </si>
  <si>
    <t>EIM-52</t>
  </si>
  <si>
    <t>Alpolgármesteri Keret felhasználása</t>
  </si>
  <si>
    <t>EIM-53</t>
  </si>
  <si>
    <t>Aprónép alapítvány támogatása</t>
  </si>
  <si>
    <t>Uszoda - tájépítészeti koncepcióterv</t>
  </si>
  <si>
    <t>EIM-H-14</t>
  </si>
  <si>
    <t>EIM-55</t>
  </si>
  <si>
    <t>Felhévízi út 19.lakóingatlan bontási kivitelezési terv</t>
  </si>
  <si>
    <t>EIM-56</t>
  </si>
  <si>
    <t>Bíró László József emléktábla készítés</t>
  </si>
  <si>
    <t>EIM-57</t>
  </si>
  <si>
    <t>ő101</t>
  </si>
  <si>
    <t>EIM-61</t>
  </si>
  <si>
    <t>EIM-62</t>
  </si>
  <si>
    <t>EIM-63</t>
  </si>
  <si>
    <t>EIM-64</t>
  </si>
  <si>
    <t>Int.fin. - sporttevékenység támogatása</t>
  </si>
  <si>
    <t>Int.fin. - II.Gondozási Kp. Kulturális program tám.</t>
  </si>
  <si>
    <t>Int.fin. - Óvodák napitorlái</t>
  </si>
  <si>
    <t>Int.fin. - Eü. Szolg.Egészségnapi szűrővizsálatok</t>
  </si>
  <si>
    <t>Elektromos töltőállomás beszerzése, telepitése</t>
  </si>
  <si>
    <t>EIM-H-18</t>
  </si>
  <si>
    <t>Maradvány korrekciója</t>
  </si>
  <si>
    <t>EIM-H-19</t>
  </si>
  <si>
    <t>EIM-60</t>
  </si>
  <si>
    <t>EIM-65</t>
  </si>
  <si>
    <t>EIM-66</t>
  </si>
  <si>
    <t>EIM-69</t>
  </si>
  <si>
    <t>Internet Kortalanul tanfolyam</t>
  </si>
  <si>
    <t>EIM-70</t>
  </si>
  <si>
    <t>KEHOP-5.2.9 Épületenergetikai pály.tám.</t>
  </si>
  <si>
    <t>EIM-71</t>
  </si>
  <si>
    <t>Meghiúsult 2016. évi telekértékesítés</t>
  </si>
  <si>
    <t>EIM-72</t>
  </si>
  <si>
    <t>EIM-74</t>
  </si>
  <si>
    <t>EIM-75</t>
  </si>
  <si>
    <t>Nemzetiségeink tám. - Kerület Napján való részvétel</t>
  </si>
  <si>
    <t>EIM-77</t>
  </si>
  <si>
    <t>Lakás bérleti jogviszony megváltás</t>
  </si>
  <si>
    <t>EIM-78</t>
  </si>
  <si>
    <t>Uszoda - sugárzás vizsgálat díja</t>
  </si>
  <si>
    <t>EIM-79</t>
  </si>
  <si>
    <t>Internet Kortalanul tanfolyam lebonyolítása</t>
  </si>
  <si>
    <t>Községház u.4.óvoda belső korsz.tervdok. elkészítése</t>
  </si>
  <si>
    <t>EIM-80</t>
  </si>
  <si>
    <t>Energetikai pályázatok fedezete KEHOP-5.2.9</t>
  </si>
  <si>
    <t>EIM-81</t>
  </si>
  <si>
    <t>Előző évi műk.c.pénzmaradvány igénybevétel</t>
  </si>
  <si>
    <t>Polg.Hiv. fel nem használt maradvány befiz.</t>
  </si>
  <si>
    <t>EIM-82</t>
  </si>
  <si>
    <t>EIM-83</t>
  </si>
  <si>
    <t>EIM-84</t>
  </si>
  <si>
    <t>HungaroControll Zrt-től támogatás</t>
  </si>
  <si>
    <t>EIM-85</t>
  </si>
  <si>
    <t>Int.fin. - Eü.Szolg. - BEMER készülék</t>
  </si>
  <si>
    <t>EIM-86</t>
  </si>
  <si>
    <t>Int.fin. - Szászorszép Óvoda</t>
  </si>
  <si>
    <t>EIM-88</t>
  </si>
  <si>
    <t>Int.fin.-Bölcsődék,Óvodák, Szoc.inzézm., IMK-2017. bérkomp.</t>
  </si>
  <si>
    <t>EIM-88/A</t>
  </si>
  <si>
    <t>Int.fin. - Eü.Szolg. - 2017. évi bérkompenzáció</t>
  </si>
  <si>
    <t>EIM-89</t>
  </si>
  <si>
    <t>Int.fin.-Bölcsődék,Óvodák, Szoc.intézm., IMK-2017. bérkomp.</t>
  </si>
  <si>
    <t>Int.fin. - Bölcsődék, Szoc.Intézm. - szoc.ágazati pótlék</t>
  </si>
  <si>
    <t>EIM-90</t>
  </si>
  <si>
    <t>Int.fin.-Bölcsődék - Középfokú végzettségüek pótléka</t>
  </si>
  <si>
    <t>EIM-91</t>
  </si>
  <si>
    <t>Int.fin.-Szoc.Intézmények program támogatások</t>
  </si>
  <si>
    <t>Int.fin.- Bölcsődék,Óvodák tisztasági festése</t>
  </si>
  <si>
    <t>EIM-92</t>
  </si>
  <si>
    <t>EIM-88/PH</t>
  </si>
  <si>
    <t>EIM-H-21
EIM-88/PH</t>
  </si>
  <si>
    <t>EIM-93</t>
  </si>
  <si>
    <t>Kimagasló eredményt elérő tanulók jutalmazása</t>
  </si>
  <si>
    <t>EIM-94</t>
  </si>
  <si>
    <t>Bfenyvesi üdülőtábor -műsz.ell.,művez.</t>
  </si>
  <si>
    <t>EIM-95</t>
  </si>
  <si>
    <t>EIM-96</t>
  </si>
  <si>
    <t>EIM-97</t>
  </si>
  <si>
    <t xml:space="preserve">HAVARIA Keret </t>
  </si>
  <si>
    <t>EIM-98</t>
  </si>
  <si>
    <t>Uszoda - hálózatfejl.,FŐKÉTÜSZ vizsg.díj</t>
  </si>
  <si>
    <t>EIM-99</t>
  </si>
  <si>
    <t>Polgármesteri Hivatal bútorcsere</t>
  </si>
  <si>
    <t>EIM-100</t>
  </si>
  <si>
    <t>PH-ban karbantartási munkákra</t>
  </si>
  <si>
    <t>EIM-H-23
EIM-99/PH</t>
  </si>
  <si>
    <t>EIM-H-24
EIM-100/PH</t>
  </si>
  <si>
    <t>EIM-101</t>
  </si>
  <si>
    <t>Int.fin - Bölcsődék-Óvodák: dicséret</t>
  </si>
  <si>
    <t>EIM-102</t>
  </si>
  <si>
    <t>Int.fin - Bölcsődék-Óvodák: Pedagógus nap</t>
  </si>
  <si>
    <t>EIM-103</t>
  </si>
  <si>
    <t>Int.fin. - Eü. Szolg: Pm dicséret</t>
  </si>
  <si>
    <t>EIM-104</t>
  </si>
  <si>
    <t>Int.fin. - Szoc.Intézmények: Jutalom</t>
  </si>
  <si>
    <t>EIM-105</t>
  </si>
  <si>
    <t>EIM-106</t>
  </si>
  <si>
    <t>Int.fin. - Eü.Szolg.:Olympos videoendoszkóp</t>
  </si>
  <si>
    <t>EIM-110</t>
  </si>
  <si>
    <t>Int.fin - Bölcsődék-Óvodák: Differ kimeneti mérés</t>
  </si>
  <si>
    <t>EIM-111</t>
  </si>
  <si>
    <t>Int.fin. - Szemlőhegy Óvoda: napvitorlák</t>
  </si>
  <si>
    <t>Int.fin. - IMK: Bolyai Óvoda festés</t>
  </si>
  <si>
    <t>EIM-H-20</t>
  </si>
  <si>
    <t>Klimaberendezés cseréje 409. irodában</t>
  </si>
  <si>
    <t>Közter.Felügy.elh.műszaki ellenőrzése</t>
  </si>
  <si>
    <t>EIM-107</t>
  </si>
  <si>
    <t>EIM-108</t>
  </si>
  <si>
    <t>Kház u.4.Óvoda belső felúj.műszaki ellenőrzése</t>
  </si>
  <si>
    <t>EIM-112</t>
  </si>
  <si>
    <t>EIM-114</t>
  </si>
  <si>
    <t>Hidegkúti út 244. kerítés építés</t>
  </si>
  <si>
    <t>EIM-115</t>
  </si>
  <si>
    <t>EIM-116</t>
  </si>
  <si>
    <t>EIM-H-25</t>
  </si>
  <si>
    <t>Közcélú foglalkoztatás</t>
  </si>
  <si>
    <t>EIM-120</t>
  </si>
  <si>
    <t>IGI - Biztosítási díj</t>
  </si>
  <si>
    <t>Intézményekben elvégzendő munkákra</t>
  </si>
  <si>
    <t>EIM-H-26</t>
  </si>
  <si>
    <t>Bevételek átcsoportosítása</t>
  </si>
  <si>
    <t>Intézmények fel nem használt maradvány befiz.</t>
  </si>
  <si>
    <t>EIM-118</t>
  </si>
  <si>
    <t>EIM-119</t>
  </si>
  <si>
    <t>Előző évben adott, fel nem haszn.tám.visszafizetése</t>
  </si>
  <si>
    <t>Előző évben adott, fel nem haszn.tám.visszafiz.</t>
  </si>
  <si>
    <t>EIM-122</t>
  </si>
  <si>
    <t>Reprezentációból áfá-ra átcsoportosítás</t>
  </si>
  <si>
    <t>EIM-124</t>
  </si>
  <si>
    <t>Részesedés megszűnéséhez kapcsolódó bev.</t>
  </si>
  <si>
    <t>EIM-125</t>
  </si>
  <si>
    <t>Többletbevételek beemelése</t>
  </si>
  <si>
    <t>Bérfeszültség enyhítésére kapott tám.</t>
  </si>
  <si>
    <t>EIM-128</t>
  </si>
  <si>
    <t>Iparűzési adó költségtérítése Főváros felé</t>
  </si>
  <si>
    <t>EIM-131</t>
  </si>
  <si>
    <t>EIM-132</t>
  </si>
  <si>
    <t>Kincstárjegy vásárláshoz kapcs.kamatkiadás</t>
  </si>
  <si>
    <t>EIM-H-27</t>
  </si>
  <si>
    <t>Tervezési munkák PH főépületben</t>
  </si>
  <si>
    <t>EIM-136</t>
  </si>
  <si>
    <t>Int.fin. - Ptypang Óvoda csapadékvíz elvezetés</t>
  </si>
  <si>
    <t>EIM-137</t>
  </si>
  <si>
    <t>Int.fin. - Egyesített Bölcsődék csapadékvíz elvezetés</t>
  </si>
  <si>
    <t>EIM-138</t>
  </si>
  <si>
    <t>Int.fin. - Szászorszép Óvoda csapadékvíz elvezetés</t>
  </si>
  <si>
    <t>EIM-139</t>
  </si>
  <si>
    <t>Int.fin. - IMK udvari szennyvízgyűjtő csatornák jav.</t>
  </si>
  <si>
    <t>EIM-135</t>
  </si>
  <si>
    <t>EIM-134</t>
  </si>
  <si>
    <t>Int.fin.-Eü.Szolg.Egészségnap- szűrővizsgálatok</t>
  </si>
  <si>
    <t>Int.fin. - Szászorszép Óvoda jogi tanácsadás</t>
  </si>
  <si>
    <t>EIM-145</t>
  </si>
  <si>
    <t>Int.fin. - Szászorszép Óvoda Difer feld.,Fejlesztők</t>
  </si>
  <si>
    <t>EIM-133</t>
  </si>
  <si>
    <t>Bfenyvesi üdülőtábor -kiviteli ktg.fed-hez</t>
  </si>
  <si>
    <t>EIM-140</t>
  </si>
  <si>
    <t>Kulturális Közh.Np.Kft.műk.tám.-megnöv.feladatok</t>
  </si>
  <si>
    <t>EIM-142</t>
  </si>
  <si>
    <t>EIM-144</t>
  </si>
  <si>
    <t>Uszoda - Gázelosztó vezeték tervezése</t>
  </si>
  <si>
    <t>EIM-147</t>
  </si>
  <si>
    <t>NGM támogatás elektromos autó vásárláshoz</t>
  </si>
  <si>
    <t>EIM-148</t>
  </si>
  <si>
    <t>Közter.Felügy. Bírság bev. Önk-ot meg nem illető rész</t>
  </si>
  <si>
    <t>Gépjármű értékesítése</t>
  </si>
  <si>
    <t>EIM-149</t>
  </si>
  <si>
    <t>EIM-150</t>
  </si>
  <si>
    <t>Lakás bérleti jogviszony megváltása</t>
  </si>
  <si>
    <t>2016.évi pótlólagos állami támogatás</t>
  </si>
  <si>
    <t>EIM-151</t>
  </si>
  <si>
    <t>EIM-152</t>
  </si>
  <si>
    <t>Uszoda beruházás lebonyolítása</t>
  </si>
  <si>
    <t>EIM-153</t>
  </si>
  <si>
    <t>Fejl-khez kapcs.szakértői,véleményezési feladatok</t>
  </si>
  <si>
    <t xml:space="preserve">Bursa Hungarica fel nem használt ösztöndíj </t>
  </si>
  <si>
    <t>EIM-154</t>
  </si>
  <si>
    <t>EIM-155</t>
  </si>
  <si>
    <t>Tematikus játszótér kialakítása a Vérhalom téren</t>
  </si>
  <si>
    <t>EIM-H-30</t>
  </si>
  <si>
    <t>Gép- és bútorbeszerzésekre átcsop.</t>
  </si>
  <si>
    <t>EIM-156</t>
  </si>
  <si>
    <t>Állategészségügyi kiadások átcsop.</t>
  </si>
  <si>
    <t>EIM-159</t>
  </si>
  <si>
    <t>Margit krt 7. szellőző rendszer kialakítás</t>
  </si>
  <si>
    <t>EIM-H-31
EIM-159</t>
  </si>
  <si>
    <t>EIM-162</t>
  </si>
  <si>
    <t>Beruházás fordított áfája</t>
  </si>
  <si>
    <t>Óvodapedagósok munkáját segítők kieg.tám.</t>
  </si>
  <si>
    <t>EIM-167</t>
  </si>
  <si>
    <t>EIM-168</t>
  </si>
  <si>
    <t>Kötelező felelősség biztositás új járműhöz</t>
  </si>
  <si>
    <t>EIM-169</t>
  </si>
  <si>
    <t>Bfenyvesi gyermektábor kiviteli terve többlet pld.</t>
  </si>
  <si>
    <t>EIM-171</t>
  </si>
  <si>
    <t>EIM-174</t>
  </si>
  <si>
    <t>Ingatlanok cseréje MNV Zrt-vel</t>
  </si>
  <si>
    <t>EIM-176</t>
  </si>
  <si>
    <t>EIM-177</t>
  </si>
  <si>
    <t>Int.fin.-Községház u. Óvoda belső felújítás</t>
  </si>
  <si>
    <t>EIM-178</t>
  </si>
  <si>
    <t>EIM-179</t>
  </si>
  <si>
    <t>EIM-180</t>
  </si>
  <si>
    <t>EIM-181</t>
  </si>
  <si>
    <t>Int.fin.-Eü.Szolg. Eszközbeszerzések</t>
  </si>
  <si>
    <t>Int.fin. -  Szociális ágazati pótlék</t>
  </si>
  <si>
    <t>Int.fin.-Középfokú végzettségűek pótléka</t>
  </si>
  <si>
    <t>Int.fin.- Egy.bölcsődék, Óvodák bérkompenzációja</t>
  </si>
  <si>
    <t>Int.fin. Eü.Szolg. - bérkompenzáció</t>
  </si>
  <si>
    <t>PH. Bérkompenzáció</t>
  </si>
  <si>
    <t>EIM-H-32
EIM-181/PH</t>
  </si>
  <si>
    <t>EIM-H-33</t>
  </si>
  <si>
    <t>EIM-182</t>
  </si>
  <si>
    <t>Int.fin. - Óvodai dolgozók bértámogatása</t>
  </si>
  <si>
    <t>EIM-192</t>
  </si>
  <si>
    <t>Int.fin. - Óvodák: 5 fő vezetőképző tandíj</t>
  </si>
  <si>
    <t>EIM-H-39</t>
  </si>
  <si>
    <t>Mobiltelefon értékesítés dolgozónak</t>
  </si>
  <si>
    <t>EIM-184</t>
  </si>
  <si>
    <t>EIM-185</t>
  </si>
  <si>
    <t>Vérhalom tér és Zsigmond téri játszótér fejl.</t>
  </si>
  <si>
    <t>EIM-186</t>
  </si>
  <si>
    <t>EIM-187</t>
  </si>
  <si>
    <t>Jó adatszolgáltató önkormányzatok tám.</t>
  </si>
  <si>
    <t>EIM-H-34
EIM-187</t>
  </si>
  <si>
    <t>EIM-188</t>
  </si>
  <si>
    <t>EIM-189</t>
  </si>
  <si>
    <t>Zöldlomb u. vízbekötési díj</t>
  </si>
  <si>
    <t>EIM-191</t>
  </si>
  <si>
    <t>Klebelsberg díj elkészítésére</t>
  </si>
  <si>
    <t>EIM-193</t>
  </si>
  <si>
    <t>EIM-194</t>
  </si>
  <si>
    <t xml:space="preserve">Adójutalék - tartalék felhasználása </t>
  </si>
  <si>
    <t>EIM-H-37
EIM-194</t>
  </si>
  <si>
    <t xml:space="preserve">Adójutalék </t>
  </si>
  <si>
    <t>EIM-195</t>
  </si>
  <si>
    <t>EIM-197</t>
  </si>
  <si>
    <t>CASCO biztositás új járműhöz</t>
  </si>
  <si>
    <t>EIM-201</t>
  </si>
  <si>
    <t>Margit krt.7. klíma tervezés</t>
  </si>
  <si>
    <t>EIM-200</t>
  </si>
  <si>
    <t>Települési vízellátás igazgatás szolgáltatási díja</t>
  </si>
  <si>
    <t>Kulturális Közh.Táborszervező és színes dipl. ped-k jutalm.</t>
  </si>
  <si>
    <t>EIM-203</t>
  </si>
  <si>
    <t>EIM-H-40</t>
  </si>
  <si>
    <t>Szerverszoba antisztatikus padlóburkolata</t>
  </si>
  <si>
    <t>EIM-H-41</t>
  </si>
  <si>
    <t>EIM-205</t>
  </si>
  <si>
    <t>Személyes szabadság, kárpótlás</t>
  </si>
  <si>
    <t>EIM-209</t>
  </si>
  <si>
    <t>Isk-i közétkeztetés lebonyolítás adm.feladatra</t>
  </si>
  <si>
    <t>EIM-210</t>
  </si>
  <si>
    <t>Testvérvárosi kapcsolatok -  Mosbachi látogatók</t>
  </si>
  <si>
    <t>EIM-211</t>
  </si>
  <si>
    <t>Int.fin.-Eü.Szolg. Hunyadi J. u. 81-85. javítási munkák</t>
  </si>
  <si>
    <t>EIM-H-47</t>
  </si>
  <si>
    <t>EIM-212</t>
  </si>
  <si>
    <t>Balatonfenyvesi gyermektábor építés fordított áfa</t>
  </si>
  <si>
    <t>EIM-216</t>
  </si>
  <si>
    <t>Új jármű beszerzéshez kapcs.kiadások</t>
  </si>
  <si>
    <t>EIM-219</t>
  </si>
  <si>
    <t>EIM-221</t>
  </si>
  <si>
    <t>Bérlő által el nem végzett munkák</t>
  </si>
  <si>
    <t>EIM-222</t>
  </si>
  <si>
    <t>Államkötvény beváltás, kincstárjegy vásárlás</t>
  </si>
  <si>
    <t>Bevétel átcsoportosítás</t>
  </si>
  <si>
    <t>EIM-223</t>
  </si>
  <si>
    <t>Szept.30.</t>
  </si>
  <si>
    <t>Negyedik</t>
  </si>
  <si>
    <t>Dec.31.</t>
  </si>
  <si>
    <t>Nem intézmények által ellátott önkormányzati feladatok bevételi előirányzatain végrehajtott saját hatáskörű változtatások kiemelt előirányzatonként 
2017. október 1 - től   2017. december 31 - ig</t>
  </si>
  <si>
    <t>Nem intézmények által ellátott önkormányzati feladatok kiadási előirányzatain végrehajtott saját hatáskörű változtatások kiemelt előirányzatonként 
2017. október 1 - től   2017. december 31 - ig</t>
  </si>
  <si>
    <t>A Polgármesteri Hivatal által ellátott feladatok bevételi előirányzatain végrehajtott változtatások kiemelt előirányzatonként 
2017. október 1 - től   2017. december 31 - ig</t>
  </si>
  <si>
    <t>A Polgármesteri Hivatal által ellátott feladatok kiadási előirányzatain végrehajtott változtatások kiemelt előirányzatonként 
2017. október 1 - től   2017. december 31 - ig</t>
  </si>
  <si>
    <t>Dec. 31.</t>
  </si>
  <si>
    <t>Kincstárjegy vásárláshoz kapcs.kamatbevétel</t>
  </si>
  <si>
    <t>EIM-226</t>
  </si>
  <si>
    <t>EIM-227</t>
  </si>
  <si>
    <t>EIM-230</t>
  </si>
  <si>
    <t>Rendőrlakások felújítása</t>
  </si>
  <si>
    <t>EIM-228</t>
  </si>
  <si>
    <t>EIM-231</t>
  </si>
  <si>
    <t>Érmeosztályozó beszerzés régi értékesíté</t>
  </si>
  <si>
    <t>Int.fin. - Óvodai vezetők képzése</t>
  </si>
  <si>
    <t>EIM-241</t>
  </si>
  <si>
    <t>EIM-242</t>
  </si>
  <si>
    <t>Int.fin. - Óvodák: farsang és életvitel stratégia</t>
  </si>
  <si>
    <t>EIM-243</t>
  </si>
  <si>
    <t>EIM-247</t>
  </si>
  <si>
    <t>Int.fin. Eü.Szolg.- Egészségnap, szűrő vizsgálatok</t>
  </si>
  <si>
    <t>EIM-248</t>
  </si>
  <si>
    <t>Int.fin. - Óvodák személyi és dologi kiadásokra</t>
  </si>
  <si>
    <t>EIM-249</t>
  </si>
  <si>
    <t>Int.fin. - Óvodák személyi juttatása</t>
  </si>
  <si>
    <t>Int.fin. - Szociális Intézmények személyi juttatása</t>
  </si>
  <si>
    <t>EIM-233</t>
  </si>
  <si>
    <t>Gépjármű kötelező biztosítás</t>
  </si>
  <si>
    <t>EIM-235</t>
  </si>
  <si>
    <t>Közl.csomópontok áteresztő kép.növ.</t>
  </si>
  <si>
    <t>EIM-236</t>
  </si>
  <si>
    <t>EIM-237</t>
  </si>
  <si>
    <t>Községház u.4.óvoda belső felújítás</t>
  </si>
  <si>
    <t>EIM-245</t>
  </si>
  <si>
    <t>EIM-244</t>
  </si>
  <si>
    <t>2017.évi Klebelsberg Kunó díj</t>
  </si>
  <si>
    <t>EIM-250</t>
  </si>
  <si>
    <t>PH-új irodák kial. tervezése és kivitelezése</t>
  </si>
  <si>
    <t>EIM-H-61
EIM-250</t>
  </si>
  <si>
    <t>EIM-253</t>
  </si>
  <si>
    <t>EIM-254</t>
  </si>
  <si>
    <t>EIM-258</t>
  </si>
  <si>
    <t>Int.fin.-Szoc. Intézmények jutalom</t>
  </si>
  <si>
    <t>EIM-259</t>
  </si>
  <si>
    <t>Int.fin.-Szoc. Intézmények vezetői jutalom</t>
  </si>
  <si>
    <t>EIM-260</t>
  </si>
  <si>
    <t>Int.fin. Eü.Szolg.- nyomtatóbeszerzés</t>
  </si>
  <si>
    <t>EIM-261</t>
  </si>
  <si>
    <t>Int.fin. Eü.Szolg.- Ürömi u.-i rendelő kialakítás</t>
  </si>
  <si>
    <t>EIM-262</t>
  </si>
  <si>
    <t>Int.fin. - Óvodák,Bölcsődék, ÉNO jutalom</t>
  </si>
  <si>
    <t>EIM-263</t>
  </si>
  <si>
    <t>Int.fin. - Községház u. Óvoda külső gázszerelés</t>
  </si>
  <si>
    <t>EIM-264</t>
  </si>
  <si>
    <t>Int.fin. Eü.Szolg.- jutalom</t>
  </si>
  <si>
    <t>EIM-225</t>
  </si>
  <si>
    <t>Budép- dologiból felújításba átcsoportosítás</t>
  </si>
  <si>
    <t>EIM-H-67</t>
  </si>
  <si>
    <t>Véka u-i temető kocepcióterve</t>
  </si>
  <si>
    <t>EIM-256</t>
  </si>
  <si>
    <t>EIM-257</t>
  </si>
  <si>
    <t>Kadarka u.1-3 Óvoda eng. és kiviteli terv</t>
  </si>
  <si>
    <t>EIM-266</t>
  </si>
  <si>
    <t>PH-új irodák bútorozása</t>
  </si>
  <si>
    <t>EIM-H-65
EIM-266</t>
  </si>
  <si>
    <t>EIM-268</t>
  </si>
  <si>
    <t>Parkolási bevétel elmaradás</t>
  </si>
  <si>
    <t>EIM-270</t>
  </si>
  <si>
    <t>EIM-271</t>
  </si>
  <si>
    <t>EIM-H-70</t>
  </si>
  <si>
    <t>Régi telefonkp.telefonhálózatának rendezése</t>
  </si>
  <si>
    <t>EIM-H-72</t>
  </si>
  <si>
    <t>PH-új irodák kialakításához bontás</t>
  </si>
  <si>
    <t>Kulturális Közh.Np.Kft.műk.tám.-nyári tábori kedv</t>
  </si>
  <si>
    <t>EIM-272</t>
  </si>
  <si>
    <t>EIM-274</t>
  </si>
  <si>
    <t>Kerületi iskolák programjaihoz nyújtott támogatás</t>
  </si>
  <si>
    <t>EIM-275</t>
  </si>
  <si>
    <t>EIM-278</t>
  </si>
  <si>
    <t>EIM-279</t>
  </si>
  <si>
    <t>Telefonrendszer szoftver használat hosszabbítás</t>
  </si>
  <si>
    <t>EIM-H-75</t>
  </si>
  <si>
    <t>EIM-H-79</t>
  </si>
  <si>
    <t>Előadóművészi szolgáltatás</t>
  </si>
  <si>
    <t>EIM-288</t>
  </si>
  <si>
    <t>Bérkompenzáció - Polgármesteri Hivatal</t>
  </si>
  <si>
    <t>EIM-H-81
EIM-288</t>
  </si>
  <si>
    <t>EIM-290</t>
  </si>
  <si>
    <t>Lakásbérleti jogviszony megváltádsa-Széher út 16.</t>
  </si>
  <si>
    <t>EIM-292</t>
  </si>
  <si>
    <t>Kerületünk az otthonunk frakció</t>
  </si>
  <si>
    <t>EIM-294</t>
  </si>
  <si>
    <t>EIM-295</t>
  </si>
  <si>
    <t>Háziorvosi rendelők felújítása</t>
  </si>
  <si>
    <t>EIM-296</t>
  </si>
  <si>
    <t>Pesthidegkúti Uszoda építése</t>
  </si>
  <si>
    <t>EIM-297</t>
  </si>
  <si>
    <t>EIM-298</t>
  </si>
  <si>
    <t>Templom u-i és Kolozsvár u-i parkoló - tervezés</t>
  </si>
  <si>
    <t>EIM-299</t>
  </si>
  <si>
    <t>Közl.csomópontok áteresztő kép.növelése</t>
  </si>
  <si>
    <t>EIM-300</t>
  </si>
  <si>
    <t>VEKOP-5.3.1 Közlekedésbizt.kerékpáros-barát fejl.</t>
  </si>
  <si>
    <t>TÉR-KÖZ_Adyliget Park pály.tervekre</t>
  </si>
  <si>
    <t>EIM-301</t>
  </si>
  <si>
    <t>EIM-302</t>
  </si>
  <si>
    <t>Fenyves park fejlesztése -felülvizsg.és terv</t>
  </si>
  <si>
    <t>EIM-282</t>
  </si>
  <si>
    <t>Int.fin. - Óvodák,Bölcsődék személyi</t>
  </si>
  <si>
    <t>Int.fin. - Óvodák kulturális programjainak tám</t>
  </si>
  <si>
    <t>EIM-283</t>
  </si>
  <si>
    <t>EIM-284</t>
  </si>
  <si>
    <t>Int.fin. - Szászorszép Óvoda dologi kiadások</t>
  </si>
  <si>
    <t>EIM-285</t>
  </si>
  <si>
    <t>Int.fin. - Szászorszép Óvoda Difer feldolgozás</t>
  </si>
  <si>
    <t>EIM-286</t>
  </si>
  <si>
    <t>Int.fin.- Óvodák,Bölcsódék, Szoc.int.,Szoc.ágazati pótlék</t>
  </si>
  <si>
    <t>EIM-287</t>
  </si>
  <si>
    <t>Int.fin. - Bölcsődei középfokú végz.dolgozók béremelése</t>
  </si>
  <si>
    <t>Int.fin. - Eü.Szolg. Bérkompenzáció</t>
  </si>
  <si>
    <t>Int.fin. - Óvodák,Bölcsödék, Szoc.Intézmények: bérkompenzáció</t>
  </si>
  <si>
    <t>EIM-289</t>
  </si>
  <si>
    <t>Int.fin. -Eü.Szolg. - Egészségnapi szűrővizsálatok</t>
  </si>
  <si>
    <t>Összevont Egészségügyi Szolg.R.int.elők.</t>
  </si>
  <si>
    <t>EIM-303</t>
  </si>
  <si>
    <t>EIM-304</t>
  </si>
  <si>
    <t>EIM-H-82</t>
  </si>
  <si>
    <t>EIM-H-83</t>
  </si>
  <si>
    <t>EIM-H-84
EIM-305</t>
  </si>
  <si>
    <t>EIM-305</t>
  </si>
  <si>
    <t>PH többletbevétel miatt int.finanszírozás csökkenés</t>
  </si>
  <si>
    <t>EIM-307</t>
  </si>
  <si>
    <t>Sánta Ferenc emléktábla készítés</t>
  </si>
  <si>
    <t>EIM-309</t>
  </si>
  <si>
    <t>Önkormányzat működési támogatásai</t>
  </si>
  <si>
    <t>EIM-312</t>
  </si>
  <si>
    <t>Int.fin. -  IMK személyi juttatások</t>
  </si>
  <si>
    <t>EIM-310</t>
  </si>
  <si>
    <t>BURSA Hungarica - rovat módosítás</t>
  </si>
  <si>
    <t>EIM-313</t>
  </si>
  <si>
    <t>Háziorvosi ügyeleti ellátás finanszírozás</t>
  </si>
  <si>
    <t>EIM-314</t>
  </si>
  <si>
    <t>Kieg.gyermekvéd.tám.és pótlék bev.</t>
  </si>
  <si>
    <t>EIM-315</t>
  </si>
  <si>
    <t>Közlekedésfejl.-VEKOP 5.3.1-15-2016.tám.bev.</t>
  </si>
  <si>
    <t>EIM-317</t>
  </si>
  <si>
    <t>Buszvárók kihelyezéséhez kapcs.közterület használat</t>
  </si>
  <si>
    <t>Támogatás fel nem használt része</t>
  </si>
  <si>
    <t>EIM-318</t>
  </si>
  <si>
    <t>Szabadság utca 43. kerítés építés</t>
  </si>
  <si>
    <t>EIM-319</t>
  </si>
  <si>
    <t>EIM-320</t>
  </si>
  <si>
    <t>2017. évi nettó fin.előleg és visszavonás</t>
  </si>
  <si>
    <t>PH-új irodák kialakítása: tervezés és kivitelezés</t>
  </si>
  <si>
    <t>Int.fin.- Óvodák,Bölcsódék, Szoc.int.,Szoc.ág.pótlék</t>
  </si>
  <si>
    <t>Bevétel növ. miatt int.finanszírozás csökkenés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</si>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</sst>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F_t_-;\-* #,##0.00\ _F_t_-;_-* &quot;-&quot;??\ _F_t_-;_-@_-"/>
    <numFmt numFmtId="165" formatCode="#,##0\ _F_t"/>
    <numFmt numFmtId="166" formatCode="#,##0.000"/>
    <numFmt numFmtId="167" formatCode="_-* #,##0.000\ _F_t_-;\-* #,##0.000\ _F_t_-;_-* &quot;-&quot;??\ _F_t_-;_-@_-"/>
    <numFmt numFmtId="168" formatCode="_-* #,##0\ _F_t_-;\-* #,##0\ _F_t_-;_-* &quot;-&quot;??\ _F_t_-;_-@_-"/>
    <numFmt numFmtId="169" formatCode="#,##0.000;[Red]#,##0.000"/>
    <numFmt numFmtId="170" formatCode="0.00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8"/>
      <name val="Arial"/>
      <family val="2"/>
      <charset val="238"/>
    </font>
    <font>
      <sz val="13"/>
      <name val="Times New Roman CE"/>
      <family val="1"/>
      <charset val="238"/>
    </font>
    <font>
      <sz val="10"/>
      <name val="Times New Roman CE"/>
      <family val="1"/>
      <charset val="238"/>
    </font>
    <font>
      <b/>
      <sz val="13"/>
      <name val="Times New Roman CE"/>
      <family val="1"/>
      <charset val="238"/>
    </font>
    <font>
      <sz val="9"/>
      <name val="Times New Roman CE"/>
      <family val="1"/>
      <charset val="238"/>
    </font>
    <font>
      <sz val="13"/>
      <name val="Times New Roman CE"/>
      <charset val="238"/>
    </font>
    <font>
      <i/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b/>
      <i/>
      <sz val="13"/>
      <name val="Times New Roman CE"/>
      <charset val="238"/>
    </font>
    <font>
      <sz val="12"/>
      <name val="Times New Roman CE"/>
      <family val="1"/>
      <charset val="238"/>
    </font>
    <font>
      <i/>
      <sz val="13"/>
      <name val="Times New Roman CE"/>
      <charset val="238"/>
    </font>
    <font>
      <sz val="11"/>
      <name val="Times New Roman CE"/>
      <family val="1"/>
      <charset val="238"/>
    </font>
    <font>
      <i/>
      <sz val="10"/>
      <name val="Times New Roman CE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sz val="12"/>
      <color indexed="10"/>
      <name val="Times New Roman CE"/>
      <charset val="238"/>
    </font>
    <font>
      <b/>
      <i/>
      <sz val="12"/>
      <name val="Times New Roman CE"/>
      <charset val="238"/>
    </font>
    <font>
      <b/>
      <i/>
      <sz val="12"/>
      <name val="Times New Roman CE"/>
      <family val="1"/>
      <charset val="238"/>
    </font>
    <font>
      <sz val="10"/>
      <name val="Times New Roman"/>
      <family val="1"/>
      <charset val="238"/>
    </font>
    <font>
      <sz val="13"/>
      <color indexed="10"/>
      <name val="Times New Roman CE"/>
      <family val="1"/>
      <charset val="238"/>
    </font>
    <font>
      <b/>
      <i/>
      <sz val="10"/>
      <name val="Times New Roman CE"/>
      <charset val="238"/>
    </font>
    <font>
      <sz val="11"/>
      <name val="Times New Roman CE"/>
      <charset val="238"/>
    </font>
    <font>
      <b/>
      <i/>
      <sz val="11"/>
      <name val="Times New Roman CE"/>
      <charset val="238"/>
    </font>
    <font>
      <sz val="14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charset val="238"/>
    </font>
    <font>
      <sz val="12"/>
      <color rgb="FFFF0000"/>
      <name val="Times New Roman CE"/>
      <family val="1"/>
      <charset val="238"/>
    </font>
    <font>
      <b/>
      <sz val="13"/>
      <color rgb="FFFF0000"/>
      <name val="Times New Roman CE"/>
      <charset val="238"/>
    </font>
    <font>
      <sz val="13"/>
      <color theme="1"/>
      <name val="Times New Roman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2" fillId="0" borderId="0"/>
  </cellStyleXfs>
  <cellXfs count="751">
    <xf numFmtId="0" fontId="0" fillId="0" borderId="0" xfId="0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0" fontId="4" fillId="0" borderId="1" xfId="2" applyFont="1" applyBorder="1" applyAlignment="1">
      <alignment horizontal="right" vertical="top"/>
    </xf>
    <xf numFmtId="0" fontId="4" fillId="0" borderId="2" xfId="2" applyFont="1" applyBorder="1"/>
    <xf numFmtId="0" fontId="4" fillId="0" borderId="3" xfId="2" applyFont="1" applyBorder="1"/>
    <xf numFmtId="0" fontId="4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4" fillId="0" borderId="5" xfId="2" applyFont="1" applyBorder="1"/>
    <xf numFmtId="0" fontId="4" fillId="0" borderId="6" xfId="2" applyFont="1" applyBorder="1"/>
    <xf numFmtId="0" fontId="4" fillId="0" borderId="6" xfId="2" applyFont="1" applyBorder="1" applyAlignment="1">
      <alignment horizontal="center"/>
    </xf>
    <xf numFmtId="0" fontId="4" fillId="0" borderId="7" xfId="2" applyFont="1" applyBorder="1" applyAlignment="1"/>
    <xf numFmtId="0" fontId="6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right"/>
    </xf>
    <xf numFmtId="0" fontId="4" fillId="0" borderId="14" xfId="2" applyFont="1" applyBorder="1" applyAlignment="1">
      <alignment horizontal="right"/>
    </xf>
    <xf numFmtId="0" fontId="9" fillId="0" borderId="15" xfId="2" applyFont="1" applyBorder="1" applyAlignment="1">
      <alignment horizontal="right" vertical="center"/>
    </xf>
    <xf numFmtId="3" fontId="9" fillId="0" borderId="15" xfId="2" applyNumberFormat="1" applyFont="1" applyBorder="1" applyAlignment="1">
      <alignment horizontal="right" vertical="center" wrapText="1"/>
    </xf>
    <xf numFmtId="0" fontId="4" fillId="0" borderId="5" xfId="2" applyFont="1" applyBorder="1" applyAlignment="1">
      <alignment horizontal="center" vertical="top"/>
    </xf>
    <xf numFmtId="49" fontId="8" fillId="0" borderId="15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3" fontId="5" fillId="0" borderId="0" xfId="2" applyNumberFormat="1" applyFont="1"/>
    <xf numFmtId="1" fontId="8" fillId="0" borderId="15" xfId="2" applyNumberFormat="1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0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165" fontId="11" fillId="0" borderId="17" xfId="2" applyNumberFormat="1" applyFont="1" applyBorder="1" applyAlignment="1">
      <alignment vertical="center" wrapText="1"/>
    </xf>
    <xf numFmtId="165" fontId="11" fillId="0" borderId="18" xfId="2" applyNumberFormat="1" applyFont="1" applyBorder="1" applyAlignment="1">
      <alignment vertical="center" wrapText="1"/>
    </xf>
    <xf numFmtId="0" fontId="12" fillId="0" borderId="10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vertical="center" wrapText="1"/>
    </xf>
    <xf numFmtId="0" fontId="5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10" fillId="0" borderId="17" xfId="2" applyFont="1" applyBorder="1" applyAlignment="1">
      <alignment vertical="center"/>
    </xf>
    <xf numFmtId="1" fontId="4" fillId="0" borderId="15" xfId="2" applyNumberFormat="1" applyFont="1" applyBorder="1" applyAlignment="1">
      <alignment horizontal="center" vertical="center" wrapText="1"/>
    </xf>
    <xf numFmtId="16" fontId="5" fillId="0" borderId="16" xfId="2" quotePrefix="1" applyNumberFormat="1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/>
    </xf>
    <xf numFmtId="165" fontId="8" fillId="0" borderId="10" xfId="2" applyNumberFormat="1" applyFont="1" applyBorder="1" applyAlignment="1">
      <alignment vertical="center" wrapText="1"/>
    </xf>
    <xf numFmtId="0" fontId="12" fillId="0" borderId="10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/>
    </xf>
    <xf numFmtId="3" fontId="12" fillId="0" borderId="10" xfId="2" applyNumberFormat="1" applyFont="1" applyBorder="1" applyAlignment="1">
      <alignment vertical="center" wrapText="1"/>
    </xf>
    <xf numFmtId="0" fontId="5" fillId="0" borderId="0" xfId="2" applyFont="1" applyBorder="1"/>
    <xf numFmtId="0" fontId="4" fillId="0" borderId="1" xfId="2" applyFont="1" applyBorder="1" applyAlignment="1">
      <alignment vertical="top"/>
    </xf>
    <xf numFmtId="0" fontId="4" fillId="0" borderId="2" xfId="2" applyFont="1" applyBorder="1" applyAlignment="1">
      <alignment vertical="top"/>
    </xf>
    <xf numFmtId="0" fontId="6" fillId="0" borderId="0" xfId="2" applyFont="1" applyBorder="1" applyAlignment="1">
      <alignment horizontal="center"/>
    </xf>
    <xf numFmtId="0" fontId="4" fillId="0" borderId="5" xfId="2" applyFont="1" applyBorder="1" applyAlignment="1">
      <alignment vertical="top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6" xfId="0" applyFont="1" applyFill="1" applyBorder="1" applyAlignment="1">
      <alignment horizontal="center"/>
    </xf>
    <xf numFmtId="0" fontId="13" fillId="0" borderId="13" xfId="2" applyFont="1" applyBorder="1" applyAlignment="1">
      <alignment vertical="top"/>
    </xf>
    <xf numFmtId="0" fontId="13" fillId="0" borderId="15" xfId="2" applyFont="1" applyBorder="1" applyAlignment="1">
      <alignment horizontal="right" vertical="center"/>
    </xf>
    <xf numFmtId="3" fontId="13" fillId="0" borderId="0" xfId="2" applyNumberFormat="1" applyFont="1" applyBorder="1"/>
    <xf numFmtId="3" fontId="11" fillId="0" borderId="0" xfId="2" applyNumberFormat="1" applyFont="1" applyBorder="1"/>
    <xf numFmtId="0" fontId="15" fillId="0" borderId="0" xfId="2" applyFont="1"/>
    <xf numFmtId="0" fontId="8" fillId="0" borderId="5" xfId="2" applyFont="1" applyBorder="1" applyAlignment="1">
      <alignment horizontal="center" vertical="top"/>
    </xf>
    <xf numFmtId="3" fontId="4" fillId="0" borderId="0" xfId="2" applyNumberFormat="1" applyFont="1" applyBorder="1"/>
    <xf numFmtId="3" fontId="6" fillId="0" borderId="0" xfId="2" applyNumberFormat="1" applyFont="1" applyBorder="1"/>
    <xf numFmtId="3" fontId="8" fillId="0" borderId="10" xfId="2" applyNumberFormat="1" applyFont="1" applyFill="1" applyBorder="1" applyAlignment="1">
      <alignment vertical="center" wrapText="1"/>
    </xf>
    <xf numFmtId="3" fontId="8" fillId="0" borderId="10" xfId="2" applyNumberFormat="1" applyFont="1" applyBorder="1" applyAlignment="1">
      <alignment vertical="center" wrapText="1"/>
    </xf>
    <xf numFmtId="3" fontId="8" fillId="0" borderId="19" xfId="2" applyNumberFormat="1" applyFont="1" applyBorder="1" applyAlignment="1">
      <alignment vertical="center" wrapText="1"/>
    </xf>
    <xf numFmtId="49" fontId="12" fillId="0" borderId="15" xfId="2" applyNumberFormat="1" applyFont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0" fontId="9" fillId="0" borderId="20" xfId="2" applyFont="1" applyBorder="1" applyAlignment="1">
      <alignment vertical="center" wrapText="1"/>
    </xf>
    <xf numFmtId="3" fontId="18" fillId="0" borderId="20" xfId="2" applyNumberFormat="1" applyFont="1" applyBorder="1" applyAlignment="1">
      <alignment vertical="center" wrapText="1"/>
    </xf>
    <xf numFmtId="3" fontId="8" fillId="0" borderId="20" xfId="2" applyNumberFormat="1" applyFont="1" applyBorder="1" applyAlignment="1">
      <alignment vertical="center" wrapText="1"/>
    </xf>
    <xf numFmtId="3" fontId="8" fillId="0" borderId="20" xfId="2" applyNumberFormat="1" applyFont="1" applyFill="1" applyBorder="1" applyAlignment="1">
      <alignment vertical="center" wrapText="1"/>
    </xf>
    <xf numFmtId="3" fontId="10" fillId="0" borderId="21" xfId="2" applyNumberFormat="1" applyFont="1" applyBorder="1" applyAlignment="1">
      <alignment vertical="center"/>
    </xf>
    <xf numFmtId="0" fontId="5" fillId="0" borderId="17" xfId="2" applyFont="1" applyBorder="1"/>
    <xf numFmtId="0" fontId="8" fillId="0" borderId="5" xfId="2" applyFont="1" applyBorder="1" applyAlignment="1">
      <alignment horizontal="center" vertical="center"/>
    </xf>
    <xf numFmtId="3" fontId="16" fillId="0" borderId="22" xfId="2" applyNumberFormat="1" applyFont="1" applyBorder="1" applyAlignment="1">
      <alignment vertical="center" wrapText="1"/>
    </xf>
    <xf numFmtId="0" fontId="8" fillId="0" borderId="11" xfId="2" applyFont="1" applyBorder="1" applyAlignment="1">
      <alignment horizontal="center" vertical="center" wrapText="1"/>
    </xf>
    <xf numFmtId="3" fontId="5" fillId="0" borderId="0" xfId="2" applyNumberFormat="1" applyFont="1" applyBorder="1"/>
    <xf numFmtId="3" fontId="10" fillId="0" borderId="17" xfId="2" applyNumberFormat="1" applyFont="1" applyBorder="1" applyAlignment="1">
      <alignment vertical="center"/>
    </xf>
    <xf numFmtId="3" fontId="10" fillId="0" borderId="23" xfId="2" applyNumberFormat="1" applyFont="1" applyBorder="1" applyAlignment="1">
      <alignment vertical="center"/>
    </xf>
    <xf numFmtId="49" fontId="8" fillId="0" borderId="10" xfId="2" applyNumberFormat="1" applyFont="1" applyBorder="1" applyAlignment="1">
      <alignment vertical="center" wrapText="1"/>
    </xf>
    <xf numFmtId="0" fontId="8" fillId="0" borderId="24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/>
    </xf>
    <xf numFmtId="16" fontId="4" fillId="0" borderId="16" xfId="2" applyNumberFormat="1" applyFont="1" applyBorder="1" applyAlignment="1">
      <alignment vertical="center"/>
    </xf>
    <xf numFmtId="0" fontId="4" fillId="0" borderId="0" xfId="2" applyFont="1" applyAlignment="1">
      <alignment vertical="top"/>
    </xf>
    <xf numFmtId="0" fontId="13" fillId="0" borderId="25" xfId="2" applyFont="1" applyBorder="1" applyAlignment="1">
      <alignment vertical="center"/>
    </xf>
    <xf numFmtId="3" fontId="8" fillId="0" borderId="25" xfId="2" applyNumberFormat="1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3" fontId="8" fillId="0" borderId="20" xfId="2" applyNumberFormat="1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3" fontId="8" fillId="0" borderId="26" xfId="2" applyNumberFormat="1" applyFont="1" applyBorder="1" applyAlignment="1">
      <alignment vertical="center"/>
    </xf>
    <xf numFmtId="3" fontId="8" fillId="0" borderId="27" xfId="2" applyNumberFormat="1" applyFont="1" applyBorder="1" applyAlignment="1">
      <alignment vertical="center"/>
    </xf>
    <xf numFmtId="0" fontId="8" fillId="0" borderId="22" xfId="2" applyFont="1" applyBorder="1" applyAlignment="1">
      <alignment horizontal="center"/>
    </xf>
    <xf numFmtId="3" fontId="17" fillId="0" borderId="28" xfId="2" applyNumberFormat="1" applyFont="1" applyBorder="1" applyAlignment="1">
      <alignment vertical="center" wrapText="1"/>
    </xf>
    <xf numFmtId="3" fontId="17" fillId="0" borderId="29" xfId="2" applyNumberFormat="1" applyFont="1" applyBorder="1" applyAlignment="1">
      <alignment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31" xfId="2" applyFont="1" applyBorder="1" applyAlignment="1">
      <alignment vertical="center" wrapText="1"/>
    </xf>
    <xf numFmtId="3" fontId="8" fillId="0" borderId="32" xfId="2" applyNumberFormat="1" applyFont="1" applyBorder="1" applyAlignment="1">
      <alignment vertical="center" wrapText="1"/>
    </xf>
    <xf numFmtId="3" fontId="8" fillId="0" borderId="33" xfId="2" applyNumberFormat="1" applyFont="1" applyBorder="1" applyAlignment="1">
      <alignment vertical="center" wrapText="1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4" fillId="0" borderId="34" xfId="2" applyFont="1" applyBorder="1"/>
    <xf numFmtId="0" fontId="4" fillId="0" borderId="35" xfId="2" applyFont="1" applyBorder="1"/>
    <xf numFmtId="0" fontId="4" fillId="0" borderId="35" xfId="2" applyFont="1" applyBorder="1" applyAlignment="1">
      <alignment horizontal="center"/>
    </xf>
    <xf numFmtId="0" fontId="4" fillId="0" borderId="36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35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49" fontId="8" fillId="0" borderId="11" xfId="2" applyNumberFormat="1" applyFont="1" applyBorder="1" applyAlignment="1">
      <alignment horizontal="center" vertical="center" wrapText="1"/>
    </xf>
    <xf numFmtId="0" fontId="4" fillId="0" borderId="34" xfId="2" applyFont="1" applyBorder="1" applyAlignment="1">
      <alignment vertical="top"/>
    </xf>
    <xf numFmtId="0" fontId="4" fillId="0" borderId="9" xfId="2" applyFont="1" applyFill="1" applyBorder="1" applyAlignment="1">
      <alignment horizontal="center"/>
    </xf>
    <xf numFmtId="49" fontId="4" fillId="0" borderId="35" xfId="2" applyNumberFormat="1" applyFont="1" applyBorder="1" applyAlignment="1">
      <alignment horizontal="center"/>
    </xf>
    <xf numFmtId="0" fontId="14" fillId="0" borderId="35" xfId="2" applyFont="1" applyBorder="1" applyAlignment="1">
      <alignment horizontal="center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4" fillId="0" borderId="17" xfId="2" quotePrefix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wrapText="1"/>
    </xf>
    <xf numFmtId="3" fontId="10" fillId="0" borderId="17" xfId="2" applyNumberFormat="1" applyFont="1" applyFill="1" applyBorder="1" applyAlignment="1">
      <alignment vertical="center"/>
    </xf>
    <xf numFmtId="0" fontId="4" fillId="2" borderId="32" xfId="0" applyFont="1" applyFill="1" applyBorder="1" applyAlignment="1">
      <alignment horizontal="center"/>
    </xf>
    <xf numFmtId="3" fontId="8" fillId="0" borderId="38" xfId="2" applyNumberFormat="1" applyFont="1" applyBorder="1" applyAlignment="1">
      <alignment vertical="center"/>
    </xf>
    <xf numFmtId="166" fontId="5" fillId="0" borderId="0" xfId="2" applyNumberFormat="1" applyFont="1" applyBorder="1"/>
    <xf numFmtId="0" fontId="4" fillId="0" borderId="39" xfId="2" applyFont="1" applyBorder="1" applyAlignment="1">
      <alignment horizontal="center"/>
    </xf>
    <xf numFmtId="0" fontId="13" fillId="0" borderId="11" xfId="2" applyFont="1" applyBorder="1" applyAlignment="1">
      <alignment horizontal="right" vertical="center"/>
    </xf>
    <xf numFmtId="0" fontId="10" fillId="0" borderId="16" xfId="2" applyFont="1" applyBorder="1" applyAlignment="1">
      <alignment horizontal="center"/>
    </xf>
    <xf numFmtId="0" fontId="4" fillId="0" borderId="16" xfId="2" applyFont="1" applyBorder="1" applyAlignment="1">
      <alignment horizontal="center" vertical="top"/>
    </xf>
    <xf numFmtId="49" fontId="12" fillId="0" borderId="11" xfId="2" applyNumberFormat="1" applyFont="1" applyBorder="1" applyAlignment="1">
      <alignment horizontal="center" vertical="center" wrapText="1"/>
    </xf>
    <xf numFmtId="49" fontId="8" fillId="0" borderId="10" xfId="2" applyNumberFormat="1" applyFont="1" applyBorder="1" applyAlignment="1">
      <alignment horizontal="center" vertical="center" wrapText="1"/>
    </xf>
    <xf numFmtId="1" fontId="8" fillId="0" borderId="10" xfId="2" applyNumberFormat="1" applyFont="1" applyBorder="1" applyAlignment="1">
      <alignment horizontal="center" vertical="center" wrapText="1"/>
    </xf>
    <xf numFmtId="3" fontId="16" fillId="0" borderId="10" xfId="2" applyNumberFormat="1" applyFont="1" applyBorder="1" applyAlignment="1">
      <alignment vertical="center" wrapText="1"/>
    </xf>
    <xf numFmtId="3" fontId="6" fillId="0" borderId="40" xfId="2" applyNumberFormat="1" applyFont="1" applyBorder="1" applyAlignment="1">
      <alignment horizontal="right" vertical="center" wrapText="1"/>
    </xf>
    <xf numFmtId="3" fontId="9" fillId="0" borderId="41" xfId="2" applyNumberFormat="1" applyFont="1" applyBorder="1" applyAlignment="1">
      <alignment horizontal="right" vertical="center" wrapText="1"/>
    </xf>
    <xf numFmtId="3" fontId="9" fillId="0" borderId="22" xfId="2" applyNumberFormat="1" applyFont="1" applyBorder="1"/>
    <xf numFmtId="3" fontId="9" fillId="0" borderId="42" xfId="2" applyNumberFormat="1" applyFont="1" applyBorder="1"/>
    <xf numFmtId="0" fontId="4" fillId="0" borderId="11" xfId="2" applyFont="1" applyBorder="1" applyAlignment="1">
      <alignment horizontal="center" vertical="center" wrapText="1"/>
    </xf>
    <xf numFmtId="0" fontId="9" fillId="0" borderId="43" xfId="2" applyFont="1" applyBorder="1" applyAlignment="1">
      <alignment vertical="center" wrapText="1"/>
    </xf>
    <xf numFmtId="3" fontId="18" fillId="0" borderId="43" xfId="2" applyNumberFormat="1" applyFont="1" applyFill="1" applyBorder="1" applyAlignment="1">
      <alignment vertical="center" wrapText="1"/>
    </xf>
    <xf numFmtId="3" fontId="8" fillId="0" borderId="43" xfId="2" applyNumberFormat="1" applyFont="1" applyFill="1" applyBorder="1" applyAlignment="1">
      <alignment vertical="center" wrapText="1"/>
    </xf>
    <xf numFmtId="3" fontId="8" fillId="0" borderId="43" xfId="2" applyNumberFormat="1" applyFont="1" applyBorder="1" applyAlignment="1">
      <alignment vertical="center" wrapText="1"/>
    </xf>
    <xf numFmtId="0" fontId="4" fillId="0" borderId="44" xfId="2" applyFont="1" applyBorder="1" applyAlignment="1">
      <alignment horizontal="center" vertical="top"/>
    </xf>
    <xf numFmtId="0" fontId="4" fillId="0" borderId="45" xfId="2" applyFont="1" applyBorder="1" applyAlignment="1">
      <alignment horizontal="center" vertical="top"/>
    </xf>
    <xf numFmtId="0" fontId="13" fillId="0" borderId="14" xfId="2" applyFont="1" applyBorder="1"/>
    <xf numFmtId="3" fontId="13" fillId="0" borderId="15" xfId="2" applyNumberFormat="1" applyFont="1" applyBorder="1" applyAlignment="1">
      <alignment vertical="center" wrapText="1"/>
    </xf>
    <xf numFmtId="3" fontId="13" fillId="0" borderId="46" xfId="2" applyNumberFormat="1" applyFont="1" applyBorder="1" applyAlignment="1">
      <alignment vertical="center" wrapText="1"/>
    </xf>
    <xf numFmtId="3" fontId="11" fillId="0" borderId="41" xfId="2" applyNumberFormat="1" applyFont="1" applyBorder="1" applyAlignment="1">
      <alignment horizontal="right" vertical="center" wrapText="1"/>
    </xf>
    <xf numFmtId="3" fontId="9" fillId="0" borderId="15" xfId="2" applyNumberFormat="1" applyFont="1" applyFill="1" applyBorder="1" applyAlignment="1">
      <alignment horizontal="right" vertical="center" wrapText="1"/>
    </xf>
    <xf numFmtId="166" fontId="8" fillId="0" borderId="10" xfId="2" applyNumberFormat="1" applyFont="1" applyBorder="1" applyAlignment="1">
      <alignment vertical="center" wrapText="1"/>
    </xf>
    <xf numFmtId="0" fontId="8" fillId="0" borderId="13" xfId="2" applyFont="1" applyBorder="1" applyAlignment="1">
      <alignment horizontal="center" vertical="top"/>
    </xf>
    <xf numFmtId="3" fontId="10" fillId="0" borderId="21" xfId="2" applyNumberFormat="1" applyFont="1" applyFill="1" applyBorder="1" applyAlignment="1">
      <alignment vertical="center"/>
    </xf>
    <xf numFmtId="3" fontId="9" fillId="0" borderId="22" xfId="2" applyNumberFormat="1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166" fontId="8" fillId="0" borderId="10" xfId="2" applyNumberFormat="1" applyFont="1" applyFill="1" applyBorder="1" applyAlignment="1">
      <alignment vertical="center" wrapText="1"/>
    </xf>
    <xf numFmtId="166" fontId="8" fillId="0" borderId="19" xfId="2" applyNumberFormat="1" applyFont="1" applyBorder="1" applyAlignment="1">
      <alignment vertical="center" wrapText="1"/>
    </xf>
    <xf numFmtId="166" fontId="10" fillId="0" borderId="17" xfId="2" applyNumberFormat="1" applyFont="1" applyBorder="1" applyAlignment="1">
      <alignment vertical="center"/>
    </xf>
    <xf numFmtId="166" fontId="8" fillId="0" borderId="17" xfId="2" applyNumberFormat="1" applyFont="1" applyBorder="1" applyAlignment="1">
      <alignment vertical="center" wrapText="1"/>
    </xf>
    <xf numFmtId="166" fontId="10" fillId="0" borderId="23" xfId="2" applyNumberFormat="1" applyFont="1" applyBorder="1" applyAlignment="1">
      <alignment vertical="center"/>
    </xf>
    <xf numFmtId="166" fontId="12" fillId="0" borderId="10" xfId="2" applyNumberFormat="1" applyFont="1" applyBorder="1" applyAlignment="1">
      <alignment vertical="center" wrapText="1"/>
    </xf>
    <xf numFmtId="166" fontId="12" fillId="0" borderId="19" xfId="2" applyNumberFormat="1" applyFont="1" applyBorder="1" applyAlignment="1">
      <alignment vertical="center" wrapText="1"/>
    </xf>
    <xf numFmtId="166" fontId="10" fillId="0" borderId="21" xfId="2" applyNumberFormat="1" applyFont="1" applyBorder="1" applyAlignment="1">
      <alignment vertical="center" wrapText="1"/>
    </xf>
    <xf numFmtId="166" fontId="5" fillId="0" borderId="0" xfId="2" applyNumberFormat="1" applyFont="1"/>
    <xf numFmtId="166" fontId="4" fillId="0" borderId="10" xfId="2" applyNumberFormat="1" applyFont="1" applyBorder="1" applyAlignment="1">
      <alignment vertical="center" wrapText="1"/>
    </xf>
    <xf numFmtId="166" fontId="4" fillId="0" borderId="19" xfId="2" applyNumberFormat="1" applyFont="1" applyBorder="1" applyAlignment="1">
      <alignment vertical="center" wrapText="1"/>
    </xf>
    <xf numFmtId="166" fontId="6" fillId="0" borderId="8" xfId="2" applyNumberFormat="1" applyFont="1" applyBorder="1" applyAlignment="1">
      <alignment vertical="center" wrapText="1"/>
    </xf>
    <xf numFmtId="166" fontId="4" fillId="0" borderId="32" xfId="2" applyNumberFormat="1" applyFont="1" applyBorder="1" applyAlignment="1">
      <alignment vertical="center" wrapText="1"/>
    </xf>
    <xf numFmtId="166" fontId="11" fillId="0" borderId="17" xfId="2" applyNumberFormat="1" applyFont="1" applyBorder="1" applyAlignment="1">
      <alignment vertical="center" wrapText="1"/>
    </xf>
    <xf numFmtId="166" fontId="11" fillId="0" borderId="18" xfId="2" applyNumberFormat="1" applyFont="1" applyBorder="1" applyAlignment="1">
      <alignment vertical="center" wrapText="1"/>
    </xf>
    <xf numFmtId="166" fontId="6" fillId="0" borderId="18" xfId="2" applyNumberFormat="1" applyFont="1" applyBorder="1" applyAlignment="1">
      <alignment vertical="center" wrapText="1"/>
    </xf>
    <xf numFmtId="166" fontId="4" fillId="0" borderId="5" xfId="2" applyNumberFormat="1" applyFont="1" applyBorder="1" applyAlignment="1">
      <alignment vertical="center" wrapText="1"/>
    </xf>
    <xf numFmtId="166" fontId="4" fillId="0" borderId="6" xfId="2" applyNumberFormat="1" applyFont="1" applyBorder="1" applyAlignment="1">
      <alignment vertical="center" wrapText="1"/>
    </xf>
    <xf numFmtId="166" fontId="10" fillId="0" borderId="17" xfId="2" applyNumberFormat="1" applyFont="1" applyBorder="1" applyAlignment="1">
      <alignment vertical="center" wrapText="1"/>
    </xf>
    <xf numFmtId="166" fontId="10" fillId="0" borderId="18" xfId="2" applyNumberFormat="1" applyFont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166" fontId="11" fillId="0" borderId="47" xfId="2" applyNumberFormat="1" applyFont="1" applyBorder="1" applyAlignment="1">
      <alignment vertical="center" wrapText="1"/>
    </xf>
    <xf numFmtId="0" fontId="4" fillId="0" borderId="0" xfId="2" applyFont="1" applyAlignment="1">
      <alignment horizontal="right"/>
    </xf>
    <xf numFmtId="0" fontId="4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 wrapText="1"/>
    </xf>
    <xf numFmtId="0" fontId="10" fillId="0" borderId="49" xfId="2" applyFont="1" applyBorder="1" applyAlignment="1">
      <alignment vertical="center"/>
    </xf>
    <xf numFmtId="166" fontId="10" fillId="0" borderId="50" xfId="2" applyNumberFormat="1" applyFont="1" applyBorder="1" applyAlignment="1">
      <alignment vertical="center"/>
    </xf>
    <xf numFmtId="166" fontId="10" fillId="0" borderId="51" xfId="2" applyNumberFormat="1" applyFont="1" applyBorder="1" applyAlignment="1">
      <alignment vertical="center"/>
    </xf>
    <xf numFmtId="0" fontId="4" fillId="0" borderId="13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 wrapText="1"/>
    </xf>
    <xf numFmtId="166" fontId="10" fillId="0" borderId="46" xfId="2" applyNumberFormat="1" applyFont="1" applyBorder="1" applyAlignment="1">
      <alignment vertical="center"/>
    </xf>
    <xf numFmtId="166" fontId="10" fillId="0" borderId="41" xfId="2" applyNumberFormat="1" applyFont="1" applyBorder="1" applyAlignment="1">
      <alignment vertical="center"/>
    </xf>
    <xf numFmtId="0" fontId="4" fillId="0" borderId="52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 wrapText="1"/>
    </xf>
    <xf numFmtId="0" fontId="10" fillId="0" borderId="24" xfId="2" applyFont="1" applyBorder="1" applyAlignment="1">
      <alignment vertical="center"/>
    </xf>
    <xf numFmtId="166" fontId="10" fillId="0" borderId="53" xfId="2" applyNumberFormat="1" applyFont="1" applyBorder="1" applyAlignment="1">
      <alignment vertical="center"/>
    </xf>
    <xf numFmtId="166" fontId="10" fillId="0" borderId="54" xfId="2" applyNumberFormat="1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20" fillId="0" borderId="10" xfId="2" applyFont="1" applyBorder="1" applyAlignment="1">
      <alignment vertical="center" wrapText="1"/>
    </xf>
    <xf numFmtId="0" fontId="4" fillId="2" borderId="9" xfId="0" applyFont="1" applyFill="1" applyBorder="1" applyAlignment="1">
      <alignment horizontal="center"/>
    </xf>
    <xf numFmtId="3" fontId="16" fillId="0" borderId="19" xfId="2" applyNumberFormat="1" applyFont="1" applyBorder="1" applyAlignment="1">
      <alignment vertical="center" wrapText="1"/>
    </xf>
    <xf numFmtId="3" fontId="11" fillId="0" borderId="17" xfId="2" applyNumberFormat="1" applyFont="1" applyBorder="1" applyAlignment="1">
      <alignment vertical="center" wrapText="1"/>
    </xf>
    <xf numFmtId="166" fontId="21" fillId="0" borderId="17" xfId="2" applyNumberFormat="1" applyFont="1" applyBorder="1" applyAlignment="1">
      <alignment vertical="center" wrapText="1"/>
    </xf>
    <xf numFmtId="1" fontId="8" fillId="3" borderId="10" xfId="2" applyNumberFormat="1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3" fontId="8" fillId="0" borderId="22" xfId="2" applyNumberFormat="1" applyFont="1" applyBorder="1" applyAlignment="1">
      <alignment vertical="center" wrapText="1"/>
    </xf>
    <xf numFmtId="165" fontId="11" fillId="0" borderId="21" xfId="2" applyNumberFormat="1" applyFont="1" applyBorder="1" applyAlignment="1">
      <alignment vertical="center" wrapText="1"/>
    </xf>
    <xf numFmtId="0" fontId="8" fillId="3" borderId="5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vertical="center" wrapText="1"/>
    </xf>
    <xf numFmtId="0" fontId="4" fillId="0" borderId="55" xfId="2" applyFont="1" applyBorder="1" applyAlignment="1">
      <alignment horizontal="center"/>
    </xf>
    <xf numFmtId="0" fontId="4" fillId="0" borderId="56" xfId="2" applyFont="1" applyBorder="1" applyAlignment="1">
      <alignment horizontal="center"/>
    </xf>
    <xf numFmtId="0" fontId="13" fillId="0" borderId="57" xfId="2" applyFont="1" applyBorder="1" applyAlignment="1">
      <alignment horizontal="right" vertical="center"/>
    </xf>
    <xf numFmtId="0" fontId="4" fillId="0" borderId="15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9" fillId="0" borderId="15" xfId="2" applyFont="1" applyBorder="1" applyAlignment="1">
      <alignment vertical="center"/>
    </xf>
    <xf numFmtId="0" fontId="13" fillId="0" borderId="11" xfId="2" applyFont="1" applyBorder="1" applyAlignment="1">
      <alignment vertical="center"/>
    </xf>
    <xf numFmtId="3" fontId="13" fillId="0" borderId="11" xfId="2" applyNumberFormat="1" applyFont="1" applyBorder="1" applyAlignment="1">
      <alignment vertical="center" wrapText="1"/>
    </xf>
    <xf numFmtId="0" fontId="4" fillId="0" borderId="10" xfId="2" applyFont="1" applyBorder="1" applyAlignment="1">
      <alignment horizontal="center" vertical="center"/>
    </xf>
    <xf numFmtId="0" fontId="10" fillId="0" borderId="10" xfId="2" applyFont="1" applyBorder="1" applyAlignment="1">
      <alignment vertical="center"/>
    </xf>
    <xf numFmtId="0" fontId="5" fillId="0" borderId="17" xfId="2" applyFont="1" applyBorder="1" applyAlignment="1">
      <alignment horizontal="center"/>
    </xf>
    <xf numFmtId="0" fontId="8" fillId="0" borderId="5" xfId="2" applyFont="1" applyFill="1" applyBorder="1" applyAlignment="1">
      <alignment horizontal="center" vertical="center"/>
    </xf>
    <xf numFmtId="1" fontId="8" fillId="0" borderId="10" xfId="2" applyNumberFormat="1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1" fontId="8" fillId="0" borderId="15" xfId="2" applyNumberFormat="1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1" fontId="4" fillId="0" borderId="15" xfId="2" applyNumberFormat="1" applyFont="1" applyFill="1" applyBorder="1" applyAlignment="1">
      <alignment horizontal="center" vertical="center" wrapText="1"/>
    </xf>
    <xf numFmtId="3" fontId="4" fillId="0" borderId="10" xfId="2" applyNumberFormat="1" applyFont="1" applyBorder="1" applyAlignment="1">
      <alignment vertical="center" wrapText="1"/>
    </xf>
    <xf numFmtId="3" fontId="4" fillId="0" borderId="19" xfId="2" applyNumberFormat="1" applyFont="1" applyBorder="1" applyAlignment="1">
      <alignment vertical="center" wrapText="1"/>
    </xf>
    <xf numFmtId="3" fontId="11" fillId="0" borderId="18" xfId="2" applyNumberFormat="1" applyFont="1" applyBorder="1" applyAlignment="1">
      <alignment vertical="center" wrapText="1"/>
    </xf>
    <xf numFmtId="3" fontId="13" fillId="0" borderId="11" xfId="2" applyNumberFormat="1" applyFont="1" applyBorder="1" applyAlignment="1">
      <alignment vertical="center"/>
    </xf>
    <xf numFmtId="3" fontId="16" fillId="0" borderId="58" xfId="2" applyNumberFormat="1" applyFont="1" applyBorder="1"/>
    <xf numFmtId="3" fontId="16" fillId="0" borderId="59" xfId="2" applyNumberFormat="1" applyFont="1" applyBorder="1"/>
    <xf numFmtId="166" fontId="16" fillId="0" borderId="19" xfId="2" applyNumberFormat="1" applyFont="1" applyBorder="1" applyAlignment="1">
      <alignment vertical="center" wrapText="1"/>
    </xf>
    <xf numFmtId="166" fontId="16" fillId="3" borderId="60" xfId="2" applyNumberFormat="1" applyFont="1" applyFill="1" applyBorder="1" applyAlignment="1">
      <alignment vertical="center" wrapText="1"/>
    </xf>
    <xf numFmtId="3" fontId="16" fillId="0" borderId="61" xfId="2" applyNumberFormat="1" applyFont="1" applyBorder="1"/>
    <xf numFmtId="165" fontId="11" fillId="0" borderId="62" xfId="2" applyNumberFormat="1" applyFont="1" applyBorder="1" applyAlignment="1">
      <alignment vertical="center" wrapText="1"/>
    </xf>
    <xf numFmtId="166" fontId="10" fillId="0" borderId="59" xfId="2" applyNumberFormat="1" applyFont="1" applyBorder="1" applyAlignment="1">
      <alignment horizontal="right" vertical="center" wrapText="1"/>
    </xf>
    <xf numFmtId="0" fontId="4" fillId="0" borderId="8" xfId="2" applyFont="1" applyBorder="1" applyAlignment="1">
      <alignment horizontal="center"/>
    </xf>
    <xf numFmtId="0" fontId="4" fillId="0" borderId="63" xfId="2" applyFont="1" applyBorder="1" applyAlignment="1">
      <alignment horizontal="center"/>
    </xf>
    <xf numFmtId="0" fontId="4" fillId="0" borderId="64" xfId="2" applyFont="1" applyBorder="1" applyAlignment="1">
      <alignment horizontal="center" vertical="center"/>
    </xf>
    <xf numFmtId="3" fontId="9" fillId="0" borderId="64" xfId="2" applyNumberFormat="1" applyFont="1" applyFill="1" applyBorder="1" applyAlignment="1">
      <alignment horizontal="right" vertical="center" wrapText="1"/>
    </xf>
    <xf numFmtId="3" fontId="8" fillId="0" borderId="8" xfId="2" applyNumberFormat="1" applyFont="1" applyBorder="1" applyAlignment="1">
      <alignment vertical="center" wrapText="1"/>
    </xf>
    <xf numFmtId="3" fontId="13" fillId="0" borderId="64" xfId="2" applyNumberFormat="1" applyFont="1" applyBorder="1" applyAlignment="1">
      <alignment vertical="center" wrapText="1"/>
    </xf>
    <xf numFmtId="3" fontId="9" fillId="0" borderId="64" xfId="2" applyNumberFormat="1" applyFont="1" applyBorder="1" applyAlignment="1">
      <alignment horizontal="right" vertical="center" wrapText="1"/>
    </xf>
    <xf numFmtId="3" fontId="6" fillId="0" borderId="60" xfId="2" applyNumberFormat="1" applyFont="1" applyBorder="1" applyAlignment="1">
      <alignment vertical="center" wrapText="1"/>
    </xf>
    <xf numFmtId="3" fontId="4" fillId="0" borderId="8" xfId="2" applyNumberFormat="1" applyFont="1" applyBorder="1" applyAlignment="1">
      <alignment vertical="center" wrapText="1"/>
    </xf>
    <xf numFmtId="3" fontId="16" fillId="3" borderId="60" xfId="2" applyNumberFormat="1" applyFont="1" applyFill="1" applyBorder="1" applyAlignment="1">
      <alignment vertical="center" wrapText="1"/>
    </xf>
    <xf numFmtId="3" fontId="4" fillId="0" borderId="32" xfId="2" applyNumberFormat="1" applyFont="1" applyBorder="1" applyAlignment="1">
      <alignment vertical="center" wrapText="1"/>
    </xf>
    <xf numFmtId="3" fontId="4" fillId="0" borderId="33" xfId="2" applyNumberFormat="1" applyFont="1" applyBorder="1" applyAlignment="1">
      <alignment vertical="center" wrapText="1"/>
    </xf>
    <xf numFmtId="3" fontId="6" fillId="0" borderId="65" xfId="2" applyNumberFormat="1" applyFont="1" applyBorder="1" applyAlignment="1">
      <alignment vertical="center" wrapText="1"/>
    </xf>
    <xf numFmtId="3" fontId="4" fillId="0" borderId="66" xfId="2" applyNumberFormat="1" applyFont="1" applyBorder="1" applyAlignment="1">
      <alignment vertical="center" wrapText="1"/>
    </xf>
    <xf numFmtId="3" fontId="11" fillId="0" borderId="62" xfId="2" applyNumberFormat="1" applyFont="1" applyBorder="1" applyAlignment="1">
      <alignment vertical="center" wrapText="1"/>
    </xf>
    <xf numFmtId="3" fontId="11" fillId="0" borderId="23" xfId="2" applyNumberFormat="1" applyFont="1" applyBorder="1" applyAlignment="1">
      <alignment vertical="center" wrapText="1"/>
    </xf>
    <xf numFmtId="3" fontId="16" fillId="0" borderId="60" xfId="2" applyNumberFormat="1" applyFont="1" applyBorder="1" applyAlignment="1">
      <alignment vertical="center" wrapText="1"/>
    </xf>
    <xf numFmtId="3" fontId="11" fillId="0" borderId="10" xfId="2" applyNumberFormat="1" applyFont="1" applyBorder="1" applyAlignment="1">
      <alignment vertical="center" wrapText="1"/>
    </xf>
    <xf numFmtId="3" fontId="11" fillId="0" borderId="19" xfId="2" applyNumberFormat="1" applyFont="1" applyBorder="1" applyAlignment="1">
      <alignment vertical="center" wrapText="1"/>
    </xf>
    <xf numFmtId="16" fontId="14" fillId="0" borderId="17" xfId="2" quotePrefix="1" applyNumberFormat="1" applyFont="1" applyBorder="1" applyAlignment="1">
      <alignment horizontal="center" vertical="center"/>
    </xf>
    <xf numFmtId="166" fontId="6" fillId="3" borderId="8" xfId="2" applyNumberFormat="1" applyFont="1" applyFill="1" applyBorder="1" applyAlignment="1">
      <alignment vertical="center" wrapText="1"/>
    </xf>
    <xf numFmtId="3" fontId="13" fillId="0" borderId="67" xfId="2" applyNumberFormat="1" applyFont="1" applyBorder="1" applyAlignment="1">
      <alignment vertical="center" wrapText="1"/>
    </xf>
    <xf numFmtId="3" fontId="16" fillId="0" borderId="8" xfId="2" applyNumberFormat="1" applyFont="1" applyBorder="1" applyAlignment="1">
      <alignment vertical="center" wrapText="1"/>
    </xf>
    <xf numFmtId="3" fontId="16" fillId="0" borderId="66" xfId="2" applyNumberFormat="1" applyFont="1" applyBorder="1" applyAlignment="1">
      <alignment vertical="center" wrapText="1"/>
    </xf>
    <xf numFmtId="3" fontId="10" fillId="0" borderId="18" xfId="2" applyNumberFormat="1" applyFont="1" applyBorder="1" applyAlignment="1">
      <alignment vertical="center"/>
    </xf>
    <xf numFmtId="166" fontId="16" fillId="0" borderId="8" xfId="2" applyNumberFormat="1" applyFont="1" applyBorder="1" applyAlignment="1">
      <alignment vertical="center" wrapText="1"/>
    </xf>
    <xf numFmtId="166" fontId="10" fillId="0" borderId="18" xfId="2" applyNumberFormat="1" applyFont="1" applyBorder="1" applyAlignment="1">
      <alignment vertical="center"/>
    </xf>
    <xf numFmtId="166" fontId="10" fillId="0" borderId="68" xfId="2" applyNumberFormat="1" applyFont="1" applyBorder="1" applyAlignment="1">
      <alignment vertical="center"/>
    </xf>
    <xf numFmtId="166" fontId="10" fillId="0" borderId="64" xfId="2" applyNumberFormat="1" applyFont="1" applyBorder="1" applyAlignment="1">
      <alignment vertical="center"/>
    </xf>
    <xf numFmtId="166" fontId="10" fillId="0" borderId="69" xfId="2" applyNumberFormat="1" applyFont="1" applyBorder="1" applyAlignment="1">
      <alignment vertical="center"/>
    </xf>
    <xf numFmtId="0" fontId="4" fillId="0" borderId="15" xfId="2" applyFont="1" applyBorder="1" applyAlignment="1">
      <alignment horizontal="center"/>
    </xf>
    <xf numFmtId="166" fontId="8" fillId="0" borderId="21" xfId="2" applyNumberFormat="1" applyFont="1" applyBorder="1" applyAlignment="1">
      <alignment vertical="center" wrapText="1"/>
    </xf>
    <xf numFmtId="3" fontId="11" fillId="0" borderId="21" xfId="2" applyNumberFormat="1" applyFont="1" applyBorder="1" applyAlignment="1">
      <alignment vertical="center" wrapText="1"/>
    </xf>
    <xf numFmtId="49" fontId="12" fillId="0" borderId="9" xfId="2" applyNumberFormat="1" applyFont="1" applyBorder="1" applyAlignment="1">
      <alignment horizontal="center" vertical="center" wrapText="1"/>
    </xf>
    <xf numFmtId="3" fontId="4" fillId="0" borderId="5" xfId="2" applyNumberFormat="1" applyFont="1" applyBorder="1" applyAlignment="1">
      <alignment vertical="center" wrapText="1"/>
    </xf>
    <xf numFmtId="3" fontId="8" fillId="0" borderId="5" xfId="2" applyNumberFormat="1" applyFont="1" applyBorder="1" applyAlignment="1">
      <alignment vertical="center" wrapText="1"/>
    </xf>
    <xf numFmtId="166" fontId="11" fillId="0" borderId="16" xfId="2" applyNumberFormat="1" applyFont="1" applyBorder="1" applyAlignment="1">
      <alignment vertical="center" wrapText="1"/>
    </xf>
    <xf numFmtId="166" fontId="6" fillId="0" borderId="16" xfId="2" applyNumberFormat="1" applyFont="1" applyBorder="1" applyAlignment="1">
      <alignment vertical="center" wrapText="1"/>
    </xf>
    <xf numFmtId="166" fontId="10" fillId="0" borderId="48" xfId="2" applyNumberFormat="1" applyFont="1" applyBorder="1" applyAlignment="1">
      <alignment vertical="center"/>
    </xf>
    <xf numFmtId="166" fontId="10" fillId="0" borderId="13" xfId="2" applyNumberFormat="1" applyFont="1" applyBorder="1" applyAlignment="1">
      <alignment vertical="center"/>
    </xf>
    <xf numFmtId="166" fontId="10" fillId="0" borderId="52" xfId="2" applyNumberFormat="1" applyFont="1" applyBorder="1" applyAlignment="1">
      <alignment vertical="center"/>
    </xf>
    <xf numFmtId="166" fontId="21" fillId="0" borderId="16" xfId="2" applyNumberFormat="1" applyFont="1" applyBorder="1" applyAlignment="1">
      <alignment vertical="center" wrapText="1"/>
    </xf>
    <xf numFmtId="3" fontId="9" fillId="0" borderId="13" xfId="2" applyNumberFormat="1" applyFont="1" applyBorder="1" applyAlignment="1">
      <alignment horizontal="right" vertical="center" wrapText="1"/>
    </xf>
    <xf numFmtId="0" fontId="5" fillId="0" borderId="5" xfId="2" applyFont="1" applyBorder="1"/>
    <xf numFmtId="0" fontId="12" fillId="0" borderId="9" xfId="2" applyFont="1" applyBorder="1" applyAlignment="1">
      <alignment vertical="center" wrapText="1"/>
    </xf>
    <xf numFmtId="166" fontId="4" fillId="0" borderId="9" xfId="2" applyNumberFormat="1" applyFont="1" applyBorder="1" applyAlignment="1">
      <alignment vertical="center" wrapText="1"/>
    </xf>
    <xf numFmtId="0" fontId="12" fillId="0" borderId="10" xfId="2" applyFont="1" applyFill="1" applyBorder="1" applyAlignment="1">
      <alignment horizontal="center" vertical="center" wrapText="1"/>
    </xf>
    <xf numFmtId="49" fontId="12" fillId="0" borderId="15" xfId="2" applyNumberFormat="1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3" fontId="5" fillId="0" borderId="70" xfId="2" applyNumberFormat="1" applyFont="1" applyBorder="1"/>
    <xf numFmtId="0" fontId="5" fillId="0" borderId="70" xfId="2" applyFont="1" applyBorder="1"/>
    <xf numFmtId="0" fontId="23" fillId="0" borderId="0" xfId="2" applyFont="1"/>
    <xf numFmtId="0" fontId="23" fillId="0" borderId="0" xfId="2" applyFont="1" applyBorder="1"/>
    <xf numFmtId="166" fontId="23" fillId="0" borderId="0" xfId="2" applyNumberFormat="1" applyFont="1"/>
    <xf numFmtId="0" fontId="24" fillId="0" borderId="9" xfId="2" applyFont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/>
    </xf>
    <xf numFmtId="49" fontId="4" fillId="0" borderId="9" xfId="2" applyNumberFormat="1" applyFont="1" applyBorder="1" applyAlignment="1">
      <alignment horizontal="center" vertical="center" wrapText="1"/>
    </xf>
    <xf numFmtId="0" fontId="9" fillId="0" borderId="71" xfId="2" applyFont="1" applyBorder="1" applyAlignment="1">
      <alignment vertical="center"/>
    </xf>
    <xf numFmtId="3" fontId="8" fillId="0" borderId="71" xfId="2" applyNumberFormat="1" applyFont="1" applyBorder="1" applyAlignment="1">
      <alignment vertical="center"/>
    </xf>
    <xf numFmtId="3" fontId="8" fillId="0" borderId="72" xfId="2" applyNumberFormat="1" applyFont="1" applyBorder="1" applyAlignment="1">
      <alignment vertical="center"/>
    </xf>
    <xf numFmtId="3" fontId="17" fillId="0" borderId="73" xfId="2" applyNumberFormat="1" applyFont="1" applyBorder="1" applyAlignment="1">
      <alignment vertical="center" wrapText="1"/>
    </xf>
    <xf numFmtId="0" fontId="4" fillId="0" borderId="17" xfId="2" applyFont="1" applyBorder="1" applyAlignment="1">
      <alignment horizontal="center" vertical="center" wrapText="1"/>
    </xf>
    <xf numFmtId="0" fontId="12" fillId="0" borderId="17" xfId="2" applyFont="1" applyBorder="1" applyAlignment="1">
      <alignment vertical="center" wrapText="1"/>
    </xf>
    <xf numFmtId="3" fontId="12" fillId="0" borderId="17" xfId="2" applyNumberFormat="1" applyFont="1" applyBorder="1" applyAlignment="1">
      <alignment vertical="center" wrapText="1"/>
    </xf>
    <xf numFmtId="0" fontId="4" fillId="0" borderId="8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4" fillId="0" borderId="74" xfId="2" applyFont="1" applyBorder="1" applyAlignment="1">
      <alignment horizontal="center" vertical="center" wrapText="1"/>
    </xf>
    <xf numFmtId="0" fontId="12" fillId="0" borderId="74" xfId="2" applyFont="1" applyBorder="1" applyAlignment="1">
      <alignment vertical="center" wrapText="1"/>
    </xf>
    <xf numFmtId="3" fontId="12" fillId="0" borderId="74" xfId="2" applyNumberFormat="1" applyFont="1" applyBorder="1" applyAlignment="1">
      <alignment vertical="center" wrapText="1"/>
    </xf>
    <xf numFmtId="3" fontId="16" fillId="0" borderId="42" xfId="2" applyNumberFormat="1" applyFont="1" applyBorder="1" applyAlignment="1">
      <alignment vertical="center"/>
    </xf>
    <xf numFmtId="3" fontId="18" fillId="0" borderId="71" xfId="2" applyNumberFormat="1" applyFont="1" applyBorder="1" applyAlignment="1">
      <alignment vertical="center" wrapText="1"/>
    </xf>
    <xf numFmtId="3" fontId="8" fillId="0" borderId="71" xfId="2" applyNumberFormat="1" applyFont="1" applyBorder="1" applyAlignment="1">
      <alignment vertical="center" wrapText="1"/>
    </xf>
    <xf numFmtId="0" fontId="4" fillId="0" borderId="30" xfId="2" applyFont="1" applyBorder="1" applyAlignment="1">
      <alignment horizontal="center" vertical="center" wrapText="1"/>
    </xf>
    <xf numFmtId="0" fontId="4" fillId="0" borderId="74" xfId="2" applyFont="1" applyFill="1" applyBorder="1" applyAlignment="1">
      <alignment horizontal="center" vertical="center" wrapText="1"/>
    </xf>
    <xf numFmtId="0" fontId="4" fillId="0" borderId="75" xfId="2" applyFont="1" applyBorder="1" applyAlignment="1">
      <alignment horizontal="center" vertical="center" wrapText="1"/>
    </xf>
    <xf numFmtId="3" fontId="21" fillId="0" borderId="17" xfId="2" applyNumberFormat="1" applyFont="1" applyBorder="1" applyAlignment="1">
      <alignment vertical="center" wrapText="1"/>
    </xf>
    <xf numFmtId="3" fontId="13" fillId="0" borderId="57" xfId="2" applyNumberFormat="1" applyFont="1" applyBorder="1" applyAlignment="1">
      <alignment vertical="center" wrapText="1"/>
    </xf>
    <xf numFmtId="49" fontId="4" fillId="0" borderId="15" xfId="2" applyNumberFormat="1" applyFont="1" applyFill="1" applyBorder="1" applyAlignment="1">
      <alignment horizontal="center" vertical="center" wrapText="1"/>
    </xf>
    <xf numFmtId="49" fontId="8" fillId="0" borderId="15" xfId="2" applyNumberFormat="1" applyFont="1" applyFill="1" applyBorder="1" applyAlignment="1">
      <alignment horizontal="center" vertical="center" wrapText="1"/>
    </xf>
    <xf numFmtId="3" fontId="9" fillId="0" borderId="10" xfId="2" applyNumberFormat="1" applyFont="1" applyBorder="1" applyAlignment="1">
      <alignment horizontal="right" vertical="center" wrapText="1"/>
    </xf>
    <xf numFmtId="3" fontId="9" fillId="0" borderId="19" xfId="2" applyNumberFormat="1" applyFont="1" applyBorder="1" applyAlignment="1">
      <alignment horizontal="right" vertical="center" wrapText="1"/>
    </xf>
    <xf numFmtId="0" fontId="8" fillId="0" borderId="0" xfId="2" applyFont="1" applyBorder="1" applyAlignment="1">
      <alignment horizontal="left" vertical="center"/>
    </xf>
    <xf numFmtId="3" fontId="5" fillId="0" borderId="70" xfId="2" applyNumberFormat="1" applyFont="1" applyFill="1" applyBorder="1"/>
    <xf numFmtId="16" fontId="5" fillId="0" borderId="17" xfId="2" applyNumberFormat="1" applyFont="1" applyBorder="1" applyAlignment="1">
      <alignment horizontal="center" vertical="center"/>
    </xf>
    <xf numFmtId="3" fontId="11" fillId="0" borderId="64" xfId="2" applyNumberFormat="1" applyFont="1" applyBorder="1" applyAlignment="1">
      <alignment vertical="center" wrapText="1"/>
    </xf>
    <xf numFmtId="49" fontId="18" fillId="0" borderId="11" xfId="2" applyNumberFormat="1" applyFont="1" applyBorder="1" applyAlignment="1">
      <alignment horizontal="center" vertical="center" wrapText="1"/>
    </xf>
    <xf numFmtId="166" fontId="8" fillId="0" borderId="8" xfId="2" applyNumberFormat="1" applyFont="1" applyBorder="1" applyAlignment="1">
      <alignment vertical="center" wrapText="1"/>
    </xf>
    <xf numFmtId="166" fontId="16" fillId="3" borderId="8" xfId="2" applyNumberFormat="1" applyFont="1" applyFill="1" applyBorder="1" applyAlignment="1">
      <alignment vertical="center" wrapText="1"/>
    </xf>
    <xf numFmtId="166" fontId="25" fillId="0" borderId="17" xfId="2" applyNumberFormat="1" applyFont="1" applyBorder="1" applyAlignment="1">
      <alignment vertical="center" wrapText="1"/>
    </xf>
    <xf numFmtId="166" fontId="8" fillId="3" borderId="8" xfId="2" applyNumberFormat="1" applyFont="1" applyFill="1" applyBorder="1" applyAlignment="1">
      <alignment vertical="center" wrapText="1"/>
    </xf>
    <xf numFmtId="49" fontId="8" fillId="0" borderId="11" xfId="2" applyNumberFormat="1" applyFont="1" applyFill="1" applyBorder="1" applyAlignment="1">
      <alignment horizontal="center" vertical="center" wrapText="1"/>
    </xf>
    <xf numFmtId="3" fontId="11" fillId="0" borderId="8" xfId="2" applyNumberFormat="1" applyFont="1" applyBorder="1" applyAlignment="1">
      <alignment vertical="center" wrapText="1"/>
    </xf>
    <xf numFmtId="166" fontId="4" fillId="0" borderId="0" xfId="2" applyNumberFormat="1" applyFont="1" applyBorder="1" applyAlignment="1">
      <alignment vertical="center" wrapText="1"/>
    </xf>
    <xf numFmtId="166" fontId="11" fillId="0" borderId="8" xfId="2" applyNumberFormat="1" applyFont="1" applyBorder="1" applyAlignment="1">
      <alignment vertical="center" wrapText="1"/>
    </xf>
    <xf numFmtId="166" fontId="11" fillId="0" borderId="5" xfId="2" applyNumberFormat="1" applyFont="1" applyBorder="1" applyAlignment="1">
      <alignment vertical="center" wrapText="1"/>
    </xf>
    <xf numFmtId="166" fontId="10" fillId="0" borderId="10" xfId="2" applyNumberFormat="1" applyFont="1" applyBorder="1" applyAlignment="1">
      <alignment vertical="center"/>
    </xf>
    <xf numFmtId="166" fontId="10" fillId="0" borderId="19" xfId="2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top"/>
    </xf>
    <xf numFmtId="0" fontId="4" fillId="0" borderId="0" xfId="2" applyFont="1" applyBorder="1" applyAlignment="1">
      <alignment horizontal="right" vertical="top"/>
    </xf>
    <xf numFmtId="0" fontId="8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3" fontId="11" fillId="0" borderId="0" xfId="2" applyNumberFormat="1" applyFont="1" applyBorder="1" applyAlignment="1">
      <alignment horizontal="right" vertical="center" wrapText="1"/>
    </xf>
    <xf numFmtId="3" fontId="16" fillId="0" borderId="0" xfId="2" applyNumberFormat="1" applyFont="1" applyBorder="1" applyAlignment="1">
      <alignment vertical="center" wrapText="1"/>
    </xf>
    <xf numFmtId="3" fontId="10" fillId="0" borderId="0" xfId="2" applyNumberFormat="1" applyFont="1" applyBorder="1" applyAlignment="1">
      <alignment vertical="center"/>
    </xf>
    <xf numFmtId="3" fontId="10" fillId="0" borderId="0" xfId="2" applyNumberFormat="1" applyFont="1" applyFill="1" applyBorder="1" applyAlignment="1">
      <alignment vertical="center"/>
    </xf>
    <xf numFmtId="3" fontId="17" fillId="0" borderId="0" xfId="2" applyNumberFormat="1" applyFont="1" applyBorder="1" applyAlignment="1">
      <alignment vertical="center" wrapText="1"/>
    </xf>
    <xf numFmtId="3" fontId="19" fillId="0" borderId="0" xfId="2" applyNumberFormat="1" applyFont="1" applyFill="1" applyBorder="1" applyAlignment="1">
      <alignment vertical="center" wrapText="1"/>
    </xf>
    <xf numFmtId="3" fontId="19" fillId="0" borderId="0" xfId="2" applyNumberFormat="1" applyFont="1" applyBorder="1" applyAlignment="1">
      <alignment vertical="center" wrapText="1"/>
    </xf>
    <xf numFmtId="166" fontId="19" fillId="0" borderId="0" xfId="2" applyNumberFormat="1" applyFont="1" applyBorder="1" applyAlignment="1">
      <alignment vertical="center" wrapText="1"/>
    </xf>
    <xf numFmtId="166" fontId="11" fillId="0" borderId="0" xfId="2" applyNumberFormat="1" applyFont="1" applyBorder="1" applyAlignment="1">
      <alignment vertical="center" wrapText="1"/>
    </xf>
    <xf numFmtId="166" fontId="16" fillId="0" borderId="0" xfId="2" applyNumberFormat="1" applyFont="1" applyBorder="1" applyAlignment="1">
      <alignment vertical="center" wrapText="1"/>
    </xf>
    <xf numFmtId="166" fontId="10" fillId="0" borderId="0" xfId="2" applyNumberFormat="1" applyFont="1" applyBorder="1" applyAlignment="1">
      <alignment vertical="center"/>
    </xf>
    <xf numFmtId="166" fontId="8" fillId="0" borderId="0" xfId="2" applyNumberFormat="1" applyFont="1" applyBorder="1" applyAlignment="1">
      <alignment vertical="center" wrapText="1"/>
    </xf>
    <xf numFmtId="166" fontId="10" fillId="0" borderId="0" xfId="2" applyNumberFormat="1" applyFont="1" applyBorder="1" applyAlignment="1">
      <alignment vertical="center" wrapText="1"/>
    </xf>
    <xf numFmtId="3" fontId="10" fillId="0" borderId="23" xfId="2" applyNumberFormat="1" applyFont="1" applyFill="1" applyBorder="1" applyAlignment="1">
      <alignment vertical="center"/>
    </xf>
    <xf numFmtId="0" fontId="6" fillId="0" borderId="76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6" fillId="0" borderId="77" xfId="2" applyFont="1" applyBorder="1" applyAlignment="1">
      <alignment horizontal="center"/>
    </xf>
    <xf numFmtId="0" fontId="4" fillId="0" borderId="78" xfId="2" applyFont="1" applyBorder="1" applyAlignment="1">
      <alignment horizontal="center" vertical="center"/>
    </xf>
    <xf numFmtId="3" fontId="11" fillId="0" borderId="67" xfId="2" applyNumberFormat="1" applyFont="1" applyBorder="1" applyAlignment="1">
      <alignment horizontal="right" vertical="center" wrapText="1"/>
    </xf>
    <xf numFmtId="3" fontId="11" fillId="0" borderId="46" xfId="2" applyNumberFormat="1" applyFont="1" applyBorder="1" applyAlignment="1">
      <alignment horizontal="right" vertical="center" wrapText="1"/>
    </xf>
    <xf numFmtId="3" fontId="17" fillId="0" borderId="26" xfId="2" applyNumberFormat="1" applyFont="1" applyBorder="1" applyAlignment="1">
      <alignment vertical="center" wrapText="1"/>
    </xf>
    <xf numFmtId="3" fontId="17" fillId="0" borderId="27" xfId="2" applyNumberFormat="1" applyFont="1" applyBorder="1" applyAlignment="1">
      <alignment vertical="center" wrapText="1"/>
    </xf>
    <xf numFmtId="166" fontId="19" fillId="0" borderId="79" xfId="2" applyNumberFormat="1" applyFont="1" applyBorder="1" applyAlignment="1">
      <alignment vertical="center" wrapText="1"/>
    </xf>
    <xf numFmtId="3" fontId="10" fillId="0" borderId="80" xfId="2" applyNumberFormat="1" applyFont="1" applyBorder="1" applyAlignment="1">
      <alignment vertical="center"/>
    </xf>
    <xf numFmtId="166" fontId="11" fillId="0" borderId="81" xfId="2" applyNumberFormat="1" applyFont="1" applyBorder="1" applyAlignment="1">
      <alignment vertical="center" wrapText="1"/>
    </xf>
    <xf numFmtId="3" fontId="16" fillId="0" borderId="33" xfId="2" applyNumberFormat="1" applyFont="1" applyBorder="1" applyAlignment="1">
      <alignment vertical="center" wrapText="1"/>
    </xf>
    <xf numFmtId="166" fontId="10" fillId="0" borderId="23" xfId="2" applyNumberFormat="1" applyFont="1" applyBorder="1" applyAlignment="1">
      <alignment vertical="center" wrapText="1"/>
    </xf>
    <xf numFmtId="0" fontId="4" fillId="0" borderId="82" xfId="2" applyFont="1" applyBorder="1" applyAlignment="1">
      <alignment horizontal="center"/>
    </xf>
    <xf numFmtId="3" fontId="8" fillId="0" borderId="83" xfId="2" applyNumberFormat="1" applyFont="1" applyBorder="1" applyAlignment="1">
      <alignment vertical="center"/>
    </xf>
    <xf numFmtId="3" fontId="8" fillId="0" borderId="84" xfId="2" applyNumberFormat="1" applyFont="1" applyBorder="1" applyAlignment="1">
      <alignment vertical="center"/>
    </xf>
    <xf numFmtId="3" fontId="8" fillId="0" borderId="85" xfId="2" applyNumberFormat="1" applyFont="1" applyBorder="1" applyAlignment="1">
      <alignment vertical="center"/>
    </xf>
    <xf numFmtId="3" fontId="8" fillId="0" borderId="85" xfId="2" applyNumberFormat="1" applyFont="1" applyBorder="1" applyAlignment="1">
      <alignment vertical="center" wrapText="1"/>
    </xf>
    <xf numFmtId="3" fontId="8" fillId="0" borderId="86" xfId="2" applyNumberFormat="1" applyFont="1" applyBorder="1" applyAlignment="1">
      <alignment vertical="center" wrapText="1"/>
    </xf>
    <xf numFmtId="3" fontId="8" fillId="0" borderId="87" xfId="2" applyNumberFormat="1" applyFont="1" applyBorder="1" applyAlignment="1">
      <alignment vertical="center" wrapText="1"/>
    </xf>
    <xf numFmtId="3" fontId="12" fillId="0" borderId="8" xfId="2" applyNumberFormat="1" applyFont="1" applyBorder="1" applyAlignment="1">
      <alignment vertical="center" wrapText="1"/>
    </xf>
    <xf numFmtId="3" fontId="13" fillId="0" borderId="88" xfId="2" applyNumberFormat="1" applyFont="1" applyBorder="1" applyAlignment="1">
      <alignment vertical="center" wrapText="1"/>
    </xf>
    <xf numFmtId="3" fontId="8" fillId="0" borderId="66" xfId="2" applyNumberFormat="1" applyFont="1" applyBorder="1" applyAlignment="1">
      <alignment vertical="center" wrapText="1"/>
    </xf>
    <xf numFmtId="3" fontId="13" fillId="0" borderId="47" xfId="2" applyNumberFormat="1" applyFont="1" applyBorder="1" applyAlignment="1">
      <alignment vertical="center"/>
    </xf>
    <xf numFmtId="166" fontId="4" fillId="0" borderId="8" xfId="2" applyNumberFormat="1" applyFont="1" applyBorder="1" applyAlignment="1">
      <alignment vertical="center" wrapText="1"/>
    </xf>
    <xf numFmtId="166" fontId="12" fillId="0" borderId="8" xfId="2" applyNumberFormat="1" applyFont="1" applyBorder="1" applyAlignment="1">
      <alignment vertical="center" wrapText="1"/>
    </xf>
    <xf numFmtId="166" fontId="10" fillId="0" borderId="18" xfId="2" applyNumberFormat="1" applyFont="1" applyFill="1" applyBorder="1" applyAlignment="1">
      <alignment vertical="center" wrapText="1"/>
    </xf>
    <xf numFmtId="49" fontId="31" fillId="0" borderId="11" xfId="2" applyNumberFormat="1" applyFont="1" applyBorder="1" applyAlignment="1">
      <alignment horizontal="center" vertical="center" wrapText="1"/>
    </xf>
    <xf numFmtId="166" fontId="31" fillId="0" borderId="10" xfId="2" applyNumberFormat="1" applyFont="1" applyBorder="1" applyAlignment="1">
      <alignment vertical="center" wrapText="1"/>
    </xf>
    <xf numFmtId="3" fontId="11" fillId="0" borderId="17" xfId="2" applyNumberFormat="1" applyFont="1" applyFill="1" applyBorder="1" applyAlignment="1">
      <alignment vertical="center" wrapText="1"/>
    </xf>
    <xf numFmtId="166" fontId="12" fillId="0" borderId="0" xfId="2" applyNumberFormat="1" applyFont="1"/>
    <xf numFmtId="0" fontId="13" fillId="0" borderId="17" xfId="2" applyFont="1" applyBorder="1" applyAlignment="1">
      <alignment horizontal="right" vertical="center"/>
    </xf>
    <xf numFmtId="166" fontId="13" fillId="0" borderId="17" xfId="2" applyNumberFormat="1" applyFont="1" applyBorder="1" applyAlignment="1">
      <alignment vertical="center"/>
    </xf>
    <xf numFmtId="49" fontId="8" fillId="4" borderId="11" xfId="2" applyNumberFormat="1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49" fontId="12" fillId="4" borderId="10" xfId="2" applyNumberFormat="1" applyFont="1" applyFill="1" applyBorder="1" applyAlignment="1">
      <alignment horizontal="center" vertical="center" wrapText="1"/>
    </xf>
    <xf numFmtId="166" fontId="12" fillId="4" borderId="8" xfId="2" applyNumberFormat="1" applyFont="1" applyFill="1" applyBorder="1" applyAlignment="1">
      <alignment vertical="center" wrapText="1"/>
    </xf>
    <xf numFmtId="49" fontId="12" fillId="4" borderId="15" xfId="2" applyNumberFormat="1" applyFont="1" applyFill="1" applyBorder="1" applyAlignment="1">
      <alignment horizontal="center" vertical="center" wrapText="1"/>
    </xf>
    <xf numFmtId="49" fontId="12" fillId="0" borderId="9" xfId="2" applyNumberFormat="1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166" fontId="22" fillId="0" borderId="17" xfId="2" applyNumberFormat="1" applyFont="1" applyBorder="1" applyAlignment="1">
      <alignment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4" fillId="0" borderId="6" xfId="2" applyFont="1" applyBorder="1" applyAlignment="1"/>
    <xf numFmtId="0" fontId="0" fillId="0" borderId="89" xfId="0" applyBorder="1" applyAlignment="1"/>
    <xf numFmtId="0" fontId="4" fillId="0" borderId="90" xfId="2" applyFont="1" applyBorder="1" applyAlignment="1"/>
    <xf numFmtId="0" fontId="8" fillId="0" borderId="10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10" xfId="2" applyFont="1" applyBorder="1" applyAlignment="1">
      <alignment horizontal="center"/>
    </xf>
    <xf numFmtId="0" fontId="4" fillId="0" borderId="32" xfId="2" applyFont="1" applyBorder="1" applyAlignment="1">
      <alignment horizontal="center"/>
    </xf>
    <xf numFmtId="0" fontId="4" fillId="0" borderId="91" xfId="2" applyFont="1" applyBorder="1" applyAlignment="1"/>
    <xf numFmtId="0" fontId="4" fillId="2" borderId="91" xfId="0" applyFont="1" applyFill="1" applyBorder="1" applyAlignment="1" applyProtection="1">
      <protection hidden="1"/>
    </xf>
    <xf numFmtId="0" fontId="4" fillId="2" borderId="91" xfId="0" applyFont="1" applyFill="1" applyBorder="1" applyAlignment="1" applyProtection="1">
      <alignment horizontal="center"/>
      <protection hidden="1"/>
    </xf>
    <xf numFmtId="0" fontId="4" fillId="0" borderId="92" xfId="2" applyFont="1" applyBorder="1" applyAlignment="1"/>
    <xf numFmtId="0" fontId="4" fillId="0" borderId="93" xfId="2" applyFont="1" applyBorder="1" applyAlignment="1"/>
    <xf numFmtId="0" fontId="16" fillId="0" borderId="94" xfId="2" applyFont="1" applyBorder="1" applyAlignment="1">
      <alignment horizontal="center"/>
    </xf>
    <xf numFmtId="0" fontId="16" fillId="0" borderId="91" xfId="2" applyFont="1" applyBorder="1" applyAlignment="1">
      <alignment horizontal="center"/>
    </xf>
    <xf numFmtId="3" fontId="11" fillId="0" borderId="15" xfId="2" applyNumberFormat="1" applyFont="1" applyBorder="1" applyAlignment="1">
      <alignment horizontal="right" vertical="center" wrapText="1"/>
    </xf>
    <xf numFmtId="0" fontId="6" fillId="0" borderId="95" xfId="2" applyFont="1" applyBorder="1" applyAlignment="1">
      <alignment horizontal="center"/>
    </xf>
    <xf numFmtId="3" fontId="16" fillId="0" borderId="95" xfId="2" applyNumberFormat="1" applyFont="1" applyBorder="1"/>
    <xf numFmtId="3" fontId="16" fillId="0" borderId="40" xfId="2" applyNumberFormat="1" applyFont="1" applyBorder="1"/>
    <xf numFmtId="166" fontId="10" fillId="0" borderId="40" xfId="2" applyNumberFormat="1" applyFont="1" applyBorder="1" applyAlignment="1">
      <alignment horizontal="right" vertical="center" wrapText="1"/>
    </xf>
    <xf numFmtId="166" fontId="6" fillId="0" borderId="90" xfId="2" applyNumberFormat="1" applyFont="1" applyBorder="1" applyAlignment="1">
      <alignment vertical="center" wrapText="1"/>
    </xf>
    <xf numFmtId="166" fontId="6" fillId="0" borderId="96" xfId="2" applyNumberFormat="1" applyFont="1" applyBorder="1" applyAlignment="1">
      <alignment vertical="center" wrapText="1"/>
    </xf>
    <xf numFmtId="166" fontId="11" fillId="0" borderId="97" xfId="2" applyNumberFormat="1" applyFont="1" applyBorder="1" applyAlignment="1">
      <alignment vertical="center" wrapText="1"/>
    </xf>
    <xf numFmtId="3" fontId="11" fillId="0" borderId="98" xfId="2" applyNumberFormat="1" applyFont="1" applyBorder="1" applyAlignment="1">
      <alignment vertical="center" wrapText="1"/>
    </xf>
    <xf numFmtId="3" fontId="11" fillId="0" borderId="90" xfId="2" applyNumberFormat="1" applyFont="1" applyBorder="1" applyAlignment="1">
      <alignment vertical="center" wrapText="1"/>
    </xf>
    <xf numFmtId="166" fontId="6" fillId="0" borderId="97" xfId="2" applyNumberFormat="1" applyFont="1" applyBorder="1" applyAlignment="1">
      <alignment vertical="center" wrapText="1"/>
    </xf>
    <xf numFmtId="166" fontId="10" fillId="0" borderId="99" xfId="2" applyNumberFormat="1" applyFont="1" applyBorder="1" applyAlignment="1">
      <alignment vertical="center"/>
    </xf>
    <xf numFmtId="166" fontId="10" fillId="0" borderId="100" xfId="2" applyNumberFormat="1" applyFont="1" applyBorder="1" applyAlignment="1">
      <alignment vertical="center"/>
    </xf>
    <xf numFmtId="166" fontId="10" fillId="0" borderId="97" xfId="2" applyNumberFormat="1" applyFont="1" applyBorder="1" applyAlignment="1">
      <alignment vertical="center" wrapText="1"/>
    </xf>
    <xf numFmtId="3" fontId="13" fillId="0" borderId="41" xfId="2" applyNumberFormat="1" applyFont="1" applyBorder="1" applyAlignment="1">
      <alignment vertical="center" wrapText="1"/>
    </xf>
    <xf numFmtId="3" fontId="21" fillId="0" borderId="21" xfId="2" applyNumberFormat="1" applyFont="1" applyBorder="1" applyAlignment="1">
      <alignment vertical="center" wrapText="1"/>
    </xf>
    <xf numFmtId="166" fontId="4" fillId="0" borderId="22" xfId="2" applyNumberFormat="1" applyFont="1" applyBorder="1" applyAlignment="1">
      <alignment vertical="center" wrapText="1"/>
    </xf>
    <xf numFmtId="166" fontId="4" fillId="0" borderId="101" xfId="2" applyNumberFormat="1" applyFont="1" applyBorder="1" applyAlignment="1">
      <alignment vertical="center" wrapText="1"/>
    </xf>
    <xf numFmtId="3" fontId="13" fillId="0" borderId="12" xfId="2" applyNumberFormat="1" applyFont="1" applyBorder="1" applyAlignment="1">
      <alignment vertical="center" wrapText="1"/>
    </xf>
    <xf numFmtId="166" fontId="25" fillId="0" borderId="21" xfId="2" applyNumberFormat="1" applyFont="1" applyBorder="1" applyAlignment="1">
      <alignment vertical="center" wrapText="1"/>
    </xf>
    <xf numFmtId="3" fontId="11" fillId="0" borderId="22" xfId="2" applyNumberFormat="1" applyFont="1" applyBorder="1" applyAlignment="1">
      <alignment vertical="center" wrapText="1"/>
    </xf>
    <xf numFmtId="166" fontId="8" fillId="0" borderId="22" xfId="2" applyNumberFormat="1" applyFont="1" applyBorder="1" applyAlignment="1">
      <alignment vertical="center" wrapText="1"/>
    </xf>
    <xf numFmtId="166" fontId="10" fillId="0" borderId="49" xfId="2" applyNumberFormat="1" applyFont="1" applyBorder="1" applyAlignment="1">
      <alignment vertical="center"/>
    </xf>
    <xf numFmtId="166" fontId="10" fillId="0" borderId="15" xfId="2" applyNumberFormat="1" applyFont="1" applyBorder="1" applyAlignment="1">
      <alignment vertical="center"/>
    </xf>
    <xf numFmtId="166" fontId="10" fillId="0" borderId="22" xfId="2" applyNumberFormat="1" applyFont="1" applyBorder="1" applyAlignment="1">
      <alignment vertical="center"/>
    </xf>
    <xf numFmtId="166" fontId="10" fillId="0" borderId="24" xfId="2" applyNumberFormat="1" applyFont="1" applyBorder="1" applyAlignment="1">
      <alignment vertical="center"/>
    </xf>
    <xf numFmtId="0" fontId="5" fillId="0" borderId="10" xfId="2" applyFont="1" applyBorder="1"/>
    <xf numFmtId="0" fontId="5" fillId="0" borderId="22" xfId="2" applyFont="1" applyBorder="1"/>
    <xf numFmtId="3" fontId="11" fillId="0" borderId="21" xfId="2" applyNumberFormat="1" applyFont="1" applyFill="1" applyBorder="1" applyAlignment="1">
      <alignment vertical="center" wrapText="1"/>
    </xf>
    <xf numFmtId="3" fontId="11" fillId="0" borderId="15" xfId="2" applyNumberFormat="1" applyFont="1" applyBorder="1" applyAlignment="1">
      <alignment vertical="center" wrapText="1"/>
    </xf>
    <xf numFmtId="0" fontId="4" fillId="0" borderId="10" xfId="2" applyFont="1" applyFill="1" applyBorder="1" applyAlignment="1">
      <alignment vertical="center" wrapText="1"/>
    </xf>
    <xf numFmtId="166" fontId="4" fillId="0" borderId="10" xfId="2" applyNumberFormat="1" applyFont="1" applyFill="1" applyBorder="1" applyAlignment="1">
      <alignment vertical="center" wrapText="1"/>
    </xf>
    <xf numFmtId="166" fontId="4" fillId="0" borderId="63" xfId="2" applyNumberFormat="1" applyFont="1" applyBorder="1" applyAlignment="1">
      <alignment vertical="center" wrapText="1"/>
    </xf>
    <xf numFmtId="0" fontId="6" fillId="0" borderId="102" xfId="2" applyFont="1" applyBorder="1" applyAlignment="1"/>
    <xf numFmtId="170" fontId="8" fillId="0" borderId="10" xfId="2" applyNumberFormat="1" applyFont="1" applyBorder="1" applyAlignment="1">
      <alignment vertical="center" wrapText="1"/>
    </xf>
    <xf numFmtId="166" fontId="27" fillId="0" borderId="17" xfId="2" applyNumberFormat="1" applyFont="1" applyBorder="1" applyAlignment="1">
      <alignment vertical="center" wrapText="1"/>
    </xf>
    <xf numFmtId="166" fontId="27" fillId="0" borderId="21" xfId="2" applyNumberFormat="1" applyFont="1" applyBorder="1" applyAlignment="1">
      <alignment vertical="center" wrapText="1"/>
    </xf>
    <xf numFmtId="166" fontId="27" fillId="0" borderId="97" xfId="2" applyNumberFormat="1" applyFont="1" applyBorder="1" applyAlignment="1">
      <alignment vertical="center" wrapText="1"/>
    </xf>
    <xf numFmtId="0" fontId="28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top"/>
    </xf>
    <xf numFmtId="0" fontId="28" fillId="0" borderId="0" xfId="2" applyFont="1" applyBorder="1" applyAlignment="1">
      <alignment horizontal="center" vertical="top" wrapText="1"/>
    </xf>
    <xf numFmtId="49" fontId="4" fillId="0" borderId="10" xfId="2" applyNumberFormat="1" applyFont="1" applyBorder="1" applyAlignment="1">
      <alignment horizontal="center" vertical="center" wrapText="1"/>
    </xf>
    <xf numFmtId="0" fontId="9" fillId="0" borderId="10" xfId="2" applyFont="1" applyBorder="1" applyAlignment="1">
      <alignment vertical="center"/>
    </xf>
    <xf numFmtId="3" fontId="8" fillId="0" borderId="10" xfId="2" applyNumberFormat="1" applyFont="1" applyBorder="1" applyAlignment="1">
      <alignment vertical="center"/>
    </xf>
    <xf numFmtId="3" fontId="8" fillId="0" borderId="19" xfId="2" applyNumberFormat="1" applyFont="1" applyBorder="1" applyAlignment="1">
      <alignment vertical="center"/>
    </xf>
    <xf numFmtId="3" fontId="17" fillId="0" borderId="22" xfId="2" applyNumberFormat="1" applyFont="1" applyBorder="1" applyAlignment="1">
      <alignment vertical="center" wrapText="1"/>
    </xf>
    <xf numFmtId="0" fontId="8" fillId="0" borderId="16" xfId="2" applyFont="1" applyBorder="1" applyAlignment="1">
      <alignment horizontal="center" vertical="center"/>
    </xf>
    <xf numFmtId="0" fontId="14" fillId="0" borderId="36" xfId="2" applyFont="1" applyBorder="1" applyAlignment="1">
      <alignment horizontal="center"/>
    </xf>
    <xf numFmtId="3" fontId="8" fillId="0" borderId="103" xfId="2" applyNumberFormat="1" applyFont="1" applyBorder="1" applyAlignment="1">
      <alignment vertical="center"/>
    </xf>
    <xf numFmtId="3" fontId="8" fillId="0" borderId="27" xfId="2" applyNumberFormat="1" applyFont="1" applyBorder="1" applyAlignment="1">
      <alignment vertical="center" wrapText="1"/>
    </xf>
    <xf numFmtId="3" fontId="8" fillId="0" borderId="72" xfId="2" applyNumberFormat="1" applyFont="1" applyBorder="1" applyAlignment="1">
      <alignment vertical="center" wrapText="1"/>
    </xf>
    <xf numFmtId="3" fontId="8" fillId="0" borderId="79" xfId="2" applyNumberFormat="1" applyFont="1" applyBorder="1" applyAlignment="1">
      <alignment vertical="center" wrapText="1"/>
    </xf>
    <xf numFmtId="3" fontId="12" fillId="0" borderId="19" xfId="2" applyNumberFormat="1" applyFont="1" applyBorder="1" applyAlignment="1">
      <alignment vertical="center" wrapText="1"/>
    </xf>
    <xf numFmtId="3" fontId="13" fillId="0" borderId="81" xfId="2" applyNumberFormat="1" applyFont="1" applyBorder="1" applyAlignment="1">
      <alignment vertical="center" wrapText="1"/>
    </xf>
    <xf numFmtId="166" fontId="10" fillId="0" borderId="104" xfId="2" applyNumberFormat="1" applyFont="1" applyBorder="1" applyAlignment="1">
      <alignment vertical="center" wrapText="1"/>
    </xf>
    <xf numFmtId="0" fontId="16" fillId="2" borderId="94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0" borderId="19" xfId="2" applyFont="1" applyBorder="1" applyAlignment="1">
      <alignment horizontal="center"/>
    </xf>
    <xf numFmtId="0" fontId="4" fillId="0" borderId="30" xfId="2" applyFont="1" applyBorder="1" applyAlignment="1">
      <alignment horizontal="center" vertical="center"/>
    </xf>
    <xf numFmtId="3" fontId="11" fillId="0" borderId="67" xfId="2" applyNumberFormat="1" applyFont="1" applyBorder="1" applyAlignment="1">
      <alignment vertical="center" wrapText="1"/>
    </xf>
    <xf numFmtId="0" fontId="4" fillId="0" borderId="46" xfId="2" applyFont="1" applyBorder="1" applyAlignment="1">
      <alignment horizontal="center" vertical="center"/>
    </xf>
    <xf numFmtId="3" fontId="12" fillId="0" borderId="23" xfId="2" applyNumberFormat="1" applyFont="1" applyBorder="1" applyAlignment="1">
      <alignment vertical="center" wrapText="1"/>
    </xf>
    <xf numFmtId="3" fontId="12" fillId="0" borderId="80" xfId="2" applyNumberFormat="1" applyFont="1" applyBorder="1" applyAlignment="1">
      <alignment vertical="center" wrapText="1"/>
    </xf>
    <xf numFmtId="166" fontId="13" fillId="0" borderId="23" xfId="2" applyNumberFormat="1" applyFont="1" applyBorder="1" applyAlignment="1">
      <alignment vertical="center"/>
    </xf>
    <xf numFmtId="0" fontId="4" fillId="0" borderId="94" xfId="2" applyFont="1" applyBorder="1" applyAlignment="1">
      <alignment horizontal="center"/>
    </xf>
    <xf numFmtId="1" fontId="4" fillId="0" borderId="15" xfId="2" applyNumberFormat="1" applyFont="1" applyFill="1" applyBorder="1" applyAlignment="1">
      <alignment horizontal="left" vertical="center" wrapText="1"/>
    </xf>
    <xf numFmtId="166" fontId="29" fillId="0" borderId="17" xfId="2" applyNumberFormat="1" applyFont="1" applyBorder="1" applyAlignment="1">
      <alignment vertical="center"/>
    </xf>
    <xf numFmtId="166" fontId="29" fillId="0" borderId="23" xfId="2" applyNumberFormat="1" applyFont="1" applyBorder="1" applyAlignment="1">
      <alignment vertical="center"/>
    </xf>
    <xf numFmtId="166" fontId="29" fillId="0" borderId="18" xfId="2" applyNumberFormat="1" applyFont="1" applyBorder="1" applyAlignment="1">
      <alignment vertical="center"/>
    </xf>
    <xf numFmtId="166" fontId="16" fillId="0" borderId="19" xfId="2" applyNumberFormat="1" applyFont="1" applyFill="1" applyBorder="1" applyAlignment="1">
      <alignment vertical="center" wrapText="1"/>
    </xf>
    <xf numFmtId="166" fontId="13" fillId="0" borderId="9" xfId="2" applyNumberFormat="1" applyFont="1" applyBorder="1" applyAlignment="1">
      <alignment vertical="center" wrapText="1"/>
    </xf>
    <xf numFmtId="166" fontId="8" fillId="0" borderId="9" xfId="2" applyNumberFormat="1" applyFont="1" applyBorder="1" applyAlignment="1">
      <alignment vertical="center" wrapText="1"/>
    </xf>
    <xf numFmtId="0" fontId="4" fillId="0" borderId="11" xfId="2" applyFont="1" applyBorder="1" applyAlignment="1">
      <alignment horizontal="center" vertical="center"/>
    </xf>
    <xf numFmtId="166" fontId="6" fillId="0" borderId="60" xfId="2" applyNumberFormat="1" applyFont="1" applyBorder="1" applyAlignment="1">
      <alignment vertical="center" wrapText="1"/>
    </xf>
    <xf numFmtId="0" fontId="16" fillId="2" borderId="7" xfId="0" applyFont="1" applyFill="1" applyBorder="1" applyAlignment="1">
      <alignment horizontal="center"/>
    </xf>
    <xf numFmtId="0" fontId="4" fillId="0" borderId="5" xfId="2" applyFont="1" applyBorder="1" applyAlignment="1">
      <alignment horizontal="right"/>
    </xf>
    <xf numFmtId="0" fontId="4" fillId="0" borderId="35" xfId="2" applyFont="1" applyBorder="1" applyAlignment="1">
      <alignment horizontal="right"/>
    </xf>
    <xf numFmtId="0" fontId="9" fillId="0" borderId="10" xfId="2" applyFont="1" applyBorder="1" applyAlignment="1">
      <alignment horizontal="right" vertical="center"/>
    </xf>
    <xf numFmtId="166" fontId="10" fillId="0" borderId="60" xfId="2" applyNumberFormat="1" applyFont="1" applyBorder="1" applyAlignment="1">
      <alignment horizontal="right" vertical="center" wrapText="1"/>
    </xf>
    <xf numFmtId="3" fontId="9" fillId="0" borderId="8" xfId="2" applyNumberFormat="1" applyFont="1" applyBorder="1" applyAlignment="1">
      <alignment horizontal="right" vertical="center" wrapText="1"/>
    </xf>
    <xf numFmtId="3" fontId="8" fillId="0" borderId="10" xfId="2" applyNumberFormat="1" applyFont="1" applyBorder="1" applyAlignment="1">
      <alignment horizontal="right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66" fontId="13" fillId="0" borderId="10" xfId="2" applyNumberFormat="1" applyFont="1" applyBorder="1" applyAlignment="1">
      <alignment vertical="center" wrapText="1"/>
    </xf>
    <xf numFmtId="166" fontId="13" fillId="0" borderId="22" xfId="2" applyNumberFormat="1" applyFont="1" applyBorder="1" applyAlignment="1">
      <alignment vertical="center" wrapText="1"/>
    </xf>
    <xf numFmtId="3" fontId="8" fillId="0" borderId="101" xfId="2" applyNumberFormat="1" applyFont="1" applyBorder="1" applyAlignment="1">
      <alignment vertical="center" wrapText="1"/>
    </xf>
    <xf numFmtId="3" fontId="22" fillId="0" borderId="17" xfId="2" applyNumberFormat="1" applyFont="1" applyBorder="1" applyAlignment="1">
      <alignment vertical="center"/>
    </xf>
    <xf numFmtId="3" fontId="22" fillId="0" borderId="21" xfId="2" applyNumberFormat="1" applyFont="1" applyBorder="1" applyAlignment="1">
      <alignment vertical="center"/>
    </xf>
    <xf numFmtId="16" fontId="5" fillId="0" borderId="17" xfId="2" quotePrefix="1" applyNumberFormat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166" fontId="13" fillId="0" borderId="77" xfId="2" applyNumberFormat="1" applyFont="1" applyBorder="1" applyAlignment="1">
      <alignment vertical="center" wrapText="1"/>
    </xf>
    <xf numFmtId="166" fontId="13" fillId="0" borderId="19" xfId="2" applyNumberFormat="1" applyFont="1" applyBorder="1" applyAlignment="1">
      <alignment vertical="center" wrapText="1"/>
    </xf>
    <xf numFmtId="166" fontId="10" fillId="0" borderId="17" xfId="2" applyNumberFormat="1" applyFont="1" applyFill="1" applyBorder="1" applyAlignment="1">
      <alignment vertical="center"/>
    </xf>
    <xf numFmtId="0" fontId="5" fillId="0" borderId="106" xfId="2" applyFont="1" applyBorder="1"/>
    <xf numFmtId="166" fontId="22" fillId="0" borderId="17" xfId="2" applyNumberFormat="1" applyFont="1" applyBorder="1" applyAlignment="1">
      <alignment vertical="center"/>
    </xf>
    <xf numFmtId="166" fontId="22" fillId="0" borderId="23" xfId="2" applyNumberFormat="1" applyFont="1" applyBorder="1" applyAlignment="1">
      <alignment vertical="center"/>
    </xf>
    <xf numFmtId="166" fontId="22" fillId="0" borderId="18" xfId="2" applyNumberFormat="1" applyFont="1" applyBorder="1" applyAlignment="1">
      <alignment vertical="center"/>
    </xf>
    <xf numFmtId="3" fontId="22" fillId="0" borderId="23" xfId="2" applyNumberFormat="1" applyFont="1" applyBorder="1" applyAlignment="1">
      <alignment vertical="center" wrapText="1"/>
    </xf>
    <xf numFmtId="3" fontId="22" fillId="0" borderId="17" xfId="2" applyNumberFormat="1" applyFont="1" applyBorder="1" applyAlignment="1">
      <alignment vertical="center" wrapText="1"/>
    </xf>
    <xf numFmtId="1" fontId="12" fillId="0" borderId="15" xfId="2" applyNumberFormat="1" applyFont="1" applyFill="1" applyBorder="1" applyAlignment="1">
      <alignment horizontal="center" vertical="center" wrapText="1"/>
    </xf>
    <xf numFmtId="1" fontId="33" fillId="0" borderId="15" xfId="2" applyNumberFormat="1" applyFont="1" applyBorder="1" applyAlignment="1">
      <alignment horizontal="center" vertical="center" wrapText="1"/>
    </xf>
    <xf numFmtId="166" fontId="16" fillId="0" borderId="60" xfId="2" applyNumberFormat="1" applyFont="1" applyBorder="1" applyAlignment="1">
      <alignment vertical="center" wrapText="1"/>
    </xf>
    <xf numFmtId="0" fontId="26" fillId="0" borderId="15" xfId="2" applyFont="1" applyBorder="1" applyAlignment="1">
      <alignment horizontal="center" vertical="center" wrapText="1"/>
    </xf>
    <xf numFmtId="0" fontId="26" fillId="0" borderId="15" xfId="2" applyFont="1" applyFill="1" applyBorder="1" applyAlignment="1">
      <alignment horizontal="center" vertical="center" wrapText="1"/>
    </xf>
    <xf numFmtId="3" fontId="22" fillId="0" borderId="23" xfId="2" applyNumberFormat="1" applyFont="1" applyFill="1" applyBorder="1" applyAlignment="1">
      <alignment vertical="center" wrapText="1"/>
    </xf>
    <xf numFmtId="3" fontId="13" fillId="0" borderId="11" xfId="2" applyNumberFormat="1" applyFont="1" applyFill="1" applyBorder="1" applyAlignment="1">
      <alignment vertical="center" wrapText="1"/>
    </xf>
    <xf numFmtId="166" fontId="10" fillId="0" borderId="10" xfId="2" applyNumberFormat="1" applyFont="1" applyFill="1" applyBorder="1" applyAlignment="1">
      <alignment vertical="center"/>
    </xf>
    <xf numFmtId="166" fontId="12" fillId="0" borderId="10" xfId="2" applyNumberFormat="1" applyFont="1" applyFill="1" applyBorder="1" applyAlignment="1">
      <alignment vertical="center" wrapText="1"/>
    </xf>
    <xf numFmtId="166" fontId="10" fillId="0" borderId="50" xfId="2" applyNumberFormat="1" applyFont="1" applyFill="1" applyBorder="1" applyAlignment="1">
      <alignment vertical="center"/>
    </xf>
    <xf numFmtId="166" fontId="10" fillId="0" borderId="46" xfId="2" applyNumberFormat="1" applyFont="1" applyFill="1" applyBorder="1" applyAlignment="1">
      <alignment vertical="center"/>
    </xf>
    <xf numFmtId="166" fontId="10" fillId="0" borderId="53" xfId="2" applyNumberFormat="1" applyFont="1" applyFill="1" applyBorder="1" applyAlignment="1">
      <alignment vertical="center"/>
    </xf>
    <xf numFmtId="166" fontId="10" fillId="0" borderId="21" xfId="2" applyNumberFormat="1" applyFont="1" applyFill="1" applyBorder="1" applyAlignment="1">
      <alignment vertical="center" wrapText="1"/>
    </xf>
    <xf numFmtId="166" fontId="13" fillId="0" borderId="17" xfId="2" applyNumberFormat="1" applyFont="1" applyFill="1" applyBorder="1" applyAlignment="1">
      <alignment vertical="center"/>
    </xf>
    <xf numFmtId="0" fontId="5" fillId="0" borderId="0" xfId="2" applyFont="1" applyFill="1"/>
    <xf numFmtId="3" fontId="22" fillId="0" borderId="18" xfId="2" applyNumberFormat="1" applyFont="1" applyFill="1" applyBorder="1" applyAlignment="1">
      <alignment vertical="center" wrapText="1"/>
    </xf>
    <xf numFmtId="3" fontId="13" fillId="0" borderId="47" xfId="2" applyNumberFormat="1" applyFont="1" applyFill="1" applyBorder="1" applyAlignment="1">
      <alignment vertical="center" wrapText="1"/>
    </xf>
    <xf numFmtId="166" fontId="16" fillId="0" borderId="8" xfId="2" applyNumberFormat="1" applyFont="1" applyFill="1" applyBorder="1" applyAlignment="1">
      <alignment vertical="center" wrapText="1"/>
    </xf>
    <xf numFmtId="166" fontId="10" fillId="0" borderId="18" xfId="2" applyNumberFormat="1" applyFont="1" applyFill="1" applyBorder="1" applyAlignment="1">
      <alignment vertical="center"/>
    </xf>
    <xf numFmtId="166" fontId="10" fillId="0" borderId="8" xfId="2" applyNumberFormat="1" applyFont="1" applyFill="1" applyBorder="1" applyAlignment="1">
      <alignment vertical="center"/>
    </xf>
    <xf numFmtId="166" fontId="10" fillId="0" borderId="68" xfId="2" applyNumberFormat="1" applyFont="1" applyFill="1" applyBorder="1" applyAlignment="1">
      <alignment vertical="center"/>
    </xf>
    <xf numFmtId="166" fontId="10" fillId="0" borderId="64" xfId="2" applyNumberFormat="1" applyFont="1" applyFill="1" applyBorder="1" applyAlignment="1">
      <alignment vertical="center"/>
    </xf>
    <xf numFmtId="166" fontId="10" fillId="0" borderId="69" xfId="2" applyNumberFormat="1" applyFont="1" applyFill="1" applyBorder="1" applyAlignment="1">
      <alignment vertical="center"/>
    </xf>
    <xf numFmtId="166" fontId="16" fillId="0" borderId="21" xfId="2" applyNumberFormat="1" applyFont="1" applyFill="1" applyBorder="1" applyAlignment="1">
      <alignment vertical="center" wrapText="1"/>
    </xf>
    <xf numFmtId="0" fontId="5" fillId="0" borderId="0" xfId="2" applyFont="1" applyFill="1" applyBorder="1"/>
    <xf numFmtId="3" fontId="10" fillId="0" borderId="21" xfId="2" applyNumberFormat="1" applyFont="1" applyBorder="1" applyAlignment="1">
      <alignment vertical="center" wrapText="1"/>
    </xf>
    <xf numFmtId="3" fontId="10" fillId="0" borderId="23" xfId="2" applyNumberFormat="1" applyFont="1" applyBorder="1" applyAlignment="1">
      <alignment vertical="center" wrapText="1"/>
    </xf>
    <xf numFmtId="3" fontId="10" fillId="0" borderId="18" xfId="2" applyNumberFormat="1" applyFont="1" applyBorder="1" applyAlignment="1">
      <alignment vertical="center" wrapText="1"/>
    </xf>
    <xf numFmtId="0" fontId="10" fillId="0" borderId="7" xfId="2" applyFont="1" applyBorder="1" applyAlignment="1">
      <alignment vertical="center"/>
    </xf>
    <xf numFmtId="3" fontId="11" fillId="0" borderId="7" xfId="2" applyNumberFormat="1" applyFont="1" applyBorder="1" applyAlignment="1">
      <alignment vertical="center" wrapText="1"/>
    </xf>
    <xf numFmtId="0" fontId="5" fillId="0" borderId="48" xfId="2" applyFont="1" applyBorder="1" applyAlignment="1">
      <alignment horizontal="center" vertical="center"/>
    </xf>
    <xf numFmtId="3" fontId="13" fillId="0" borderId="49" xfId="2" applyNumberFormat="1" applyFont="1" applyBorder="1" applyAlignment="1">
      <alignment vertical="center" wrapText="1"/>
    </xf>
    <xf numFmtId="3" fontId="13" fillId="0" borderId="51" xfId="2" applyNumberFormat="1" applyFont="1" applyBorder="1" applyAlignment="1">
      <alignment vertical="center" wrapText="1"/>
    </xf>
    <xf numFmtId="166" fontId="6" fillId="0" borderId="68" xfId="2" applyNumberFormat="1" applyFont="1" applyBorder="1" applyAlignment="1">
      <alignment vertical="center" wrapText="1"/>
    </xf>
    <xf numFmtId="0" fontId="13" fillId="0" borderId="49" xfId="2" applyFont="1" applyBorder="1" applyAlignment="1">
      <alignment horizontal="right" vertical="center"/>
    </xf>
    <xf numFmtId="3" fontId="13" fillId="0" borderId="49" xfId="2" applyNumberFormat="1" applyFont="1" applyBorder="1" applyAlignment="1">
      <alignment vertical="center"/>
    </xf>
    <xf numFmtId="3" fontId="13" fillId="0" borderId="50" xfId="2" applyNumberFormat="1" applyFont="1" applyBorder="1" applyAlignment="1">
      <alignment vertical="center"/>
    </xf>
    <xf numFmtId="3" fontId="10" fillId="0" borderId="50" xfId="2" applyNumberFormat="1" applyFont="1" applyBorder="1" applyAlignment="1">
      <alignment vertical="center"/>
    </xf>
    <xf numFmtId="3" fontId="13" fillId="0" borderId="68" xfId="2" applyNumberFormat="1" applyFont="1" applyBorder="1" applyAlignment="1">
      <alignment vertical="center"/>
    </xf>
    <xf numFmtId="49" fontId="8" fillId="0" borderId="6" xfId="2" applyNumberFormat="1" applyFont="1" applyFill="1" applyBorder="1" applyAlignment="1">
      <alignment horizontal="center"/>
    </xf>
    <xf numFmtId="166" fontId="12" fillId="0" borderId="8" xfId="2" applyNumberFormat="1" applyFont="1" applyFill="1" applyBorder="1" applyAlignment="1">
      <alignment vertical="center" wrapText="1"/>
    </xf>
    <xf numFmtId="166" fontId="16" fillId="0" borderId="0" xfId="2" applyNumberFormat="1" applyFont="1" applyFill="1" applyBorder="1" applyAlignment="1">
      <alignment vertical="center" wrapText="1"/>
    </xf>
    <xf numFmtId="0" fontId="12" fillId="0" borderId="9" xfId="2" applyFont="1" applyBorder="1" applyAlignment="1">
      <alignment horizontal="center" vertical="center" wrapText="1"/>
    </xf>
    <xf numFmtId="0" fontId="13" fillId="0" borderId="105" xfId="2" applyFont="1" applyBorder="1" applyAlignment="1">
      <alignment vertical="center"/>
    </xf>
    <xf numFmtId="0" fontId="13" fillId="0" borderId="49" xfId="2" applyFont="1" applyBorder="1" applyAlignment="1">
      <alignment vertical="center"/>
    </xf>
    <xf numFmtId="166" fontId="4" fillId="0" borderId="37" xfId="2" applyNumberFormat="1" applyFont="1" applyBorder="1" applyAlignment="1">
      <alignment vertical="center" wrapText="1"/>
    </xf>
    <xf numFmtId="166" fontId="4" fillId="0" borderId="74" xfId="2" applyNumberFormat="1" applyFont="1" applyBorder="1" applyAlignment="1">
      <alignment vertical="center" wrapText="1"/>
    </xf>
    <xf numFmtId="166" fontId="4" fillId="0" borderId="42" xfId="2" applyNumberFormat="1" applyFont="1" applyBorder="1" applyAlignment="1">
      <alignment vertical="center" wrapText="1"/>
    </xf>
    <xf numFmtId="166" fontId="8" fillId="0" borderId="90" xfId="2" applyNumberFormat="1" applyFont="1" applyBorder="1" applyAlignment="1">
      <alignment vertical="center" wrapText="1"/>
    </xf>
    <xf numFmtId="0" fontId="4" fillId="0" borderId="44" xfId="2" applyFont="1" applyBorder="1" applyAlignment="1">
      <alignment vertical="top"/>
    </xf>
    <xf numFmtId="0" fontId="4" fillId="0" borderId="74" xfId="2" applyFont="1" applyBorder="1"/>
    <xf numFmtId="0" fontId="5" fillId="0" borderId="74" xfId="2" applyFont="1" applyBorder="1"/>
    <xf numFmtId="0" fontId="5" fillId="0" borderId="107" xfId="2" applyFont="1" applyBorder="1"/>
    <xf numFmtId="3" fontId="10" fillId="0" borderId="18" xfId="2" applyNumberFormat="1" applyFont="1" applyFill="1" applyBorder="1" applyAlignment="1">
      <alignment vertical="center" wrapText="1"/>
    </xf>
    <xf numFmtId="3" fontId="10" fillId="0" borderId="23" xfId="2" applyNumberFormat="1" applyFont="1" applyFill="1" applyBorder="1" applyAlignment="1">
      <alignment vertical="center" wrapText="1"/>
    </xf>
    <xf numFmtId="3" fontId="10" fillId="0" borderId="17" xfId="2" applyNumberFormat="1" applyFont="1" applyBorder="1" applyAlignment="1">
      <alignment vertical="center" wrapText="1"/>
    </xf>
    <xf numFmtId="0" fontId="4" fillId="0" borderId="108" xfId="2" applyFont="1" applyBorder="1" applyAlignment="1">
      <alignment horizontal="center"/>
    </xf>
    <xf numFmtId="0" fontId="4" fillId="0" borderId="7" xfId="2" applyFont="1" applyBorder="1" applyAlignment="1">
      <alignment horizontal="center" vertical="center"/>
    </xf>
    <xf numFmtId="0" fontId="5" fillId="0" borderId="109" xfId="2" applyFont="1" applyBorder="1" applyAlignment="1">
      <alignment horizontal="center" vertical="center"/>
    </xf>
    <xf numFmtId="1" fontId="26" fillId="0" borderId="15" xfId="2" applyNumberFormat="1" applyFont="1" applyFill="1" applyBorder="1" applyAlignment="1">
      <alignment horizontal="center" vertical="center" wrapText="1"/>
    </xf>
    <xf numFmtId="49" fontId="26" fillId="0" borderId="11" xfId="2" applyNumberFormat="1" applyFont="1" applyFill="1" applyBorder="1" applyAlignment="1">
      <alignment horizontal="center" vertical="center" wrapText="1"/>
    </xf>
    <xf numFmtId="0" fontId="5" fillId="0" borderId="110" xfId="2" applyFont="1" applyBorder="1" applyAlignment="1">
      <alignment horizontal="center" vertical="center"/>
    </xf>
    <xf numFmtId="3" fontId="9" fillId="0" borderId="63" xfId="2" applyNumberFormat="1" applyFont="1" applyBorder="1" applyAlignment="1">
      <alignment horizontal="right" vertical="center" wrapText="1"/>
    </xf>
    <xf numFmtId="0" fontId="4" fillId="0" borderId="60" xfId="2" applyFont="1" applyBorder="1" applyAlignment="1">
      <alignment horizontal="center"/>
    </xf>
    <xf numFmtId="0" fontId="13" fillId="0" borderId="10" xfId="2" applyFont="1" applyBorder="1" applyAlignment="1">
      <alignment horizontal="right" vertical="center"/>
    </xf>
    <xf numFmtId="3" fontId="13" fillId="0" borderId="10" xfId="2" applyNumberFormat="1" applyFont="1" applyBorder="1" applyAlignment="1">
      <alignment vertical="center" wrapText="1"/>
    </xf>
    <xf numFmtId="3" fontId="13" fillId="0" borderId="10" xfId="2" applyNumberFormat="1" applyFont="1" applyFill="1" applyBorder="1" applyAlignment="1">
      <alignment vertical="center" wrapText="1"/>
    </xf>
    <xf numFmtId="3" fontId="13" fillId="0" borderId="19" xfId="2" applyNumberFormat="1" applyFont="1" applyBorder="1" applyAlignment="1">
      <alignment vertical="center" wrapText="1"/>
    </xf>
    <xf numFmtId="3" fontId="13" fillId="0" borderId="8" xfId="2" applyNumberFormat="1" applyFont="1" applyFill="1" applyBorder="1" applyAlignment="1">
      <alignment vertical="center" wrapText="1"/>
    </xf>
    <xf numFmtId="0" fontId="7" fillId="0" borderId="17" xfId="2" applyFont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top"/>
    </xf>
    <xf numFmtId="0" fontId="13" fillId="0" borderId="0" xfId="2" applyFont="1" applyBorder="1" applyAlignment="1">
      <alignment horizontal="right" vertical="center"/>
    </xf>
    <xf numFmtId="166" fontId="16" fillId="0" borderId="22" xfId="2" applyNumberFormat="1" applyFont="1" applyBorder="1" applyAlignment="1">
      <alignment vertical="center" wrapText="1"/>
    </xf>
    <xf numFmtId="166" fontId="16" fillId="3" borderId="22" xfId="2" applyNumberFormat="1" applyFont="1" applyFill="1" applyBorder="1" applyAlignment="1">
      <alignment vertical="center" wrapText="1"/>
    </xf>
    <xf numFmtId="49" fontId="8" fillId="0" borderId="10" xfId="2" applyNumberFormat="1" applyFont="1" applyFill="1" applyBorder="1" applyAlignment="1">
      <alignment horizontal="center" vertical="center" wrapText="1"/>
    </xf>
    <xf numFmtId="170" fontId="5" fillId="0" borderId="0" xfId="2" applyNumberFormat="1" applyFont="1"/>
    <xf numFmtId="3" fontId="29" fillId="0" borderId="17" xfId="2" applyNumberFormat="1" applyFont="1" applyFill="1" applyBorder="1" applyAlignment="1">
      <alignment vertical="center"/>
    </xf>
    <xf numFmtId="3" fontId="29" fillId="0" borderId="23" xfId="2" applyNumberFormat="1" applyFont="1" applyFill="1" applyBorder="1" applyAlignment="1">
      <alignment vertical="center"/>
    </xf>
    <xf numFmtId="3" fontId="29" fillId="0" borderId="18" xfId="2" applyNumberFormat="1" applyFont="1" applyFill="1" applyBorder="1" applyAlignment="1">
      <alignment vertical="center"/>
    </xf>
    <xf numFmtId="166" fontId="26" fillId="0" borderId="10" xfId="2" applyNumberFormat="1" applyFont="1" applyBorder="1" applyAlignment="1">
      <alignment vertical="center" wrapText="1"/>
    </xf>
    <xf numFmtId="0" fontId="26" fillId="0" borderId="0" xfId="2" applyFont="1"/>
    <xf numFmtId="166" fontId="26" fillId="0" borderId="19" xfId="2" applyNumberFormat="1" applyFont="1" applyBorder="1" applyAlignment="1">
      <alignment vertical="center" wrapText="1"/>
    </xf>
    <xf numFmtId="3" fontId="30" fillId="0" borderId="19" xfId="2" applyNumberFormat="1" applyFont="1" applyBorder="1" applyAlignment="1">
      <alignment vertical="center" wrapText="1"/>
    </xf>
    <xf numFmtId="166" fontId="26" fillId="0" borderId="8" xfId="2" applyNumberFormat="1" applyFont="1" applyBorder="1" applyAlignment="1">
      <alignment vertical="center" wrapText="1"/>
    </xf>
    <xf numFmtId="3" fontId="26" fillId="0" borderId="10" xfId="2" applyNumberFormat="1" applyFont="1" applyBorder="1" applyAlignment="1">
      <alignment vertical="center" wrapText="1"/>
    </xf>
    <xf numFmtId="3" fontId="26" fillId="0" borderId="19" xfId="2" applyNumberFormat="1" applyFont="1" applyBorder="1" applyAlignment="1">
      <alignment vertical="center" wrapText="1"/>
    </xf>
    <xf numFmtId="3" fontId="26" fillId="0" borderId="8" xfId="2" applyNumberFormat="1" applyFont="1" applyBorder="1" applyAlignment="1">
      <alignment vertical="center" wrapText="1"/>
    </xf>
    <xf numFmtId="170" fontId="26" fillId="0" borderId="10" xfId="2" applyNumberFormat="1" applyFont="1" applyBorder="1" applyAlignment="1">
      <alignment vertical="center" wrapText="1"/>
    </xf>
    <xf numFmtId="3" fontId="30" fillId="0" borderId="10" xfId="2" applyNumberFormat="1" applyFont="1" applyBorder="1" applyAlignment="1">
      <alignment vertical="center" wrapText="1"/>
    </xf>
    <xf numFmtId="3" fontId="30" fillId="0" borderId="22" xfId="2" applyNumberFormat="1" applyFont="1" applyBorder="1" applyAlignment="1">
      <alignment vertical="center" wrapText="1"/>
    </xf>
    <xf numFmtId="166" fontId="30" fillId="0" borderId="90" xfId="2" applyNumberFormat="1" applyFont="1" applyBorder="1" applyAlignment="1">
      <alignment vertical="center" wrapText="1"/>
    </xf>
    <xf numFmtId="3" fontId="30" fillId="0" borderId="74" xfId="2" applyNumberFormat="1" applyFont="1" applyBorder="1" applyAlignment="1">
      <alignment vertical="center" wrapText="1"/>
    </xf>
    <xf numFmtId="3" fontId="30" fillId="0" borderId="42" xfId="2" applyNumberFormat="1" applyFont="1" applyBorder="1" applyAlignment="1">
      <alignment vertical="center" wrapText="1"/>
    </xf>
    <xf numFmtId="3" fontId="30" fillId="0" borderId="111" xfId="2" applyNumberFormat="1" applyFont="1" applyBorder="1"/>
    <xf numFmtId="3" fontId="27" fillId="0" borderId="17" xfId="2" applyNumberFormat="1" applyFont="1" applyBorder="1" applyAlignment="1">
      <alignment vertical="center" wrapText="1"/>
    </xf>
    <xf numFmtId="165" fontId="27" fillId="0" borderId="17" xfId="2" applyNumberFormat="1" applyFont="1" applyBorder="1" applyAlignment="1">
      <alignment vertical="center" wrapText="1"/>
    </xf>
    <xf numFmtId="165" fontId="27" fillId="0" borderId="21" xfId="2" applyNumberFormat="1" applyFont="1" applyBorder="1" applyAlignment="1">
      <alignment vertical="center" wrapText="1"/>
    </xf>
    <xf numFmtId="165" fontId="27" fillId="0" borderId="97" xfId="2" applyNumberFormat="1" applyFont="1" applyBorder="1" applyAlignment="1">
      <alignment vertical="center" wrapText="1"/>
    </xf>
    <xf numFmtId="3" fontId="27" fillId="0" borderId="21" xfId="2" applyNumberFormat="1" applyFont="1" applyBorder="1" applyAlignment="1">
      <alignment vertical="center" wrapText="1"/>
    </xf>
    <xf numFmtId="166" fontId="26" fillId="0" borderId="0" xfId="2" applyNumberFormat="1" applyFont="1" applyBorder="1" applyAlignment="1">
      <alignment vertical="center" wrapText="1"/>
    </xf>
    <xf numFmtId="1" fontId="26" fillId="0" borderId="10" xfId="2" applyNumberFormat="1" applyFont="1" applyBorder="1" applyAlignment="1">
      <alignment horizontal="center" vertical="center" wrapText="1"/>
    </xf>
    <xf numFmtId="166" fontId="30" fillId="0" borderId="19" xfId="2" applyNumberFormat="1" applyFont="1" applyBorder="1" applyAlignment="1">
      <alignment vertical="center" wrapText="1"/>
    </xf>
    <xf numFmtId="165" fontId="8" fillId="0" borderId="17" xfId="2" applyNumberFormat="1" applyFont="1" applyBorder="1" applyAlignment="1">
      <alignment vertical="center" wrapText="1"/>
    </xf>
    <xf numFmtId="0" fontId="4" fillId="0" borderId="48" xfId="2" applyFont="1" applyBorder="1" applyAlignment="1">
      <alignment horizontal="center" vertical="top"/>
    </xf>
    <xf numFmtId="166" fontId="29" fillId="0" borderId="49" xfId="2" applyNumberFormat="1" applyFont="1" applyBorder="1" applyAlignment="1">
      <alignment vertical="center"/>
    </xf>
    <xf numFmtId="166" fontId="29" fillId="0" borderId="50" xfId="2" applyNumberFormat="1" applyFont="1" applyBorder="1" applyAlignment="1">
      <alignment vertical="center"/>
    </xf>
    <xf numFmtId="166" fontId="29" fillId="0" borderId="68" xfId="2" applyNumberFormat="1" applyFont="1" applyBorder="1" applyAlignment="1">
      <alignment vertical="center"/>
    </xf>
    <xf numFmtId="0" fontId="4" fillId="0" borderId="13" xfId="2" applyFont="1" applyBorder="1" applyAlignment="1">
      <alignment horizontal="center" vertical="top"/>
    </xf>
    <xf numFmtId="0" fontId="12" fillId="0" borderId="15" xfId="2" applyFont="1" applyBorder="1" applyAlignment="1">
      <alignment vertical="center" wrapText="1"/>
    </xf>
    <xf numFmtId="166" fontId="26" fillId="0" borderId="15" xfId="2" applyNumberFormat="1" applyFont="1" applyBorder="1" applyAlignment="1">
      <alignment vertical="center" wrapText="1"/>
    </xf>
    <xf numFmtId="166" fontId="26" fillId="0" borderId="46" xfId="2" applyNumberFormat="1" applyFont="1" applyBorder="1" applyAlignment="1">
      <alignment vertical="center" wrapText="1"/>
    </xf>
    <xf numFmtId="166" fontId="30" fillId="0" borderId="46" xfId="2" applyNumberFormat="1" applyFont="1" applyBorder="1" applyAlignment="1">
      <alignment vertical="center" wrapText="1"/>
    </xf>
    <xf numFmtId="166" fontId="26" fillId="0" borderId="64" xfId="2" applyNumberFormat="1" applyFont="1" applyBorder="1" applyAlignment="1">
      <alignment vertical="center" wrapText="1"/>
    </xf>
    <xf numFmtId="0" fontId="4" fillId="0" borderId="52" xfId="2" applyFont="1" applyBorder="1" applyAlignment="1">
      <alignment horizontal="center" vertical="top"/>
    </xf>
    <xf numFmtId="166" fontId="29" fillId="0" borderId="24" xfId="2" applyNumberFormat="1" applyFont="1" applyBorder="1" applyAlignment="1">
      <alignment vertical="center"/>
    </xf>
    <xf numFmtId="166" fontId="29" fillId="0" borderId="53" xfId="2" applyNumberFormat="1" applyFont="1" applyBorder="1" applyAlignment="1">
      <alignment vertical="center"/>
    </xf>
    <xf numFmtId="166" fontId="29" fillId="0" borderId="69" xfId="2" applyNumberFormat="1" applyFont="1" applyBorder="1" applyAlignment="1">
      <alignment vertical="center"/>
    </xf>
    <xf numFmtId="3" fontId="10" fillId="0" borderId="49" xfId="2" applyNumberFormat="1" applyFont="1" applyBorder="1" applyAlignment="1">
      <alignment vertical="center"/>
    </xf>
    <xf numFmtId="3" fontId="10" fillId="0" borderId="51" xfId="2" applyNumberFormat="1" applyFont="1" applyBorder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 wrapText="1"/>
    </xf>
    <xf numFmtId="166" fontId="8" fillId="0" borderId="15" xfId="2" applyNumberFormat="1" applyFont="1" applyBorder="1" applyAlignment="1">
      <alignment vertical="center" wrapText="1"/>
    </xf>
    <xf numFmtId="166" fontId="8" fillId="0" borderId="46" xfId="2" applyNumberFormat="1" applyFont="1" applyBorder="1" applyAlignment="1">
      <alignment vertical="center" wrapText="1"/>
    </xf>
    <xf numFmtId="166" fontId="16" fillId="0" borderId="41" xfId="2" applyNumberFormat="1" applyFont="1" applyBorder="1" applyAlignment="1">
      <alignment vertical="center" wrapText="1"/>
    </xf>
    <xf numFmtId="3" fontId="10" fillId="0" borderId="24" xfId="2" applyNumberFormat="1" applyFont="1" applyBorder="1" applyAlignment="1">
      <alignment vertical="center"/>
    </xf>
    <xf numFmtId="3" fontId="10" fillId="0" borderId="53" xfId="2" applyNumberFormat="1" applyFont="1" applyBorder="1" applyAlignment="1">
      <alignment vertical="center"/>
    </xf>
    <xf numFmtId="3" fontId="10" fillId="0" borderId="54" xfId="2" applyNumberFormat="1" applyFont="1" applyBorder="1" applyAlignment="1">
      <alignment vertical="center"/>
    </xf>
    <xf numFmtId="167" fontId="1" fillId="0" borderId="10" xfId="1" applyNumberFormat="1" applyBorder="1" applyAlignment="1">
      <alignment vertical="center" wrapText="1"/>
    </xf>
    <xf numFmtId="1" fontId="4" fillId="5" borderId="10" xfId="2" applyNumberFormat="1" applyFont="1" applyFill="1" applyBorder="1" applyAlignment="1">
      <alignment horizontal="center" vertical="center" wrapText="1"/>
    </xf>
    <xf numFmtId="49" fontId="8" fillId="5" borderId="10" xfId="2" applyNumberFormat="1" applyFont="1" applyFill="1" applyBorder="1" applyAlignment="1">
      <alignment horizontal="center" vertical="center" wrapText="1"/>
    </xf>
    <xf numFmtId="1" fontId="8" fillId="5" borderId="10" xfId="2" applyNumberFormat="1" applyFont="1" applyFill="1" applyBorder="1" applyAlignment="1">
      <alignment horizontal="center" vertical="center" wrapText="1"/>
    </xf>
    <xf numFmtId="1" fontId="4" fillId="0" borderId="10" xfId="2" applyNumberFormat="1" applyFont="1" applyFill="1" applyBorder="1" applyAlignment="1">
      <alignment horizontal="center" vertical="center" wrapText="1"/>
    </xf>
    <xf numFmtId="49" fontId="8" fillId="6" borderId="10" xfId="2" applyNumberFormat="1" applyFont="1" applyFill="1" applyBorder="1" applyAlignment="1">
      <alignment horizontal="center" vertical="center" wrapText="1"/>
    </xf>
    <xf numFmtId="1" fontId="8" fillId="6" borderId="10" xfId="2" applyNumberFormat="1" applyFont="1" applyFill="1" applyBorder="1" applyAlignment="1">
      <alignment horizontal="center" vertical="center" wrapText="1"/>
    </xf>
    <xf numFmtId="166" fontId="8" fillId="0" borderId="20" xfId="2" applyNumberFormat="1" applyFont="1" applyBorder="1" applyAlignment="1">
      <alignment vertical="center"/>
    </xf>
    <xf numFmtId="0" fontId="5" fillId="0" borderId="70" xfId="2" applyFont="1" applyBorder="1" applyAlignment="1">
      <alignment vertical="center"/>
    </xf>
    <xf numFmtId="168" fontId="23" fillId="0" borderId="70" xfId="1" applyNumberFormat="1" applyFont="1" applyBorder="1" applyAlignment="1">
      <alignment vertical="center"/>
    </xf>
    <xf numFmtId="168" fontId="23" fillId="0" borderId="70" xfId="1" applyNumberFormat="1" applyFont="1" applyFill="1" applyBorder="1" applyAlignment="1">
      <alignment horizontal="right" vertical="center"/>
    </xf>
    <xf numFmtId="168" fontId="23" fillId="0" borderId="70" xfId="1" applyNumberFormat="1" applyFont="1" applyBorder="1" applyAlignment="1">
      <alignment horizontal="right" vertical="center"/>
    </xf>
    <xf numFmtId="169" fontId="23" fillId="0" borderId="70" xfId="1" applyNumberFormat="1" applyFont="1" applyFill="1" applyBorder="1" applyAlignment="1">
      <alignment horizontal="right" vertical="center"/>
    </xf>
    <xf numFmtId="166" fontId="29" fillId="0" borderId="17" xfId="2" applyNumberFormat="1" applyFont="1" applyFill="1" applyBorder="1" applyAlignment="1">
      <alignment vertical="center"/>
    </xf>
    <xf numFmtId="0" fontId="8" fillId="0" borderId="0" xfId="2" applyFont="1" applyBorder="1" applyAlignment="1">
      <alignment horizontal="left" vertical="center" wrapText="1"/>
    </xf>
    <xf numFmtId="166" fontId="21" fillId="0" borderId="21" xfId="2" applyNumberFormat="1" applyFont="1" applyBorder="1" applyAlignment="1">
      <alignment vertical="center" wrapText="1"/>
    </xf>
    <xf numFmtId="166" fontId="21" fillId="0" borderId="97" xfId="2" applyNumberFormat="1" applyFont="1" applyBorder="1" applyAlignment="1">
      <alignment vertical="center" wrapText="1"/>
    </xf>
    <xf numFmtId="166" fontId="18" fillId="0" borderId="10" xfId="2" applyNumberFormat="1" applyFont="1" applyBorder="1" applyAlignment="1">
      <alignment vertical="center" wrapText="1"/>
    </xf>
    <xf numFmtId="166" fontId="18" fillId="0" borderId="22" xfId="2" applyNumberFormat="1" applyFont="1" applyBorder="1" applyAlignment="1">
      <alignment vertical="center" wrapText="1"/>
    </xf>
    <xf numFmtId="166" fontId="19" fillId="0" borderId="90" xfId="2" applyNumberFormat="1" applyFont="1" applyBorder="1" applyAlignment="1">
      <alignment vertical="center" wrapText="1"/>
    </xf>
    <xf numFmtId="1" fontId="12" fillId="0" borderId="15" xfId="2" applyNumberFormat="1" applyFont="1" applyFill="1" applyBorder="1" applyAlignment="1">
      <alignment horizontal="left" vertical="center" wrapText="1"/>
    </xf>
    <xf numFmtId="0" fontId="12" fillId="0" borderId="15" xfId="2" applyFont="1" applyFill="1" applyBorder="1" applyAlignment="1">
      <alignment horizontal="left" vertical="center" wrapText="1"/>
    </xf>
    <xf numFmtId="0" fontId="12" fillId="0" borderId="15" xfId="2" applyFont="1" applyBorder="1" applyAlignment="1">
      <alignment horizontal="left" vertical="center" wrapText="1"/>
    </xf>
    <xf numFmtId="0" fontId="12" fillId="0" borderId="6" xfId="2" applyFont="1" applyBorder="1" applyAlignment="1">
      <alignment horizontal="left" vertical="center"/>
    </xf>
    <xf numFmtId="49" fontId="12" fillId="0" borderId="11" xfId="2" applyNumberFormat="1" applyFont="1" applyFill="1" applyBorder="1" applyAlignment="1">
      <alignment horizontal="left" vertical="center" wrapText="1"/>
    </xf>
    <xf numFmtId="49" fontId="12" fillId="0" borderId="15" xfId="2" applyNumberFormat="1" applyFont="1" applyFill="1" applyBorder="1" applyAlignment="1">
      <alignment horizontal="left" vertical="center" wrapText="1"/>
    </xf>
    <xf numFmtId="1" fontId="12" fillId="0" borderId="15" xfId="2" applyNumberFormat="1" applyFont="1" applyBorder="1" applyAlignment="1">
      <alignment horizontal="left" vertical="center" wrapText="1"/>
    </xf>
    <xf numFmtId="1" fontId="12" fillId="0" borderId="15" xfId="2" applyNumberFormat="1" applyFont="1" applyBorder="1" applyAlignment="1">
      <alignment horizontal="center" vertical="center" wrapText="1"/>
    </xf>
    <xf numFmtId="0" fontId="12" fillId="0" borderId="30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1" fontId="18" fillId="0" borderId="10" xfId="2" applyNumberFormat="1" applyFont="1" applyFill="1" applyBorder="1" applyAlignment="1">
      <alignment horizontal="center" vertical="center" wrapText="1"/>
    </xf>
    <xf numFmtId="166" fontId="5" fillId="0" borderId="0" xfId="2" applyNumberFormat="1" applyFont="1" applyFill="1"/>
    <xf numFmtId="0" fontId="12" fillId="0" borderId="15" xfId="2" applyFont="1" applyFill="1" applyBorder="1" applyAlignment="1">
      <alignment horizontal="center" vertical="center" wrapText="1"/>
    </xf>
    <xf numFmtId="0" fontId="12" fillId="7" borderId="15" xfId="2" applyFont="1" applyFill="1" applyBorder="1" applyAlignment="1">
      <alignment horizontal="center" vertical="center" wrapText="1"/>
    </xf>
    <xf numFmtId="1" fontId="12" fillId="7" borderId="15" xfId="2" applyNumberFormat="1" applyFont="1" applyFill="1" applyBorder="1" applyAlignment="1">
      <alignment horizontal="center" vertical="center" wrapText="1"/>
    </xf>
    <xf numFmtId="1" fontId="8" fillId="7" borderId="10" xfId="2" applyNumberFormat="1" applyFont="1" applyFill="1" applyBorder="1" applyAlignment="1">
      <alignment horizontal="center" vertical="center" wrapText="1"/>
    </xf>
    <xf numFmtId="0" fontId="8" fillId="7" borderId="9" xfId="2" applyFont="1" applyFill="1" applyBorder="1" applyAlignment="1">
      <alignment horizontal="center" vertical="center" wrapText="1"/>
    </xf>
    <xf numFmtId="1" fontId="18" fillId="7" borderId="10" xfId="2" applyNumberFormat="1" applyFont="1" applyFill="1" applyBorder="1" applyAlignment="1">
      <alignment horizontal="center" vertical="center" wrapText="1"/>
    </xf>
    <xf numFmtId="1" fontId="8" fillId="7" borderId="15" xfId="2" applyNumberFormat="1" applyFont="1" applyFill="1" applyBorder="1" applyAlignment="1">
      <alignment horizontal="center" vertical="center" wrapText="1"/>
    </xf>
    <xf numFmtId="166" fontId="5" fillId="0" borderId="70" xfId="2" applyNumberFormat="1" applyFont="1" applyBorder="1"/>
    <xf numFmtId="0" fontId="8" fillId="6" borderId="9" xfId="2" applyFont="1" applyFill="1" applyBorder="1" applyAlignment="1">
      <alignment horizontal="center" vertical="center" wrapText="1"/>
    </xf>
    <xf numFmtId="1" fontId="8" fillId="8" borderId="10" xfId="2" applyNumberFormat="1" applyFont="1" applyFill="1" applyBorder="1" applyAlignment="1">
      <alignment horizontal="center" vertical="center" wrapText="1"/>
    </xf>
    <xf numFmtId="0" fontId="8" fillId="8" borderId="9" xfId="2" applyFont="1" applyFill="1" applyBorder="1" applyAlignment="1">
      <alignment horizontal="center" vertical="center" wrapText="1"/>
    </xf>
    <xf numFmtId="0" fontId="4" fillId="8" borderId="11" xfId="2" applyFont="1" applyFill="1" applyBorder="1" applyAlignment="1">
      <alignment horizontal="center" vertical="center"/>
    </xf>
    <xf numFmtId="1" fontId="18" fillId="8" borderId="10" xfId="2" applyNumberFormat="1" applyFont="1" applyFill="1" applyBorder="1" applyAlignment="1">
      <alignment horizontal="center" vertical="center" wrapText="1"/>
    </xf>
    <xf numFmtId="1" fontId="12" fillId="8" borderId="15" xfId="2" applyNumberFormat="1" applyFont="1" applyFill="1" applyBorder="1" applyAlignment="1">
      <alignment horizontal="center" vertical="center" wrapText="1"/>
    </xf>
    <xf numFmtId="3" fontId="11" fillId="0" borderId="23" xfId="2" applyNumberFormat="1" applyFont="1" applyFill="1" applyBorder="1" applyAlignment="1">
      <alignment vertical="center" wrapText="1"/>
    </xf>
    <xf numFmtId="3" fontId="13" fillId="0" borderId="11" xfId="2" applyNumberFormat="1" applyFont="1" applyFill="1" applyBorder="1" applyAlignment="1">
      <alignment vertical="center"/>
    </xf>
    <xf numFmtId="3" fontId="11" fillId="0" borderId="10" xfId="2" applyNumberFormat="1" applyFont="1" applyFill="1" applyBorder="1" applyAlignment="1">
      <alignment vertical="center" wrapText="1"/>
    </xf>
    <xf numFmtId="3" fontId="10" fillId="0" borderId="21" xfId="2" applyNumberFormat="1" applyFont="1" applyFill="1" applyBorder="1" applyAlignment="1">
      <alignment vertical="center" wrapText="1"/>
    </xf>
    <xf numFmtId="3" fontId="13" fillId="0" borderId="49" xfId="2" applyNumberFormat="1" applyFont="1" applyFill="1" applyBorder="1" applyAlignment="1">
      <alignment vertical="center"/>
    </xf>
    <xf numFmtId="166" fontId="10" fillId="0" borderId="17" xfId="2" applyNumberFormat="1" applyFont="1" applyFill="1" applyBorder="1" applyAlignment="1">
      <alignment vertical="center" wrapText="1"/>
    </xf>
    <xf numFmtId="0" fontId="5" fillId="0" borderId="74" xfId="2" applyFont="1" applyFill="1" applyBorder="1"/>
    <xf numFmtId="3" fontId="10" fillId="0" borderId="33" xfId="2" applyNumberFormat="1" applyFont="1" applyFill="1" applyBorder="1" applyAlignment="1">
      <alignment vertical="center"/>
    </xf>
    <xf numFmtId="3" fontId="10" fillId="0" borderId="19" xfId="2" applyNumberFormat="1" applyFont="1" applyFill="1" applyBorder="1" applyAlignment="1">
      <alignment vertical="center"/>
    </xf>
    <xf numFmtId="166" fontId="32" fillId="0" borderId="19" xfId="2" applyNumberFormat="1" applyFont="1" applyFill="1" applyBorder="1" applyAlignment="1">
      <alignment vertical="center" wrapText="1"/>
    </xf>
    <xf numFmtId="166" fontId="10" fillId="0" borderId="23" xfId="2" applyNumberFormat="1" applyFont="1" applyFill="1" applyBorder="1" applyAlignment="1">
      <alignment vertical="center"/>
    </xf>
    <xf numFmtId="3" fontId="10" fillId="0" borderId="50" xfId="2" applyNumberFormat="1" applyFont="1" applyFill="1" applyBorder="1" applyAlignment="1">
      <alignment vertical="center"/>
    </xf>
    <xf numFmtId="166" fontId="10" fillId="0" borderId="62" xfId="2" applyNumberFormat="1" applyFont="1" applyFill="1" applyBorder="1" applyAlignment="1">
      <alignment vertical="center" wrapText="1"/>
    </xf>
    <xf numFmtId="0" fontId="5" fillId="0" borderId="42" xfId="2" applyFont="1" applyFill="1" applyBorder="1"/>
    <xf numFmtId="0" fontId="4" fillId="6" borderId="15" xfId="2" applyFont="1" applyFill="1" applyBorder="1" applyAlignment="1">
      <alignment horizontal="center" vertical="center" wrapText="1"/>
    </xf>
    <xf numFmtId="1" fontId="12" fillId="6" borderId="15" xfId="2" applyNumberFormat="1" applyFont="1" applyFill="1" applyBorder="1" applyAlignment="1">
      <alignment horizontal="center" vertical="center" wrapText="1"/>
    </xf>
    <xf numFmtId="0" fontId="5" fillId="0" borderId="17" xfId="2" quotePrefix="1" applyFont="1" applyBorder="1" applyAlignment="1">
      <alignment horizontal="center" vertical="center"/>
    </xf>
    <xf numFmtId="1" fontId="8" fillId="9" borderId="15" xfId="2" applyNumberFormat="1" applyFont="1" applyFill="1" applyBorder="1" applyAlignment="1">
      <alignment horizontal="center" vertical="center" wrapText="1"/>
    </xf>
    <xf numFmtId="0" fontId="26" fillId="6" borderId="15" xfId="2" applyFont="1" applyFill="1" applyBorder="1" applyAlignment="1">
      <alignment horizontal="center" vertical="center" wrapText="1"/>
    </xf>
    <xf numFmtId="1" fontId="4" fillId="10" borderId="15" xfId="2" applyNumberFormat="1" applyFont="1" applyFill="1" applyBorder="1" applyAlignment="1">
      <alignment horizontal="center" vertical="center" wrapText="1"/>
    </xf>
    <xf numFmtId="1" fontId="8" fillId="10" borderId="15" xfId="2" applyNumberFormat="1" applyFont="1" applyFill="1" applyBorder="1" applyAlignment="1">
      <alignment horizontal="center" vertical="center" wrapText="1"/>
    </xf>
    <xf numFmtId="0" fontId="26" fillId="10" borderId="1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vertical="center" wrapText="1"/>
    </xf>
    <xf numFmtId="166" fontId="4" fillId="0" borderId="0" xfId="2" applyNumberFormat="1" applyFont="1" applyFill="1" applyBorder="1" applyAlignment="1">
      <alignment vertical="center" wrapText="1"/>
    </xf>
    <xf numFmtId="1" fontId="4" fillId="6" borderId="15" xfId="2" applyNumberFormat="1" applyFont="1" applyFill="1" applyBorder="1" applyAlignment="1">
      <alignment horizontal="center" vertical="center" wrapText="1"/>
    </xf>
    <xf numFmtId="1" fontId="33" fillId="6" borderId="15" xfId="2" applyNumberFormat="1" applyFont="1" applyFill="1" applyBorder="1" applyAlignment="1">
      <alignment horizontal="center" vertical="center" wrapText="1"/>
    </xf>
    <xf numFmtId="166" fontId="5" fillId="6" borderId="0" xfId="2" applyNumberFormat="1" applyFont="1" applyFill="1"/>
    <xf numFmtId="1" fontId="33" fillId="0" borderId="15" xfId="2" applyNumberFormat="1" applyFont="1" applyFill="1" applyBorder="1" applyAlignment="1">
      <alignment horizontal="center" vertical="center" wrapText="1"/>
    </xf>
    <xf numFmtId="3" fontId="11" fillId="0" borderId="76" xfId="2" applyNumberFormat="1" applyFont="1" applyBorder="1" applyAlignment="1">
      <alignment vertical="center" wrapText="1"/>
    </xf>
    <xf numFmtId="3" fontId="13" fillId="0" borderId="30" xfId="2" applyNumberFormat="1" applyFont="1" applyBorder="1" applyAlignment="1">
      <alignment vertical="center"/>
    </xf>
    <xf numFmtId="49" fontId="12" fillId="0" borderId="10" xfId="2" applyNumberFormat="1" applyFont="1" applyBorder="1" applyAlignment="1">
      <alignment horizontal="center" vertical="center" wrapText="1"/>
    </xf>
    <xf numFmtId="49" fontId="8" fillId="0" borderId="10" xfId="2" applyNumberFormat="1" applyFont="1" applyBorder="1" applyAlignment="1">
      <alignment horizontal="center"/>
    </xf>
    <xf numFmtId="0" fontId="31" fillId="0" borderId="10" xfId="2" applyFont="1" applyBorder="1" applyAlignment="1">
      <alignment vertical="center" wrapText="1"/>
    </xf>
    <xf numFmtId="3" fontId="10" fillId="0" borderId="17" xfId="2" applyNumberFormat="1" applyFont="1" applyFill="1" applyBorder="1" applyAlignment="1">
      <alignment vertical="center" wrapText="1"/>
    </xf>
    <xf numFmtId="166" fontId="8" fillId="0" borderId="19" xfId="2" applyNumberFormat="1" applyFont="1" applyFill="1" applyBorder="1" applyAlignment="1">
      <alignment vertical="center" wrapText="1"/>
    </xf>
    <xf numFmtId="3" fontId="11" fillId="0" borderId="82" xfId="2" applyNumberFormat="1" applyFont="1" applyBorder="1" applyAlignment="1">
      <alignment vertical="center" wrapText="1"/>
    </xf>
    <xf numFmtId="0" fontId="6" fillId="0" borderId="82" xfId="2" applyFont="1" applyBorder="1" applyAlignment="1">
      <alignment horizontal="center"/>
    </xf>
    <xf numFmtId="0" fontId="6" fillId="0" borderId="63" xfId="2" applyFont="1" applyBorder="1" applyAlignment="1">
      <alignment horizontal="center"/>
    </xf>
    <xf numFmtId="0" fontId="4" fillId="0" borderId="112" xfId="2" applyFont="1" applyBorder="1" applyAlignment="1">
      <alignment horizontal="center"/>
    </xf>
    <xf numFmtId="0" fontId="4" fillId="0" borderId="113" xfId="2" applyFont="1" applyBorder="1" applyAlignment="1">
      <alignment horizontal="center"/>
    </xf>
    <xf numFmtId="0" fontId="4" fillId="0" borderId="114" xfId="2" applyFont="1" applyBorder="1" applyAlignment="1">
      <alignment horizontal="center"/>
    </xf>
    <xf numFmtId="0" fontId="4" fillId="2" borderId="112" xfId="0" applyFont="1" applyFill="1" applyBorder="1" applyAlignment="1" applyProtection="1">
      <alignment horizontal="center"/>
      <protection hidden="1"/>
    </xf>
    <xf numFmtId="0" fontId="4" fillId="2" borderId="114" xfId="0" applyFont="1" applyFill="1" applyBorder="1" applyAlignment="1" applyProtection="1">
      <alignment horizontal="center"/>
      <protection hidden="1"/>
    </xf>
    <xf numFmtId="0" fontId="4" fillId="0" borderId="115" xfId="2" applyFont="1" applyBorder="1" applyAlignment="1">
      <alignment horizontal="center"/>
    </xf>
    <xf numFmtId="0" fontId="4" fillId="0" borderId="92" xfId="2" applyFont="1" applyBorder="1" applyAlignment="1">
      <alignment horizontal="center"/>
    </xf>
    <xf numFmtId="0" fontId="4" fillId="0" borderId="93" xfId="2" applyFont="1" applyBorder="1" applyAlignment="1">
      <alignment horizontal="center"/>
    </xf>
    <xf numFmtId="0" fontId="28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top"/>
    </xf>
    <xf numFmtId="0" fontId="28" fillId="0" borderId="0" xfId="2" applyFont="1" applyBorder="1" applyAlignment="1">
      <alignment horizontal="center" vertical="top" wrapText="1"/>
    </xf>
    <xf numFmtId="0" fontId="6" fillId="0" borderId="102" xfId="2" applyFont="1" applyBorder="1" applyAlignment="1">
      <alignment horizontal="center"/>
    </xf>
    <xf numFmtId="0" fontId="4" fillId="2" borderId="112" xfId="0" applyFont="1" applyFill="1" applyBorder="1" applyAlignment="1">
      <alignment horizontal="center"/>
    </xf>
    <xf numFmtId="0" fontId="4" fillId="2" borderId="11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15" xfId="0" applyFont="1" applyFill="1" applyBorder="1" applyAlignment="1">
      <alignment horizontal="center"/>
    </xf>
    <xf numFmtId="0" fontId="4" fillId="2" borderId="92" xfId="0" applyFont="1" applyFill="1" applyBorder="1" applyAlignment="1">
      <alignment horizontal="center"/>
    </xf>
    <xf numFmtId="0" fontId="4" fillId="2" borderId="93" xfId="0" applyFont="1" applyFill="1" applyBorder="1" applyAlignment="1">
      <alignment horizontal="center"/>
    </xf>
    <xf numFmtId="0" fontId="28" fillId="0" borderId="0" xfId="2" applyFont="1" applyBorder="1" applyAlignment="1">
      <alignment horizontal="center" wrapText="1"/>
    </xf>
    <xf numFmtId="0" fontId="6" fillId="0" borderId="116" xfId="2" applyFont="1" applyBorder="1" applyAlignment="1">
      <alignment horizontal="center"/>
    </xf>
    <xf numFmtId="0" fontId="6" fillId="0" borderId="117" xfId="2" applyFont="1" applyBorder="1" applyAlignment="1">
      <alignment horizontal="center"/>
    </xf>
  </cellXfs>
  <cellStyles count="3">
    <cellStyle name="Ezres" xfId="1" builtinId="3"/>
    <cellStyle name="Normál" xfId="0" builtinId="0"/>
    <cellStyle name="Normál_SajatHK2005_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9"/>
  <sheetViews>
    <sheetView tabSelected="1" zoomScale="75" zoomScaleNormal="75" workbookViewId="0"/>
  </sheetViews>
  <sheetFormatPr defaultRowHeight="16.5" x14ac:dyDescent="0.25"/>
  <cols>
    <col min="1" max="1" width="5.5703125" style="1" customWidth="1"/>
    <col min="2" max="2" width="10.5703125" style="1" hidden="1" customWidth="1"/>
    <col min="3" max="3" width="48.7109375" style="2" customWidth="1"/>
    <col min="4" max="4" width="15" style="2" customWidth="1"/>
    <col min="5" max="5" width="13.28515625" style="2" customWidth="1"/>
    <col min="6" max="6" width="14.7109375" style="2" customWidth="1"/>
    <col min="7" max="7" width="14.28515625" style="2" customWidth="1"/>
    <col min="8" max="8" width="15.42578125" style="2" customWidth="1"/>
    <col min="9" max="11" width="13.7109375" style="2" customWidth="1"/>
    <col min="12" max="12" width="16.7109375" style="2" customWidth="1"/>
    <col min="13" max="13" width="14.42578125" style="2" customWidth="1"/>
    <col min="14" max="14" width="13.7109375" style="2" customWidth="1"/>
    <col min="15" max="15" width="15.7109375" style="2" customWidth="1"/>
    <col min="16" max="16" width="0.85546875" style="2" customWidth="1"/>
    <col min="17" max="17" width="15.85546875" style="2" customWidth="1"/>
    <col min="18" max="20" width="13.7109375" style="2" customWidth="1"/>
    <col min="21" max="21" width="15.7109375" style="2" customWidth="1"/>
    <col min="22" max="22" width="1.85546875" style="2" customWidth="1"/>
    <col min="23" max="23" width="17.7109375" style="2" customWidth="1"/>
    <col min="24" max="29" width="9.140625" style="2"/>
    <col min="30" max="31" width="10.7109375" style="2" customWidth="1"/>
    <col min="32" max="32" width="10.28515625" style="2" customWidth="1"/>
    <col min="33" max="33" width="10" style="2" customWidth="1"/>
    <col min="34" max="34" width="10.28515625" style="2" customWidth="1"/>
    <col min="35" max="35" width="10.7109375" style="2" customWidth="1"/>
    <col min="36" max="36" width="10.5703125" style="2" customWidth="1"/>
    <col min="37" max="40" width="9.140625" style="2"/>
    <col min="41" max="41" width="11" style="2" customWidth="1"/>
    <col min="42" max="16384" width="9.140625" style="2"/>
  </cols>
  <sheetData>
    <row r="1" spans="1:35" ht="20.25" customHeight="1" x14ac:dyDescent="0.25">
      <c r="W1" s="185" t="s">
        <v>92</v>
      </c>
    </row>
    <row r="2" spans="1:35" ht="30" customHeight="1" x14ac:dyDescent="0.3">
      <c r="A2" s="735" t="s">
        <v>0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</row>
    <row r="3" spans="1:35" ht="9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5" ht="50.1" customHeight="1" x14ac:dyDescent="0.2">
      <c r="A4" s="736" t="s">
        <v>595</v>
      </c>
      <c r="B4" s="737"/>
      <c r="C4" s="737"/>
      <c r="D4" s="737"/>
      <c r="E4" s="737"/>
      <c r="F4" s="737"/>
      <c r="G4" s="737"/>
      <c r="H4" s="737"/>
      <c r="I4" s="737"/>
      <c r="J4" s="737"/>
      <c r="K4" s="737"/>
      <c r="L4" s="737"/>
      <c r="M4" s="737"/>
      <c r="N4" s="737"/>
      <c r="O4" s="737"/>
      <c r="P4" s="737"/>
      <c r="Q4" s="737"/>
      <c r="R4" s="737"/>
      <c r="S4" s="737"/>
      <c r="T4" s="737"/>
      <c r="U4" s="737"/>
      <c r="V4" s="737"/>
      <c r="W4" s="737"/>
    </row>
    <row r="5" spans="1:35" ht="12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5" ht="17.2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 t="s">
        <v>1</v>
      </c>
    </row>
    <row r="7" spans="1:35" ht="18" customHeight="1" x14ac:dyDescent="0.25">
      <c r="A7" s="7"/>
      <c r="B7" s="8"/>
      <c r="C7" s="9"/>
      <c r="D7" s="727" t="s">
        <v>123</v>
      </c>
      <c r="E7" s="728"/>
      <c r="F7" s="729"/>
      <c r="G7" s="407"/>
      <c r="H7" s="408"/>
      <c r="I7" s="409" t="s">
        <v>4</v>
      </c>
      <c r="J7" s="730" t="s">
        <v>131</v>
      </c>
      <c r="K7" s="731"/>
      <c r="L7" s="407"/>
      <c r="M7" s="410" t="s">
        <v>132</v>
      </c>
      <c r="N7" s="411"/>
      <c r="O7" s="412" t="s">
        <v>139</v>
      </c>
      <c r="P7" s="413"/>
      <c r="Q7" s="732" t="s">
        <v>141</v>
      </c>
      <c r="R7" s="733"/>
      <c r="S7" s="733"/>
      <c r="T7" s="734"/>
      <c r="U7" s="413" t="s">
        <v>150</v>
      </c>
      <c r="V7" s="412"/>
      <c r="W7" s="10" t="s">
        <v>2</v>
      </c>
    </row>
    <row r="8" spans="1:35" x14ac:dyDescent="0.25">
      <c r="A8" s="11"/>
      <c r="B8" s="12"/>
      <c r="C8" s="13" t="s">
        <v>3</v>
      </c>
      <c r="D8" s="16" t="s">
        <v>124</v>
      </c>
      <c r="E8" s="13" t="s">
        <v>125</v>
      </c>
      <c r="F8" s="4" t="s">
        <v>126</v>
      </c>
      <c r="G8" s="17" t="s">
        <v>133</v>
      </c>
      <c r="H8" s="17" t="s">
        <v>5</v>
      </c>
      <c r="I8" s="17" t="s">
        <v>15</v>
      </c>
      <c r="J8" s="13" t="s">
        <v>6</v>
      </c>
      <c r="K8" s="13" t="s">
        <v>134</v>
      </c>
      <c r="L8" s="403" t="s">
        <v>105</v>
      </c>
      <c r="M8" s="13" t="s">
        <v>135</v>
      </c>
      <c r="N8" s="17" t="s">
        <v>4</v>
      </c>
      <c r="O8" s="404" t="s">
        <v>140</v>
      </c>
      <c r="P8" s="405"/>
      <c r="Q8" s="17" t="s">
        <v>142</v>
      </c>
      <c r="R8" s="17" t="s">
        <v>143</v>
      </c>
      <c r="S8" s="17" t="s">
        <v>230</v>
      </c>
      <c r="T8" s="17" t="s">
        <v>4</v>
      </c>
      <c r="U8" s="405" t="s">
        <v>151</v>
      </c>
      <c r="V8" s="404"/>
      <c r="W8" s="15" t="s">
        <v>7</v>
      </c>
    </row>
    <row r="9" spans="1:35" x14ac:dyDescent="0.25">
      <c r="A9" s="18" t="s">
        <v>8</v>
      </c>
      <c r="B9" s="13"/>
      <c r="C9" s="13" t="s">
        <v>9</v>
      </c>
      <c r="D9" s="17" t="s">
        <v>15</v>
      </c>
      <c r="E9" s="13" t="s">
        <v>127</v>
      </c>
      <c r="F9" s="4" t="s">
        <v>79</v>
      </c>
      <c r="G9" s="17" t="s">
        <v>10</v>
      </c>
      <c r="H9" s="13" t="s">
        <v>10</v>
      </c>
      <c r="I9" s="13" t="s">
        <v>11</v>
      </c>
      <c r="J9" s="13" t="s">
        <v>11</v>
      </c>
      <c r="K9" s="13" t="s">
        <v>79</v>
      </c>
      <c r="L9" s="298" t="s">
        <v>106</v>
      </c>
      <c r="M9" s="17" t="s">
        <v>136</v>
      </c>
      <c r="N9" s="17" t="s">
        <v>107</v>
      </c>
      <c r="O9" s="404" t="s">
        <v>10</v>
      </c>
      <c r="P9" s="405"/>
      <c r="Q9" s="17" t="s">
        <v>144</v>
      </c>
      <c r="R9" s="17" t="s">
        <v>145</v>
      </c>
      <c r="S9" s="17" t="s">
        <v>231</v>
      </c>
      <c r="T9" s="17" t="s">
        <v>187</v>
      </c>
      <c r="U9" s="405" t="s">
        <v>10</v>
      </c>
      <c r="V9" s="404"/>
      <c r="W9" s="15" t="s">
        <v>12</v>
      </c>
    </row>
    <row r="10" spans="1:35" x14ac:dyDescent="0.25">
      <c r="A10" s="11"/>
      <c r="B10" s="12"/>
      <c r="C10" s="13" t="s">
        <v>13</v>
      </c>
      <c r="D10" s="17" t="s">
        <v>128</v>
      </c>
      <c r="E10" s="13" t="s">
        <v>129</v>
      </c>
      <c r="F10" s="4" t="s">
        <v>130</v>
      </c>
      <c r="G10" s="17"/>
      <c r="H10" s="13"/>
      <c r="I10" s="13" t="s">
        <v>104</v>
      </c>
      <c r="J10" s="13" t="s">
        <v>137</v>
      </c>
      <c r="K10" s="13" t="s">
        <v>130</v>
      </c>
      <c r="L10" s="13" t="s">
        <v>10</v>
      </c>
      <c r="M10" s="17" t="s">
        <v>41</v>
      </c>
      <c r="N10" s="17" t="s">
        <v>138</v>
      </c>
      <c r="O10" s="404" t="s">
        <v>12</v>
      </c>
      <c r="P10" s="405"/>
      <c r="Q10" s="17" t="s">
        <v>146</v>
      </c>
      <c r="R10" s="17" t="s">
        <v>147</v>
      </c>
      <c r="S10" s="17" t="s">
        <v>232</v>
      </c>
      <c r="T10" s="17" t="s">
        <v>188</v>
      </c>
      <c r="U10" s="405" t="s">
        <v>12</v>
      </c>
      <c r="V10" s="404"/>
      <c r="W10" s="19" t="s">
        <v>153</v>
      </c>
    </row>
    <row r="11" spans="1:35" x14ac:dyDescent="0.25">
      <c r="A11" s="11"/>
      <c r="B11" s="12"/>
      <c r="C11" s="13"/>
      <c r="D11" s="17"/>
      <c r="E11" s="13" t="s">
        <v>16</v>
      </c>
      <c r="F11" s="4" t="s">
        <v>103</v>
      </c>
      <c r="G11" s="17"/>
      <c r="H11" s="13"/>
      <c r="I11" s="13" t="s">
        <v>17</v>
      </c>
      <c r="J11" s="13" t="s">
        <v>50</v>
      </c>
      <c r="K11" s="13" t="s">
        <v>103</v>
      </c>
      <c r="L11" s="13"/>
      <c r="M11" s="20" t="s">
        <v>14</v>
      </c>
      <c r="N11" s="20" t="s">
        <v>17</v>
      </c>
      <c r="O11" s="4" t="s">
        <v>149</v>
      </c>
      <c r="P11" s="406"/>
      <c r="Q11" s="17" t="s">
        <v>16</v>
      </c>
      <c r="R11" s="20" t="s">
        <v>148</v>
      </c>
      <c r="S11" s="20" t="s">
        <v>233</v>
      </c>
      <c r="T11" s="20" t="s">
        <v>10</v>
      </c>
      <c r="U11" s="20" t="s">
        <v>152</v>
      </c>
      <c r="V11" s="4"/>
      <c r="W11" s="15"/>
    </row>
    <row r="12" spans="1:35" hidden="1" x14ac:dyDescent="0.25">
      <c r="A12" s="111"/>
      <c r="B12" s="112"/>
      <c r="C12" s="113"/>
      <c r="D12" s="16" t="s">
        <v>211</v>
      </c>
      <c r="E12" s="113" t="s">
        <v>212</v>
      </c>
      <c r="F12" s="114" t="s">
        <v>213</v>
      </c>
      <c r="G12" s="16" t="s">
        <v>214</v>
      </c>
      <c r="H12" s="113" t="s">
        <v>215</v>
      </c>
      <c r="I12" s="113" t="s">
        <v>216</v>
      </c>
      <c r="J12" s="113" t="s">
        <v>217</v>
      </c>
      <c r="K12" s="122" t="s">
        <v>218</v>
      </c>
      <c r="L12" s="113" t="s">
        <v>219</v>
      </c>
      <c r="M12" s="115" t="s">
        <v>220</v>
      </c>
      <c r="N12" s="116" t="s">
        <v>221</v>
      </c>
      <c r="O12" s="114"/>
      <c r="P12" s="20"/>
      <c r="Q12" s="16" t="s">
        <v>222</v>
      </c>
      <c r="R12" s="116" t="s">
        <v>223</v>
      </c>
      <c r="S12" s="116" t="s">
        <v>224</v>
      </c>
      <c r="T12" s="113" t="s">
        <v>225</v>
      </c>
      <c r="U12" s="16"/>
      <c r="V12" s="117"/>
      <c r="W12" s="415"/>
    </row>
    <row r="13" spans="1:35" ht="20.25" customHeight="1" x14ac:dyDescent="0.2">
      <c r="A13" s="191">
        <v>1</v>
      </c>
      <c r="B13" s="215"/>
      <c r="C13" s="215">
        <v>2</v>
      </c>
      <c r="D13" s="215">
        <v>3</v>
      </c>
      <c r="E13" s="215">
        <v>4</v>
      </c>
      <c r="F13" s="215">
        <v>5</v>
      </c>
      <c r="G13" s="215">
        <v>6</v>
      </c>
      <c r="H13" s="215">
        <v>7</v>
      </c>
      <c r="I13" s="215">
        <v>8</v>
      </c>
      <c r="J13" s="215">
        <v>9</v>
      </c>
      <c r="K13" s="215">
        <v>10</v>
      </c>
      <c r="L13" s="215">
        <v>11</v>
      </c>
      <c r="M13" s="215">
        <v>12</v>
      </c>
      <c r="N13" s="215">
        <v>13</v>
      </c>
      <c r="O13" s="215">
        <v>14</v>
      </c>
      <c r="P13" s="215"/>
      <c r="Q13" s="215">
        <v>15</v>
      </c>
      <c r="R13" s="215">
        <v>16</v>
      </c>
      <c r="S13" s="215">
        <v>17</v>
      </c>
      <c r="T13" s="215">
        <v>18</v>
      </c>
      <c r="U13" s="215">
        <v>19</v>
      </c>
      <c r="V13" s="216"/>
      <c r="W13" s="217">
        <v>20</v>
      </c>
    </row>
    <row r="14" spans="1:35" ht="22.5" hidden="1" customHeight="1" x14ac:dyDescent="0.25">
      <c r="A14" s="22"/>
      <c r="B14" s="23"/>
      <c r="C14" s="24" t="s">
        <v>67</v>
      </c>
      <c r="D14" s="25">
        <v>2201180.682</v>
      </c>
      <c r="E14" s="25">
        <v>0</v>
      </c>
      <c r="F14" s="25">
        <v>52185</v>
      </c>
      <c r="G14" s="25">
        <v>8490006</v>
      </c>
      <c r="H14" s="25">
        <v>2489742.318</v>
      </c>
      <c r="I14" s="154">
        <v>0</v>
      </c>
      <c r="J14" s="25">
        <v>200000</v>
      </c>
      <c r="K14" s="25">
        <v>0</v>
      </c>
      <c r="L14" s="154">
        <v>1355000</v>
      </c>
      <c r="M14" s="25">
        <v>17800</v>
      </c>
      <c r="N14" s="25">
        <v>0</v>
      </c>
      <c r="O14" s="414">
        <f>SUM(D14:N14)</f>
        <v>14805914</v>
      </c>
      <c r="P14" s="25"/>
      <c r="Q14" s="25">
        <v>650000</v>
      </c>
      <c r="R14" s="25">
        <v>1173053</v>
      </c>
      <c r="S14" s="25">
        <v>0</v>
      </c>
      <c r="T14" s="25">
        <v>0</v>
      </c>
      <c r="U14" s="414">
        <f>SUM(Q14:T14)</f>
        <v>1823053</v>
      </c>
      <c r="V14" s="153"/>
      <c r="W14" s="139">
        <f>O14+U14</f>
        <v>16628967</v>
      </c>
    </row>
    <row r="15" spans="1:35" ht="20.100000000000001" hidden="1" customHeight="1" x14ac:dyDescent="0.25">
      <c r="A15" s="156"/>
      <c r="B15" s="27" t="s">
        <v>64</v>
      </c>
      <c r="C15" s="28" t="s">
        <v>109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138"/>
      <c r="V15" s="83"/>
      <c r="W15" s="416">
        <f>O15+U15</f>
        <v>0</v>
      </c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70"/>
    </row>
    <row r="16" spans="1:35" ht="20.100000000000001" hidden="1" customHeight="1" x14ac:dyDescent="0.25">
      <c r="A16" s="156"/>
      <c r="B16" s="27"/>
      <c r="C16" s="24" t="s">
        <v>18</v>
      </c>
      <c r="D16" s="151">
        <f>SUM(D14:D15)</f>
        <v>2201180.682</v>
      </c>
      <c r="E16" s="151">
        <f t="shared" ref="E16:U16" si="0">SUM(E14:E15)</f>
        <v>0</v>
      </c>
      <c r="F16" s="151">
        <f t="shared" si="0"/>
        <v>52185</v>
      </c>
      <c r="G16" s="151">
        <f t="shared" si="0"/>
        <v>8490006</v>
      </c>
      <c r="H16" s="151">
        <f t="shared" si="0"/>
        <v>2489742.318</v>
      </c>
      <c r="I16" s="151">
        <f t="shared" si="0"/>
        <v>0</v>
      </c>
      <c r="J16" s="151">
        <f t="shared" si="0"/>
        <v>200000</v>
      </c>
      <c r="K16" s="151">
        <f t="shared" si="0"/>
        <v>0</v>
      </c>
      <c r="L16" s="151">
        <f t="shared" si="0"/>
        <v>1355000</v>
      </c>
      <c r="M16" s="151">
        <f t="shared" si="0"/>
        <v>17800</v>
      </c>
      <c r="N16" s="151">
        <f t="shared" si="0"/>
        <v>0</v>
      </c>
      <c r="O16" s="151">
        <f t="shared" si="0"/>
        <v>14805914</v>
      </c>
      <c r="P16" s="151"/>
      <c r="Q16" s="151">
        <f t="shared" si="0"/>
        <v>650000</v>
      </c>
      <c r="R16" s="151">
        <f t="shared" si="0"/>
        <v>1173053</v>
      </c>
      <c r="S16" s="151">
        <f t="shared" si="0"/>
        <v>0</v>
      </c>
      <c r="T16" s="151">
        <f t="shared" si="0"/>
        <v>0</v>
      </c>
      <c r="U16" s="151">
        <f t="shared" si="0"/>
        <v>1823053</v>
      </c>
      <c r="V16" s="428"/>
      <c r="W16" s="417">
        <f>SUM(W14:W15)</f>
        <v>16628967</v>
      </c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70"/>
    </row>
    <row r="17" spans="1:35" ht="35.1" hidden="1" customHeight="1" x14ac:dyDescent="0.25">
      <c r="A17" s="82">
        <v>1</v>
      </c>
      <c r="B17" s="136" t="s">
        <v>192</v>
      </c>
      <c r="C17" s="28" t="s">
        <v>238</v>
      </c>
      <c r="D17" s="595">
        <f>-200-500</f>
        <v>-700</v>
      </c>
      <c r="E17" s="595"/>
      <c r="F17" s="595"/>
      <c r="G17" s="595"/>
      <c r="H17" s="595">
        <f>700</f>
        <v>700</v>
      </c>
      <c r="I17" s="595"/>
      <c r="J17" s="596"/>
      <c r="K17" s="595"/>
      <c r="L17" s="595"/>
      <c r="M17" s="595"/>
      <c r="N17" s="595"/>
      <c r="O17" s="595">
        <f t="shared" ref="O17:O28" si="1">SUM(D17:N17)</f>
        <v>0</v>
      </c>
      <c r="P17" s="600"/>
      <c r="Q17" s="603"/>
      <c r="R17" s="603"/>
      <c r="S17" s="603"/>
      <c r="T17" s="603"/>
      <c r="U17" s="604">
        <f t="shared" ref="U17:U28" si="2">SUM(Q17:T17)</f>
        <v>0</v>
      </c>
      <c r="V17" s="605"/>
      <c r="W17" s="606">
        <f t="shared" ref="W17:W28" si="3">O17+U17</f>
        <v>0</v>
      </c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70"/>
    </row>
    <row r="18" spans="1:35" ht="35.1" hidden="1" customHeight="1" x14ac:dyDescent="0.25">
      <c r="A18" s="82">
        <v>2</v>
      </c>
      <c r="B18" s="136" t="s">
        <v>248</v>
      </c>
      <c r="C18" s="28" t="s">
        <v>249</v>
      </c>
      <c r="D18" s="595"/>
      <c r="E18" s="595"/>
      <c r="F18" s="595"/>
      <c r="G18" s="595"/>
      <c r="H18" s="595">
        <f>1200+324</f>
        <v>1524</v>
      </c>
      <c r="I18" s="595"/>
      <c r="J18" s="596"/>
      <c r="K18" s="595"/>
      <c r="L18" s="595"/>
      <c r="M18" s="595"/>
      <c r="N18" s="595"/>
      <c r="O18" s="595">
        <f t="shared" si="1"/>
        <v>1524</v>
      </c>
      <c r="P18" s="600"/>
      <c r="Q18" s="603"/>
      <c r="R18" s="603"/>
      <c r="S18" s="603"/>
      <c r="T18" s="603"/>
      <c r="U18" s="604">
        <f t="shared" si="2"/>
        <v>0</v>
      </c>
      <c r="V18" s="605"/>
      <c r="W18" s="606">
        <f t="shared" si="3"/>
        <v>1524</v>
      </c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70"/>
    </row>
    <row r="19" spans="1:35" ht="35.1" hidden="1" customHeight="1" x14ac:dyDescent="0.25">
      <c r="A19" s="82">
        <v>3</v>
      </c>
      <c r="B19" s="136" t="s">
        <v>265</v>
      </c>
      <c r="C19" s="28" t="s">
        <v>274</v>
      </c>
      <c r="D19" s="595"/>
      <c r="E19" s="595"/>
      <c r="F19" s="615"/>
      <c r="G19" s="595"/>
      <c r="H19" s="595"/>
      <c r="I19" s="595">
        <f>500</f>
        <v>500</v>
      </c>
      <c r="J19" s="596"/>
      <c r="K19" s="595"/>
      <c r="L19" s="595"/>
      <c r="M19" s="595"/>
      <c r="N19" s="595"/>
      <c r="O19" s="595">
        <f t="shared" si="1"/>
        <v>500</v>
      </c>
      <c r="P19" s="600"/>
      <c r="Q19" s="603"/>
      <c r="R19" s="603"/>
      <c r="S19" s="603"/>
      <c r="T19" s="603"/>
      <c r="U19" s="604">
        <f t="shared" si="2"/>
        <v>0</v>
      </c>
      <c r="V19" s="605"/>
      <c r="W19" s="606">
        <f t="shared" si="3"/>
        <v>500</v>
      </c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70"/>
    </row>
    <row r="20" spans="1:35" ht="35.1" hidden="1" customHeight="1" x14ac:dyDescent="0.25">
      <c r="A20" s="82">
        <v>4</v>
      </c>
      <c r="B20" s="136" t="s">
        <v>275</v>
      </c>
      <c r="C20" s="28" t="s">
        <v>276</v>
      </c>
      <c r="D20" s="595">
        <f>1712.309</f>
        <v>1712.309</v>
      </c>
      <c r="E20" s="595"/>
      <c r="F20" s="615"/>
      <c r="G20" s="595"/>
      <c r="H20" s="595"/>
      <c r="I20" s="595"/>
      <c r="J20" s="596"/>
      <c r="K20" s="595"/>
      <c r="L20" s="595"/>
      <c r="M20" s="595"/>
      <c r="N20" s="595"/>
      <c r="O20" s="595">
        <f t="shared" si="1"/>
        <v>1712.309</v>
      </c>
      <c r="P20" s="600"/>
      <c r="Q20" s="603"/>
      <c r="R20" s="603"/>
      <c r="S20" s="603"/>
      <c r="T20" s="603"/>
      <c r="U20" s="604">
        <f t="shared" si="2"/>
        <v>0</v>
      </c>
      <c r="V20" s="605"/>
      <c r="W20" s="606">
        <f t="shared" si="3"/>
        <v>1712.309</v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70"/>
    </row>
    <row r="21" spans="1:35" ht="35.1" hidden="1" customHeight="1" x14ac:dyDescent="0.25">
      <c r="A21" s="82">
        <v>5</v>
      </c>
      <c r="B21" s="136" t="s">
        <v>275</v>
      </c>
      <c r="C21" s="28" t="s">
        <v>279</v>
      </c>
      <c r="D21" s="595">
        <f>4438.98</f>
        <v>4438.9799999999996</v>
      </c>
      <c r="E21" s="595"/>
      <c r="F21" s="615"/>
      <c r="G21" s="595"/>
      <c r="H21" s="595"/>
      <c r="I21" s="595"/>
      <c r="J21" s="596"/>
      <c r="K21" s="595"/>
      <c r="L21" s="595"/>
      <c r="M21" s="595"/>
      <c r="N21" s="595"/>
      <c r="O21" s="595">
        <f t="shared" si="1"/>
        <v>4438.9799999999996</v>
      </c>
      <c r="P21" s="600"/>
      <c r="Q21" s="603"/>
      <c r="R21" s="603"/>
      <c r="S21" s="603"/>
      <c r="T21" s="603"/>
      <c r="U21" s="604">
        <f t="shared" si="2"/>
        <v>0</v>
      </c>
      <c r="V21" s="605"/>
      <c r="W21" s="606">
        <f t="shared" si="3"/>
        <v>4438.9799999999996</v>
      </c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70"/>
    </row>
    <row r="22" spans="1:35" ht="35.1" hidden="1" customHeight="1" x14ac:dyDescent="0.25">
      <c r="A22" s="82">
        <v>6</v>
      </c>
      <c r="B22" s="136" t="s">
        <v>275</v>
      </c>
      <c r="C22" s="28" t="s">
        <v>280</v>
      </c>
      <c r="D22" s="595">
        <v>4156.817</v>
      </c>
      <c r="E22" s="595"/>
      <c r="F22" s="615"/>
      <c r="G22" s="595"/>
      <c r="H22" s="595"/>
      <c r="I22" s="595"/>
      <c r="J22" s="596"/>
      <c r="K22" s="595"/>
      <c r="L22" s="595"/>
      <c r="M22" s="595"/>
      <c r="N22" s="595"/>
      <c r="O22" s="595">
        <f t="shared" si="1"/>
        <v>4156.817</v>
      </c>
      <c r="P22" s="600"/>
      <c r="Q22" s="603"/>
      <c r="R22" s="603"/>
      <c r="S22" s="603"/>
      <c r="T22" s="603"/>
      <c r="U22" s="604">
        <f t="shared" si="2"/>
        <v>0</v>
      </c>
      <c r="V22" s="605"/>
      <c r="W22" s="606">
        <f t="shared" si="3"/>
        <v>4156.817</v>
      </c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</row>
    <row r="23" spans="1:35" ht="35.1" hidden="1" customHeight="1" x14ac:dyDescent="0.25">
      <c r="A23" s="82">
        <v>7</v>
      </c>
      <c r="B23" s="136" t="s">
        <v>281</v>
      </c>
      <c r="C23" s="28" t="s">
        <v>282</v>
      </c>
      <c r="D23" s="595">
        <f>21666.502</f>
        <v>21666.502</v>
      </c>
      <c r="E23" s="595"/>
      <c r="F23" s="615"/>
      <c r="G23" s="595"/>
      <c r="H23" s="595"/>
      <c r="I23" s="595"/>
      <c r="J23" s="596"/>
      <c r="K23" s="595"/>
      <c r="M23" s="595"/>
      <c r="N23" s="595"/>
      <c r="O23" s="595">
        <f t="shared" si="1"/>
        <v>21666.502</v>
      </c>
      <c r="P23" s="600"/>
      <c r="Q23" s="603"/>
      <c r="R23" s="603"/>
      <c r="S23" s="603"/>
      <c r="T23" s="603"/>
      <c r="U23" s="604">
        <f t="shared" si="2"/>
        <v>0</v>
      </c>
      <c r="V23" s="605"/>
      <c r="W23" s="606">
        <f t="shared" si="3"/>
        <v>21666.502</v>
      </c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</row>
    <row r="24" spans="1:35" ht="35.1" hidden="1" customHeight="1" x14ac:dyDescent="0.25">
      <c r="A24" s="82">
        <v>8</v>
      </c>
      <c r="B24" s="590" t="s">
        <v>283</v>
      </c>
      <c r="C24" s="28" t="s">
        <v>284</v>
      </c>
      <c r="D24" s="595">
        <f>4597.889</f>
        <v>4597.8890000000001</v>
      </c>
      <c r="E24" s="595"/>
      <c r="F24" s="596"/>
      <c r="G24" s="595"/>
      <c r="H24" s="595"/>
      <c r="I24" s="595"/>
      <c r="J24" s="596"/>
      <c r="K24" s="595"/>
      <c r="L24" s="595"/>
      <c r="M24" s="595"/>
      <c r="N24" s="595"/>
      <c r="O24" s="595">
        <f t="shared" si="1"/>
        <v>4597.8890000000001</v>
      </c>
      <c r="P24" s="600"/>
      <c r="Q24" s="603"/>
      <c r="R24" s="603"/>
      <c r="S24" s="603"/>
      <c r="T24" s="603"/>
      <c r="U24" s="604">
        <f t="shared" si="2"/>
        <v>0</v>
      </c>
      <c r="V24" s="605"/>
      <c r="W24" s="606">
        <f t="shared" si="3"/>
        <v>4597.8890000000001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70"/>
    </row>
    <row r="25" spans="1:35" ht="35.1" hidden="1" customHeight="1" x14ac:dyDescent="0.25">
      <c r="A25" s="82">
        <v>9</v>
      </c>
      <c r="B25" s="136" t="s">
        <v>292</v>
      </c>
      <c r="C25" s="28" t="s">
        <v>291</v>
      </c>
      <c r="D25" s="595"/>
      <c r="E25" s="595"/>
      <c r="F25" s="596"/>
      <c r="G25" s="595"/>
      <c r="H25" s="595">
        <f>44</f>
        <v>44</v>
      </c>
      <c r="I25" s="595"/>
      <c r="J25" s="596"/>
      <c r="K25" s="595"/>
      <c r="L25" s="595">
        <f>162</f>
        <v>162</v>
      </c>
      <c r="M25" s="595"/>
      <c r="N25" s="595"/>
      <c r="O25" s="595">
        <f t="shared" si="1"/>
        <v>206</v>
      </c>
      <c r="P25" s="600"/>
      <c r="Q25" s="603"/>
      <c r="R25" s="603"/>
      <c r="S25" s="603"/>
      <c r="T25" s="603"/>
      <c r="U25" s="604">
        <f t="shared" si="2"/>
        <v>0</v>
      </c>
      <c r="V25" s="605"/>
      <c r="W25" s="606">
        <f t="shared" si="3"/>
        <v>206</v>
      </c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70"/>
    </row>
    <row r="26" spans="1:35" ht="35.1" hidden="1" customHeight="1" x14ac:dyDescent="0.25">
      <c r="A26" s="82">
        <v>10</v>
      </c>
      <c r="B26" s="590" t="s">
        <v>294</v>
      </c>
      <c r="C26" s="28" t="s">
        <v>293</v>
      </c>
      <c r="D26" s="595"/>
      <c r="E26" s="595"/>
      <c r="F26" s="596">
        <f>136+1051</f>
        <v>1187</v>
      </c>
      <c r="G26" s="595"/>
      <c r="H26" s="595"/>
      <c r="I26" s="595"/>
      <c r="J26" s="596"/>
      <c r="K26" s="595"/>
      <c r="L26" s="595"/>
      <c r="M26" s="595"/>
      <c r="N26" s="595"/>
      <c r="O26" s="595">
        <f t="shared" si="1"/>
        <v>1187</v>
      </c>
      <c r="P26" s="600"/>
      <c r="Q26" s="603"/>
      <c r="R26" s="603"/>
      <c r="S26" s="603"/>
      <c r="T26" s="603"/>
      <c r="U26" s="604">
        <f t="shared" si="2"/>
        <v>0</v>
      </c>
      <c r="V26" s="605"/>
      <c r="W26" s="606">
        <f t="shared" si="3"/>
        <v>1187</v>
      </c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</row>
    <row r="27" spans="1:35" ht="35.1" hidden="1" customHeight="1" x14ac:dyDescent="0.25">
      <c r="A27" s="82">
        <v>11</v>
      </c>
      <c r="B27" s="645" t="s">
        <v>296</v>
      </c>
      <c r="C27" s="28" t="s">
        <v>297</v>
      </c>
      <c r="D27" s="595"/>
      <c r="E27" s="595"/>
      <c r="F27" s="596"/>
      <c r="G27" s="595"/>
      <c r="H27" s="595"/>
      <c r="I27" s="595"/>
      <c r="J27" s="596"/>
      <c r="K27" s="595"/>
      <c r="L27" s="595"/>
      <c r="M27" s="595"/>
      <c r="N27" s="595"/>
      <c r="O27" s="595">
        <f t="shared" si="1"/>
        <v>0</v>
      </c>
      <c r="P27" s="600"/>
      <c r="Q27" s="595">
        <f>2960000+780000</f>
        <v>3740000</v>
      </c>
      <c r="R27" s="603"/>
      <c r="S27" s="603"/>
      <c r="T27" s="603"/>
      <c r="U27" s="604">
        <f t="shared" si="2"/>
        <v>3740000</v>
      </c>
      <c r="V27" s="605"/>
      <c r="W27" s="606">
        <f t="shared" si="3"/>
        <v>3740000</v>
      </c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70"/>
    </row>
    <row r="28" spans="1:35" ht="30" hidden="1" customHeight="1" x14ac:dyDescent="0.25">
      <c r="A28" s="82">
        <v>12</v>
      </c>
      <c r="B28" s="648" t="s">
        <v>313</v>
      </c>
      <c r="C28" s="51" t="s">
        <v>314</v>
      </c>
      <c r="D28" s="595"/>
      <c r="E28" s="595"/>
      <c r="F28" s="595"/>
      <c r="G28" s="595"/>
      <c r="H28" s="595"/>
      <c r="I28" s="595"/>
      <c r="J28" s="595"/>
      <c r="K28" s="595">
        <f>15184.594</f>
        <v>15184.593999999999</v>
      </c>
      <c r="L28" s="595"/>
      <c r="M28" s="595"/>
      <c r="N28" s="595"/>
      <c r="O28" s="595">
        <f t="shared" si="1"/>
        <v>15184.593999999999</v>
      </c>
      <c r="P28" s="600"/>
      <c r="Q28" s="603"/>
      <c r="R28" s="603"/>
      <c r="S28" s="603"/>
      <c r="T28" s="603"/>
      <c r="U28" s="604">
        <f t="shared" si="2"/>
        <v>0</v>
      </c>
      <c r="V28" s="605"/>
      <c r="W28" s="606">
        <f t="shared" si="3"/>
        <v>15184.593999999999</v>
      </c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70"/>
    </row>
    <row r="29" spans="1:35" ht="30" hidden="1" customHeight="1" x14ac:dyDescent="0.25">
      <c r="A29" s="82"/>
      <c r="B29" s="136"/>
      <c r="C29" s="28"/>
      <c r="D29" s="595"/>
      <c r="E29" s="595"/>
      <c r="F29" s="595"/>
      <c r="G29" s="595"/>
      <c r="H29" s="595"/>
      <c r="I29" s="595"/>
      <c r="J29" s="595"/>
      <c r="K29" s="595"/>
      <c r="L29" s="595"/>
      <c r="M29" s="595"/>
      <c r="N29" s="595"/>
      <c r="O29" s="595">
        <f t="shared" ref="O29:O39" si="4">SUM(D29:N29)</f>
        <v>0</v>
      </c>
      <c r="P29" s="600"/>
      <c r="Q29" s="595"/>
      <c r="R29" s="603"/>
      <c r="S29" s="603"/>
      <c r="T29" s="603"/>
      <c r="U29" s="604">
        <f t="shared" ref="U29:U39" si="5">SUM(Q29:T29)</f>
        <v>0</v>
      </c>
      <c r="V29" s="605"/>
      <c r="W29" s="606">
        <f t="shared" ref="W29:W39" si="6">O29+U29</f>
        <v>0</v>
      </c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</row>
    <row r="30" spans="1:35" ht="30" hidden="1" customHeight="1" x14ac:dyDescent="0.25">
      <c r="A30" s="82"/>
      <c r="B30" s="136"/>
      <c r="C30" s="28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>
        <f t="shared" si="4"/>
        <v>0</v>
      </c>
      <c r="P30" s="600"/>
      <c r="Q30" s="603"/>
      <c r="R30" s="595"/>
      <c r="S30" s="603"/>
      <c r="T30" s="603"/>
      <c r="U30" s="604">
        <f t="shared" si="5"/>
        <v>0</v>
      </c>
      <c r="V30" s="605"/>
      <c r="W30" s="606">
        <f t="shared" si="6"/>
        <v>0</v>
      </c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</row>
    <row r="31" spans="1:35" ht="30" hidden="1" customHeight="1" x14ac:dyDescent="0.25">
      <c r="A31" s="82"/>
      <c r="B31" s="590"/>
      <c r="C31" s="28"/>
      <c r="D31" s="595"/>
      <c r="E31" s="595"/>
      <c r="F31" s="595"/>
      <c r="G31" s="595"/>
      <c r="H31" s="595"/>
      <c r="I31" s="595"/>
      <c r="J31" s="595"/>
      <c r="K31" s="595"/>
      <c r="L31" s="595"/>
      <c r="M31" s="595"/>
      <c r="N31" s="595"/>
      <c r="O31" s="595">
        <f t="shared" si="4"/>
        <v>0</v>
      </c>
      <c r="P31" s="600"/>
      <c r="Q31" s="603"/>
      <c r="R31" s="603"/>
      <c r="S31" s="603"/>
      <c r="T31" s="603"/>
      <c r="U31" s="604">
        <f t="shared" si="5"/>
        <v>0</v>
      </c>
      <c r="V31" s="605"/>
      <c r="W31" s="606">
        <f t="shared" si="6"/>
        <v>0</v>
      </c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</row>
    <row r="32" spans="1:35" ht="30" hidden="1" customHeight="1" x14ac:dyDescent="0.25">
      <c r="A32" s="82"/>
      <c r="B32" s="136"/>
      <c r="C32" s="28"/>
      <c r="D32" s="595"/>
      <c r="E32" s="595"/>
      <c r="F32" s="595"/>
      <c r="G32" s="595"/>
      <c r="H32" s="595"/>
      <c r="I32" s="595"/>
      <c r="J32" s="595"/>
      <c r="K32" s="595"/>
      <c r="L32" s="595"/>
      <c r="M32" s="595"/>
      <c r="N32" s="595"/>
      <c r="O32" s="595">
        <f t="shared" si="4"/>
        <v>0</v>
      </c>
      <c r="P32" s="600"/>
      <c r="Q32" s="603"/>
      <c r="R32" s="603"/>
      <c r="S32" s="603"/>
      <c r="T32" s="603"/>
      <c r="U32" s="604">
        <f t="shared" si="5"/>
        <v>0</v>
      </c>
      <c r="V32" s="605"/>
      <c r="W32" s="606">
        <f t="shared" si="6"/>
        <v>0</v>
      </c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</row>
    <row r="33" spans="1:35" ht="30" hidden="1" customHeight="1" x14ac:dyDescent="0.25">
      <c r="A33" s="82"/>
      <c r="B33" s="136"/>
      <c r="C33" s="28"/>
      <c r="D33" s="595"/>
      <c r="E33" s="595"/>
      <c r="F33" s="595"/>
      <c r="G33" s="595"/>
      <c r="H33" s="595"/>
      <c r="I33" s="595"/>
      <c r="J33" s="595"/>
      <c r="K33" s="595"/>
      <c r="L33" s="595"/>
      <c r="M33" s="595"/>
      <c r="N33" s="595"/>
      <c r="O33" s="595">
        <f t="shared" si="4"/>
        <v>0</v>
      </c>
      <c r="P33" s="600"/>
      <c r="Q33" s="603"/>
      <c r="R33" s="603"/>
      <c r="S33" s="603"/>
      <c r="T33" s="603"/>
      <c r="U33" s="604">
        <f t="shared" si="5"/>
        <v>0</v>
      </c>
      <c r="V33" s="605"/>
      <c r="W33" s="606">
        <f t="shared" si="6"/>
        <v>0</v>
      </c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5" ht="30" hidden="1" customHeight="1" x14ac:dyDescent="0.25">
      <c r="A34" s="82"/>
      <c r="B34" s="136"/>
      <c r="C34" s="28"/>
      <c r="D34" s="595"/>
      <c r="E34" s="595"/>
      <c r="F34" s="595"/>
      <c r="G34" s="595"/>
      <c r="H34" s="595"/>
      <c r="I34" s="595"/>
      <c r="J34" s="595"/>
      <c r="K34" s="595"/>
      <c r="L34" s="595"/>
      <c r="M34" s="595"/>
      <c r="N34" s="595"/>
      <c r="O34" s="595">
        <f>SUM(D34:N34)</f>
        <v>0</v>
      </c>
      <c r="P34" s="600"/>
      <c r="Q34" s="603"/>
      <c r="R34" s="603"/>
      <c r="S34" s="603"/>
      <c r="T34" s="603"/>
      <c r="U34" s="604">
        <f>SUM(Q34:T34)</f>
        <v>0</v>
      </c>
      <c r="V34" s="605"/>
      <c r="W34" s="606">
        <f>O34+U34</f>
        <v>0</v>
      </c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</row>
    <row r="35" spans="1:35" ht="30" hidden="1" customHeight="1" x14ac:dyDescent="0.25">
      <c r="A35" s="82"/>
      <c r="B35" s="136"/>
      <c r="C35" s="28"/>
      <c r="D35" s="595"/>
      <c r="E35" s="595"/>
      <c r="F35" s="595"/>
      <c r="G35" s="595"/>
      <c r="H35" s="595"/>
      <c r="I35" s="595"/>
      <c r="J35" s="595"/>
      <c r="K35" s="595"/>
      <c r="L35" s="595"/>
      <c r="M35" s="595"/>
      <c r="N35" s="595"/>
      <c r="O35" s="595">
        <f t="shared" si="4"/>
        <v>0</v>
      </c>
      <c r="P35" s="600"/>
      <c r="Q35" s="603"/>
      <c r="R35" s="603"/>
      <c r="S35" s="603"/>
      <c r="T35" s="603"/>
      <c r="U35" s="604">
        <f t="shared" si="5"/>
        <v>0</v>
      </c>
      <c r="V35" s="605"/>
      <c r="W35" s="606">
        <f t="shared" si="6"/>
        <v>0</v>
      </c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70"/>
    </row>
    <row r="36" spans="1:35" ht="30" hidden="1" customHeight="1" x14ac:dyDescent="0.25">
      <c r="A36" s="82"/>
      <c r="B36" s="136"/>
      <c r="C36" s="28"/>
      <c r="D36" s="595"/>
      <c r="E36" s="595"/>
      <c r="F36" s="595"/>
      <c r="G36" s="595"/>
      <c r="H36" s="595"/>
      <c r="I36" s="595"/>
      <c r="J36" s="595"/>
      <c r="K36" s="595"/>
      <c r="L36" s="595"/>
      <c r="M36" s="595"/>
      <c r="N36" s="595"/>
      <c r="O36" s="595">
        <f t="shared" si="4"/>
        <v>0</v>
      </c>
      <c r="P36" s="600"/>
      <c r="Q36" s="603"/>
      <c r="R36" s="603"/>
      <c r="S36" s="603"/>
      <c r="T36" s="603"/>
      <c r="U36" s="604">
        <f t="shared" si="5"/>
        <v>0</v>
      </c>
      <c r="V36" s="605"/>
      <c r="W36" s="606">
        <f t="shared" si="6"/>
        <v>0</v>
      </c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</row>
    <row r="37" spans="1:35" ht="30" hidden="1" customHeight="1" x14ac:dyDescent="0.25">
      <c r="A37" s="82"/>
      <c r="B37" s="136"/>
      <c r="C37" s="28"/>
      <c r="D37" s="595"/>
      <c r="E37" s="595"/>
      <c r="F37" s="595"/>
      <c r="G37" s="595"/>
      <c r="H37" s="595"/>
      <c r="I37" s="595"/>
      <c r="J37" s="595"/>
      <c r="K37" s="595"/>
      <c r="L37" s="595"/>
      <c r="M37" s="595"/>
      <c r="N37" s="595"/>
      <c r="O37" s="595">
        <f t="shared" si="4"/>
        <v>0</v>
      </c>
      <c r="P37" s="600"/>
      <c r="Q37" s="603"/>
      <c r="R37" s="603"/>
      <c r="S37" s="603"/>
      <c r="T37" s="603"/>
      <c r="U37" s="604">
        <f t="shared" si="5"/>
        <v>0</v>
      </c>
      <c r="V37" s="605"/>
      <c r="W37" s="606">
        <f t="shared" si="6"/>
        <v>0</v>
      </c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70"/>
    </row>
    <row r="38" spans="1:35" ht="30" hidden="1" customHeight="1" x14ac:dyDescent="0.25">
      <c r="A38" s="82"/>
      <c r="B38" s="136"/>
      <c r="C38" s="28"/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>
        <f t="shared" si="4"/>
        <v>0</v>
      </c>
      <c r="P38" s="600"/>
      <c r="Q38" s="603"/>
      <c r="R38" s="603"/>
      <c r="S38" s="603"/>
      <c r="T38" s="603"/>
      <c r="U38" s="604">
        <f t="shared" si="5"/>
        <v>0</v>
      </c>
      <c r="V38" s="605"/>
      <c r="W38" s="606">
        <f t="shared" si="6"/>
        <v>0</v>
      </c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0"/>
    </row>
    <row r="39" spans="1:35" ht="30" hidden="1" customHeight="1" x14ac:dyDescent="0.25">
      <c r="A39" s="82"/>
      <c r="B39" s="136"/>
      <c r="C39" s="28"/>
      <c r="D39" s="595"/>
      <c r="E39" s="595"/>
      <c r="F39" s="595"/>
      <c r="G39" s="595"/>
      <c r="H39" s="595"/>
      <c r="I39" s="595"/>
      <c r="J39" s="595"/>
      <c r="K39" s="595"/>
      <c r="L39" s="595"/>
      <c r="M39" s="595"/>
      <c r="N39" s="595"/>
      <c r="O39" s="595">
        <f t="shared" si="4"/>
        <v>0</v>
      </c>
      <c r="P39" s="600"/>
      <c r="Q39" s="603"/>
      <c r="R39" s="603"/>
      <c r="S39" s="603"/>
      <c r="T39" s="603"/>
      <c r="U39" s="604">
        <f t="shared" si="5"/>
        <v>0</v>
      </c>
      <c r="V39" s="605"/>
      <c r="W39" s="606">
        <f t="shared" si="6"/>
        <v>0</v>
      </c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70"/>
    </row>
    <row r="40" spans="1:35" ht="30" hidden="1" customHeight="1" x14ac:dyDescent="0.25">
      <c r="A40" s="82"/>
      <c r="B40" s="136"/>
      <c r="C40" s="39"/>
      <c r="D40" s="595"/>
      <c r="E40" s="595"/>
      <c r="F40" s="595"/>
      <c r="G40" s="595"/>
      <c r="H40" s="595"/>
      <c r="I40" s="595"/>
      <c r="J40" s="595"/>
      <c r="K40" s="595"/>
      <c r="L40" s="595"/>
      <c r="M40" s="595"/>
      <c r="N40" s="595"/>
      <c r="O40" s="595">
        <f>SUM(D40:N40)</f>
        <v>0</v>
      </c>
      <c r="P40" s="600"/>
      <c r="Q40" s="603"/>
      <c r="R40" s="603"/>
      <c r="S40" s="603"/>
      <c r="T40" s="603"/>
      <c r="U40" s="604">
        <f>SUM(Q40:T40)</f>
        <v>0</v>
      </c>
      <c r="V40" s="605"/>
      <c r="W40" s="606">
        <f>O40+U40</f>
        <v>0</v>
      </c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70"/>
    </row>
    <row r="41" spans="1:35" ht="35.1" hidden="1" customHeight="1" thickBot="1" x14ac:dyDescent="0.3">
      <c r="A41" s="68"/>
      <c r="B41" s="118"/>
      <c r="C41" s="28"/>
      <c r="D41" s="600"/>
      <c r="E41" s="600"/>
      <c r="F41" s="600"/>
      <c r="G41" s="600"/>
      <c r="H41" s="600"/>
      <c r="I41" s="600"/>
      <c r="J41" s="600"/>
      <c r="K41" s="600"/>
      <c r="L41" s="600"/>
      <c r="M41" s="600"/>
      <c r="N41" s="600"/>
      <c r="O41" s="595"/>
      <c r="P41" s="600"/>
      <c r="Q41" s="600"/>
      <c r="R41" s="600"/>
      <c r="S41" s="600"/>
      <c r="T41" s="600"/>
      <c r="U41" s="607"/>
      <c r="V41" s="608"/>
      <c r="W41" s="60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70"/>
    </row>
    <row r="42" spans="1:35" ht="35.1" hidden="1" customHeight="1" thickTop="1" thickBot="1" x14ac:dyDescent="0.3">
      <c r="A42" s="35"/>
      <c r="B42" s="36"/>
      <c r="C42" s="44" t="s">
        <v>19</v>
      </c>
      <c r="D42" s="449">
        <f t="shared" ref="D42:O42" si="7">SUM(D17:D41)</f>
        <v>35872.497000000003</v>
      </c>
      <c r="E42" s="449">
        <f t="shared" si="7"/>
        <v>0</v>
      </c>
      <c r="F42" s="449">
        <f t="shared" si="7"/>
        <v>1187</v>
      </c>
      <c r="G42" s="449">
        <f t="shared" si="7"/>
        <v>0</v>
      </c>
      <c r="H42" s="449">
        <f t="shared" si="7"/>
        <v>2268</v>
      </c>
      <c r="I42" s="449">
        <f t="shared" si="7"/>
        <v>500</v>
      </c>
      <c r="J42" s="449">
        <f t="shared" si="7"/>
        <v>0</v>
      </c>
      <c r="K42" s="449">
        <f t="shared" si="7"/>
        <v>15184.593999999999</v>
      </c>
      <c r="L42" s="449">
        <f t="shared" si="7"/>
        <v>162</v>
      </c>
      <c r="M42" s="449">
        <f t="shared" si="7"/>
        <v>0</v>
      </c>
      <c r="N42" s="449">
        <f t="shared" si="7"/>
        <v>0</v>
      </c>
      <c r="O42" s="449">
        <f t="shared" si="7"/>
        <v>55174.091</v>
      </c>
      <c r="P42" s="449"/>
      <c r="Q42" s="449">
        <f>SUM(Q17:Q41)</f>
        <v>3740000</v>
      </c>
      <c r="R42" s="449">
        <f>SUM(R17:R41)</f>
        <v>0</v>
      </c>
      <c r="S42" s="449">
        <f>SUM(S17:S41)</f>
        <v>0</v>
      </c>
      <c r="T42" s="449">
        <f>SUM(T17:T41)</f>
        <v>0</v>
      </c>
      <c r="U42" s="449">
        <f>SUM(U17:U41)</f>
        <v>3740000</v>
      </c>
      <c r="V42" s="450"/>
      <c r="W42" s="451">
        <f>SUM(W17:W41)</f>
        <v>3795174.091</v>
      </c>
    </row>
    <row r="43" spans="1:35" ht="35.1" hidden="1" customHeight="1" thickTop="1" thickBot="1" x14ac:dyDescent="0.3">
      <c r="A43" s="35"/>
      <c r="B43" s="36"/>
      <c r="C43" s="44" t="s">
        <v>154</v>
      </c>
      <c r="D43" s="610">
        <f t="shared" ref="D43:O43" si="8">D16+D42</f>
        <v>2237053.179</v>
      </c>
      <c r="E43" s="610">
        <f t="shared" si="8"/>
        <v>0</v>
      </c>
      <c r="F43" s="610">
        <f t="shared" si="8"/>
        <v>53372</v>
      </c>
      <c r="G43" s="610">
        <f t="shared" si="8"/>
        <v>8490006</v>
      </c>
      <c r="H43" s="610">
        <f t="shared" si="8"/>
        <v>2492010.318</v>
      </c>
      <c r="I43" s="610">
        <f t="shared" si="8"/>
        <v>500</v>
      </c>
      <c r="J43" s="610">
        <f t="shared" si="8"/>
        <v>200000</v>
      </c>
      <c r="K43" s="610">
        <f t="shared" si="8"/>
        <v>15184.593999999999</v>
      </c>
      <c r="L43" s="610">
        <f t="shared" si="8"/>
        <v>1355162</v>
      </c>
      <c r="M43" s="610">
        <f t="shared" si="8"/>
        <v>17800</v>
      </c>
      <c r="N43" s="610">
        <f t="shared" si="8"/>
        <v>0</v>
      </c>
      <c r="O43" s="611">
        <f t="shared" si="8"/>
        <v>14861088.091</v>
      </c>
      <c r="P43" s="611"/>
      <c r="Q43" s="611">
        <f>Q16+Q42</f>
        <v>4390000</v>
      </c>
      <c r="R43" s="611">
        <f>R16+R42</f>
        <v>1173053</v>
      </c>
      <c r="S43" s="611">
        <f>S16+S42</f>
        <v>0</v>
      </c>
      <c r="T43" s="611">
        <f>T16+T42</f>
        <v>0</v>
      </c>
      <c r="U43" s="611">
        <f>U16+U42</f>
        <v>5563053</v>
      </c>
      <c r="V43" s="612"/>
      <c r="W43" s="613">
        <f t="shared" ref="W43:W91" si="9">O43+U43</f>
        <v>20424141.090999998</v>
      </c>
    </row>
    <row r="44" spans="1:35" ht="35.1" hidden="1" customHeight="1" thickTop="1" thickBot="1" x14ac:dyDescent="0.3">
      <c r="A44" s="35"/>
      <c r="B44" s="36"/>
      <c r="C44" s="39" t="s">
        <v>228</v>
      </c>
      <c r="D44" s="610"/>
      <c r="E44" s="610"/>
      <c r="F44" s="610"/>
      <c r="G44" s="610"/>
      <c r="H44" s="610"/>
      <c r="I44" s="610"/>
      <c r="J44" s="610"/>
      <c r="K44" s="610"/>
      <c r="L44" s="610"/>
      <c r="M44" s="610"/>
      <c r="N44" s="611"/>
      <c r="O44" s="611"/>
      <c r="P44" s="611"/>
      <c r="Q44" s="611"/>
      <c r="R44" s="611">
        <v>2359751.4679999999</v>
      </c>
      <c r="S44" s="611"/>
      <c r="T44" s="611"/>
      <c r="U44" s="610">
        <f>SUM(Q44:T44)</f>
        <v>2359751.4679999999</v>
      </c>
      <c r="V44" s="614"/>
      <c r="W44" s="613">
        <f t="shared" si="9"/>
        <v>2359751.4679999999</v>
      </c>
    </row>
    <row r="45" spans="1:35" ht="35.1" hidden="1" customHeight="1" thickTop="1" thickBot="1" x14ac:dyDescent="0.3">
      <c r="A45" s="35"/>
      <c r="B45" s="585" t="s">
        <v>174</v>
      </c>
      <c r="C45" s="44" t="s">
        <v>229</v>
      </c>
      <c r="D45" s="610">
        <f t="shared" ref="D45:O45" si="10">D43+D44</f>
        <v>2237053.179</v>
      </c>
      <c r="E45" s="610">
        <f t="shared" si="10"/>
        <v>0</v>
      </c>
      <c r="F45" s="610">
        <f t="shared" si="10"/>
        <v>53372</v>
      </c>
      <c r="G45" s="610">
        <f t="shared" si="10"/>
        <v>8490006</v>
      </c>
      <c r="H45" s="610">
        <f t="shared" si="10"/>
        <v>2492010.318</v>
      </c>
      <c r="I45" s="610">
        <f t="shared" si="10"/>
        <v>500</v>
      </c>
      <c r="J45" s="610">
        <f t="shared" si="10"/>
        <v>200000</v>
      </c>
      <c r="K45" s="610">
        <f t="shared" si="10"/>
        <v>15184.593999999999</v>
      </c>
      <c r="L45" s="610">
        <f t="shared" si="10"/>
        <v>1355162</v>
      </c>
      <c r="M45" s="610">
        <f t="shared" si="10"/>
        <v>17800</v>
      </c>
      <c r="N45" s="610">
        <f t="shared" si="10"/>
        <v>0</v>
      </c>
      <c r="O45" s="611">
        <f t="shared" si="10"/>
        <v>14861088.091</v>
      </c>
      <c r="P45" s="611"/>
      <c r="Q45" s="611">
        <f>Q43+Q44</f>
        <v>4390000</v>
      </c>
      <c r="R45" s="611">
        <f>R43+R44</f>
        <v>3532804.4679999999</v>
      </c>
      <c r="S45" s="611">
        <f>S43+S44</f>
        <v>0</v>
      </c>
      <c r="T45" s="611">
        <f>T43+T44</f>
        <v>0</v>
      </c>
      <c r="U45" s="610">
        <f>U43+U44</f>
        <v>7922804.4680000003</v>
      </c>
      <c r="V45" s="614"/>
      <c r="W45" s="613">
        <f t="shared" si="9"/>
        <v>22783892.559</v>
      </c>
    </row>
    <row r="46" spans="1:35" ht="24.95" hidden="1" customHeight="1" x14ac:dyDescent="0.25">
      <c r="A46" s="22"/>
      <c r="B46" s="23"/>
      <c r="C46" s="219" t="s">
        <v>18</v>
      </c>
      <c r="D46" s="25">
        <f t="shared" ref="D46:T46" si="11">D45</f>
        <v>2237053.179</v>
      </c>
      <c r="E46" s="25">
        <f t="shared" si="11"/>
        <v>0</v>
      </c>
      <c r="F46" s="25">
        <f t="shared" si="11"/>
        <v>53372</v>
      </c>
      <c r="G46" s="25">
        <f t="shared" si="11"/>
        <v>8490006</v>
      </c>
      <c r="H46" s="25">
        <f t="shared" si="11"/>
        <v>2492010.318</v>
      </c>
      <c r="I46" s="25">
        <f t="shared" si="11"/>
        <v>500</v>
      </c>
      <c r="J46" s="25">
        <f t="shared" si="11"/>
        <v>200000</v>
      </c>
      <c r="K46" s="25">
        <f t="shared" si="11"/>
        <v>15184.593999999999</v>
      </c>
      <c r="L46" s="25">
        <f t="shared" si="11"/>
        <v>1355162</v>
      </c>
      <c r="M46" s="25">
        <f t="shared" si="11"/>
        <v>17800</v>
      </c>
      <c r="N46" s="25">
        <f t="shared" si="11"/>
        <v>0</v>
      </c>
      <c r="O46" s="25">
        <f t="shared" si="11"/>
        <v>14861088.091</v>
      </c>
      <c r="P46" s="25"/>
      <c r="Q46" s="25">
        <f t="shared" si="11"/>
        <v>4390000</v>
      </c>
      <c r="R46" s="25">
        <f>R45-0.468</f>
        <v>3532804</v>
      </c>
      <c r="S46" s="25">
        <f>S45</f>
        <v>0</v>
      </c>
      <c r="T46" s="25">
        <f t="shared" si="11"/>
        <v>0</v>
      </c>
      <c r="U46" s="25">
        <f>U45-0.468</f>
        <v>7922804</v>
      </c>
      <c r="V46" s="140"/>
      <c r="W46" s="418">
        <f t="shared" si="9"/>
        <v>22783892.090999998</v>
      </c>
    </row>
    <row r="47" spans="1:35" ht="24.95" hidden="1" customHeight="1" x14ac:dyDescent="0.2">
      <c r="A47" s="225">
        <v>1</v>
      </c>
      <c r="B47" s="482" t="s">
        <v>353</v>
      </c>
      <c r="C47" s="28" t="s">
        <v>354</v>
      </c>
      <c r="D47" s="169"/>
      <c r="E47" s="169"/>
      <c r="F47" s="169"/>
      <c r="G47" s="169"/>
      <c r="H47" s="169"/>
      <c r="I47" s="169"/>
      <c r="J47" s="169"/>
      <c r="K47" s="169">
        <f>38301.418+33121.193</f>
        <v>71422.611000000004</v>
      </c>
      <c r="L47" s="169"/>
      <c r="M47" s="169"/>
      <c r="N47" s="169"/>
      <c r="O47" s="169">
        <f t="shared" ref="O47:O90" si="12">SUM(D47:N47)</f>
        <v>71422.611000000004</v>
      </c>
      <c r="P47" s="169"/>
      <c r="Q47" s="169"/>
      <c r="R47" s="169"/>
      <c r="S47" s="169"/>
      <c r="T47" s="169"/>
      <c r="U47" s="169">
        <f t="shared" ref="U47:U90" si="13">SUM(Q47:T47)</f>
        <v>0</v>
      </c>
      <c r="V47" s="430"/>
      <c r="W47" s="419">
        <f t="shared" si="9"/>
        <v>71422.611000000004</v>
      </c>
    </row>
    <row r="48" spans="1:35" ht="24.95" hidden="1" customHeight="1" x14ac:dyDescent="0.2">
      <c r="A48" s="225">
        <v>2</v>
      </c>
      <c r="B48" s="482" t="s">
        <v>355</v>
      </c>
      <c r="C48" s="41" t="s">
        <v>356</v>
      </c>
      <c r="D48" s="169"/>
      <c r="E48" s="169"/>
      <c r="F48" s="169"/>
      <c r="H48" s="169">
        <f>3840</f>
        <v>3840</v>
      </c>
      <c r="I48" s="169"/>
      <c r="J48" s="169"/>
      <c r="K48" s="169"/>
      <c r="L48" s="169"/>
      <c r="M48" s="169"/>
      <c r="N48" s="169"/>
      <c r="O48" s="169">
        <f t="shared" si="12"/>
        <v>3840</v>
      </c>
      <c r="P48" s="169"/>
      <c r="Q48" s="169"/>
      <c r="R48" s="169"/>
      <c r="S48" s="169"/>
      <c r="T48" s="169"/>
      <c r="U48" s="169">
        <f t="shared" si="13"/>
        <v>0</v>
      </c>
      <c r="V48" s="430"/>
      <c r="W48" s="419">
        <f t="shared" si="9"/>
        <v>3840</v>
      </c>
    </row>
    <row r="49" spans="1:23" ht="24.95" hidden="1" customHeight="1" x14ac:dyDescent="0.2">
      <c r="A49" s="225">
        <v>3</v>
      </c>
      <c r="B49" s="482" t="s">
        <v>361</v>
      </c>
      <c r="C49" s="41" t="s">
        <v>362</v>
      </c>
      <c r="D49" s="169"/>
      <c r="E49" s="169"/>
      <c r="F49" s="169"/>
      <c r="G49" s="169"/>
      <c r="H49" s="169"/>
      <c r="I49" s="169">
        <f>478</f>
        <v>478</v>
      </c>
      <c r="J49" s="169"/>
      <c r="K49" s="169"/>
      <c r="L49" s="169"/>
      <c r="M49" s="169"/>
      <c r="N49" s="169"/>
      <c r="O49" s="169">
        <f t="shared" si="12"/>
        <v>478</v>
      </c>
      <c r="P49" s="169"/>
      <c r="Q49" s="169"/>
      <c r="R49" s="169"/>
      <c r="S49" s="169"/>
      <c r="T49" s="169"/>
      <c r="U49" s="169">
        <f t="shared" si="13"/>
        <v>0</v>
      </c>
      <c r="V49" s="430"/>
      <c r="W49" s="419">
        <f t="shared" si="9"/>
        <v>478</v>
      </c>
    </row>
    <row r="50" spans="1:23" ht="24.95" hidden="1" customHeight="1" x14ac:dyDescent="0.2">
      <c r="A50" s="225">
        <v>4</v>
      </c>
      <c r="B50" s="663" t="s">
        <v>370</v>
      </c>
      <c r="C50" s="41" t="s">
        <v>371</v>
      </c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>
        <f t="shared" si="12"/>
        <v>0</v>
      </c>
      <c r="P50" s="169"/>
      <c r="Q50" s="169"/>
      <c r="R50" s="169">
        <f>0.468</f>
        <v>0.46800000000000003</v>
      </c>
      <c r="S50" s="169"/>
      <c r="T50" s="169"/>
      <c r="U50" s="169">
        <f t="shared" si="13"/>
        <v>0.46800000000000003</v>
      </c>
      <c r="V50" s="430"/>
      <c r="W50" s="419">
        <f t="shared" si="9"/>
        <v>0.46800000000000003</v>
      </c>
    </row>
    <row r="51" spans="1:23" ht="24.95" hidden="1" customHeight="1" x14ac:dyDescent="0.2">
      <c r="A51" s="225">
        <v>5</v>
      </c>
      <c r="B51" s="663" t="s">
        <v>373</v>
      </c>
      <c r="C51" s="41" t="s">
        <v>372</v>
      </c>
      <c r="D51" s="169"/>
      <c r="E51" s="169">
        <f>87740</f>
        <v>87740</v>
      </c>
      <c r="F51" s="169"/>
      <c r="G51" s="169"/>
      <c r="H51" s="169"/>
      <c r="I51" s="169"/>
      <c r="J51" s="169"/>
      <c r="K51" s="169"/>
      <c r="L51" s="169"/>
      <c r="M51" s="169"/>
      <c r="N51" s="169"/>
      <c r="O51" s="169">
        <f t="shared" si="12"/>
        <v>87740</v>
      </c>
      <c r="P51" s="169"/>
      <c r="Q51" s="169"/>
      <c r="R51" s="169"/>
      <c r="S51" s="169"/>
      <c r="T51" s="169"/>
      <c r="U51" s="169">
        <f t="shared" si="13"/>
        <v>0</v>
      </c>
      <c r="V51" s="430"/>
      <c r="W51" s="419">
        <f t="shared" si="9"/>
        <v>87740</v>
      </c>
    </row>
    <row r="52" spans="1:23" ht="24.95" hidden="1" customHeight="1" x14ac:dyDescent="0.2">
      <c r="A52" s="225">
        <v>6</v>
      </c>
      <c r="B52" s="663" t="s">
        <v>374</v>
      </c>
      <c r="C52" s="41" t="s">
        <v>297</v>
      </c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>
        <f t="shared" si="12"/>
        <v>0</v>
      </c>
      <c r="P52" s="169"/>
      <c r="Q52" s="169">
        <v>1700000</v>
      </c>
      <c r="R52" s="169"/>
      <c r="S52" s="169"/>
      <c r="T52" s="169"/>
      <c r="U52" s="169">
        <f t="shared" si="13"/>
        <v>1700000</v>
      </c>
      <c r="V52" s="430"/>
      <c r="W52" s="419">
        <f t="shared" si="9"/>
        <v>1700000</v>
      </c>
    </row>
    <row r="53" spans="1:23" ht="24.95" hidden="1" customHeight="1" x14ac:dyDescent="0.2">
      <c r="A53" s="225">
        <v>7</v>
      </c>
      <c r="B53" s="664" t="s">
        <v>375</v>
      </c>
      <c r="C53" s="41" t="s">
        <v>376</v>
      </c>
      <c r="D53" s="169"/>
      <c r="E53" s="169"/>
      <c r="F53" s="169"/>
      <c r="G53" s="169"/>
      <c r="H53" s="169"/>
      <c r="I53" s="169">
        <v>2700</v>
      </c>
      <c r="J53" s="169"/>
      <c r="K53" s="169"/>
      <c r="L53" s="169"/>
      <c r="M53" s="169"/>
      <c r="N53" s="169"/>
      <c r="O53" s="169">
        <f t="shared" si="12"/>
        <v>2700</v>
      </c>
      <c r="P53" s="169"/>
      <c r="Q53" s="169"/>
      <c r="R53" s="169"/>
      <c r="S53" s="169"/>
      <c r="T53" s="169"/>
      <c r="U53" s="169">
        <f t="shared" si="13"/>
        <v>0</v>
      </c>
      <c r="V53" s="430"/>
      <c r="W53" s="419">
        <f t="shared" si="9"/>
        <v>2700</v>
      </c>
    </row>
    <row r="54" spans="1:23" ht="34.5" hidden="1" customHeight="1" x14ac:dyDescent="0.2">
      <c r="A54" s="225">
        <v>8</v>
      </c>
      <c r="B54" s="663" t="s">
        <v>381</v>
      </c>
      <c r="C54" s="41" t="s">
        <v>386</v>
      </c>
      <c r="D54" s="169">
        <f>4816.56</f>
        <v>4816.5600000000004</v>
      </c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>
        <f t="shared" si="12"/>
        <v>4816.5600000000004</v>
      </c>
      <c r="P54" s="169"/>
      <c r="Q54" s="169"/>
      <c r="R54" s="169"/>
      <c r="S54" s="169"/>
      <c r="T54" s="169"/>
      <c r="U54" s="169">
        <f t="shared" si="13"/>
        <v>0</v>
      </c>
      <c r="V54" s="430"/>
      <c r="W54" s="419">
        <f t="shared" si="9"/>
        <v>4816.5600000000004</v>
      </c>
    </row>
    <row r="55" spans="1:23" ht="30" hidden="1" customHeight="1" x14ac:dyDescent="0.2">
      <c r="A55" s="225">
        <v>9</v>
      </c>
      <c r="B55" s="664" t="s">
        <v>383</v>
      </c>
      <c r="C55" s="41" t="s">
        <v>384</v>
      </c>
      <c r="D55" s="169">
        <v>4976.6239999999998</v>
      </c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>
        <f t="shared" si="12"/>
        <v>4976.6239999999998</v>
      </c>
      <c r="P55" s="169"/>
      <c r="Q55" s="169"/>
      <c r="R55" s="169"/>
      <c r="S55" s="169"/>
      <c r="T55" s="169"/>
      <c r="U55" s="169">
        <f t="shared" si="13"/>
        <v>0</v>
      </c>
      <c r="V55" s="430"/>
      <c r="W55" s="419">
        <f t="shared" si="9"/>
        <v>4976.6239999999998</v>
      </c>
    </row>
    <row r="56" spans="1:23" ht="30" hidden="1" customHeight="1" x14ac:dyDescent="0.2">
      <c r="A56" s="225">
        <v>10</v>
      </c>
      <c r="B56" s="664" t="s">
        <v>394</v>
      </c>
      <c r="C56" s="28" t="s">
        <v>276</v>
      </c>
      <c r="D56" s="169">
        <v>1913.8140000000001</v>
      </c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>
        <f t="shared" si="12"/>
        <v>1913.8140000000001</v>
      </c>
      <c r="P56" s="169"/>
      <c r="Q56" s="169"/>
      <c r="R56" s="169"/>
      <c r="S56" s="169"/>
      <c r="T56" s="169"/>
      <c r="U56" s="169">
        <f t="shared" ref="U56" si="14">SUM(Q56:T56)</f>
        <v>0</v>
      </c>
      <c r="V56" s="430"/>
      <c r="W56" s="419">
        <f t="shared" ref="W56" si="15">O56+U56</f>
        <v>1913.8140000000001</v>
      </c>
    </row>
    <row r="57" spans="1:23" ht="34.5" hidden="1" customHeight="1" x14ac:dyDescent="0.2">
      <c r="A57" s="225">
        <v>11</v>
      </c>
      <c r="B57" s="663" t="s">
        <v>385</v>
      </c>
      <c r="C57" s="41" t="s">
        <v>387</v>
      </c>
      <c r="D57" s="169">
        <v>23507.260999999999</v>
      </c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>
        <f t="shared" si="12"/>
        <v>23507.260999999999</v>
      </c>
      <c r="P57" s="169"/>
      <c r="Q57" s="169"/>
      <c r="R57" s="169"/>
      <c r="S57" s="169"/>
      <c r="T57" s="169"/>
      <c r="U57" s="169">
        <f t="shared" si="13"/>
        <v>0</v>
      </c>
      <c r="V57" s="430"/>
      <c r="W57" s="419">
        <f t="shared" si="9"/>
        <v>23507.260999999999</v>
      </c>
    </row>
    <row r="58" spans="1:23" ht="34.5" hidden="1" customHeight="1" x14ac:dyDescent="0.2">
      <c r="A58" s="225">
        <v>12</v>
      </c>
      <c r="B58" s="663" t="s">
        <v>388</v>
      </c>
      <c r="C58" s="41" t="s">
        <v>389</v>
      </c>
      <c r="D58" s="169">
        <v>7290.7740000000003</v>
      </c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9">
        <f t="shared" si="12"/>
        <v>7290.7740000000003</v>
      </c>
      <c r="P58" s="169"/>
      <c r="Q58" s="169"/>
      <c r="R58" s="169"/>
      <c r="S58" s="169"/>
      <c r="T58" s="169"/>
      <c r="U58" s="169">
        <f t="shared" si="13"/>
        <v>0</v>
      </c>
      <c r="V58" s="430"/>
      <c r="W58" s="419">
        <f t="shared" si="9"/>
        <v>7290.7740000000003</v>
      </c>
    </row>
    <row r="59" spans="1:23" ht="24.95" hidden="1" customHeight="1" x14ac:dyDescent="0.2">
      <c r="A59" s="225">
        <v>13</v>
      </c>
      <c r="B59" s="665" t="s">
        <v>434</v>
      </c>
      <c r="C59" s="28" t="s">
        <v>249</v>
      </c>
      <c r="D59" s="169"/>
      <c r="E59" s="169"/>
      <c r="F59" s="169"/>
      <c r="G59" s="169"/>
      <c r="H59" s="169">
        <f>1400+378</f>
        <v>1778</v>
      </c>
      <c r="I59" s="169"/>
      <c r="J59" s="169"/>
      <c r="K59" s="169"/>
      <c r="L59" s="169"/>
      <c r="M59" s="169"/>
      <c r="N59" s="169"/>
      <c r="O59" s="169">
        <f t="shared" si="12"/>
        <v>1778</v>
      </c>
      <c r="P59" s="169"/>
      <c r="Q59" s="169"/>
      <c r="R59" s="169"/>
      <c r="S59" s="169"/>
      <c r="T59" s="169"/>
      <c r="U59" s="169">
        <f t="shared" si="13"/>
        <v>0</v>
      </c>
      <c r="V59" s="430"/>
      <c r="W59" s="419">
        <f t="shared" si="9"/>
        <v>1778</v>
      </c>
    </row>
    <row r="60" spans="1:23" ht="24.95" hidden="1" customHeight="1" x14ac:dyDescent="0.2">
      <c r="A60" s="225">
        <v>14</v>
      </c>
      <c r="B60" s="665" t="s">
        <v>447</v>
      </c>
      <c r="C60" s="28" t="s">
        <v>446</v>
      </c>
      <c r="D60" s="169"/>
      <c r="E60" s="169">
        <f>2118.422</f>
        <v>2118.422</v>
      </c>
      <c r="F60" s="169"/>
      <c r="G60" s="169"/>
      <c r="H60" s="169"/>
      <c r="I60" s="169"/>
      <c r="J60" s="169"/>
      <c r="K60" s="169"/>
      <c r="L60" s="169"/>
      <c r="M60" s="169"/>
      <c r="N60" s="169"/>
      <c r="O60" s="169">
        <f t="shared" si="12"/>
        <v>2118.422</v>
      </c>
      <c r="P60" s="169"/>
      <c r="Q60" s="169"/>
      <c r="R60" s="169"/>
      <c r="S60" s="169"/>
      <c r="T60" s="169"/>
      <c r="U60" s="169">
        <f t="shared" si="13"/>
        <v>0</v>
      </c>
      <c r="V60" s="430"/>
      <c r="W60" s="419">
        <f t="shared" si="9"/>
        <v>2118.422</v>
      </c>
    </row>
    <row r="61" spans="1:23" ht="24.95" hidden="1" customHeight="1" x14ac:dyDescent="0.2">
      <c r="A61" s="225">
        <v>15</v>
      </c>
      <c r="B61" s="665" t="s">
        <v>448</v>
      </c>
      <c r="C61" s="28" t="s">
        <v>450</v>
      </c>
      <c r="D61" s="169"/>
      <c r="E61" s="169"/>
      <c r="F61" s="169"/>
      <c r="G61" s="169"/>
      <c r="H61" s="169"/>
      <c r="I61" s="169">
        <f>100</f>
        <v>100</v>
      </c>
      <c r="J61" s="169"/>
      <c r="K61" s="169"/>
      <c r="L61" s="169"/>
      <c r="M61" s="169"/>
      <c r="N61" s="169"/>
      <c r="O61" s="169">
        <f t="shared" si="12"/>
        <v>100</v>
      </c>
      <c r="P61" s="169"/>
      <c r="Q61" s="169"/>
      <c r="R61" s="169"/>
      <c r="S61" s="169"/>
      <c r="T61" s="169"/>
      <c r="U61" s="169">
        <f t="shared" si="13"/>
        <v>0</v>
      </c>
      <c r="V61" s="430"/>
      <c r="W61" s="419">
        <f t="shared" si="9"/>
        <v>100</v>
      </c>
    </row>
    <row r="62" spans="1:23" ht="24.95" hidden="1" customHeight="1" x14ac:dyDescent="0.2">
      <c r="A62" s="225">
        <v>16</v>
      </c>
      <c r="B62" s="664" t="s">
        <v>441</v>
      </c>
      <c r="C62" s="28" t="s">
        <v>442</v>
      </c>
      <c r="D62" s="169"/>
      <c r="E62" s="169"/>
      <c r="F62" s="169"/>
      <c r="G62" s="169"/>
      <c r="H62" s="169">
        <f>3755.635</f>
        <v>3755.6350000000002</v>
      </c>
      <c r="I62" s="169"/>
      <c r="J62" s="169"/>
      <c r="K62" s="169"/>
      <c r="L62" s="169"/>
      <c r="M62" s="169"/>
      <c r="N62" s="169"/>
      <c r="O62" s="169">
        <f t="shared" si="12"/>
        <v>3755.6350000000002</v>
      </c>
      <c r="P62" s="169"/>
      <c r="Q62" s="169"/>
      <c r="R62" s="169"/>
      <c r="S62" s="169"/>
      <c r="T62" s="169"/>
      <c r="U62" s="169">
        <f t="shared" si="13"/>
        <v>0</v>
      </c>
      <c r="V62" s="430"/>
      <c r="W62" s="419">
        <f t="shared" si="9"/>
        <v>3755.6350000000002</v>
      </c>
    </row>
    <row r="63" spans="1:23" ht="24.95" hidden="1" customHeight="1" x14ac:dyDescent="0.2">
      <c r="A63" s="225">
        <v>17</v>
      </c>
      <c r="B63" s="192" t="s">
        <v>453</v>
      </c>
      <c r="C63" s="28" t="s">
        <v>454</v>
      </c>
      <c r="D63" s="169"/>
      <c r="E63" s="169"/>
      <c r="F63" s="169"/>
      <c r="G63" s="169"/>
      <c r="H63" s="169"/>
      <c r="I63" s="169"/>
      <c r="J63" s="169"/>
      <c r="K63" s="169"/>
      <c r="L63" s="169">
        <f>8181</f>
        <v>8181</v>
      </c>
      <c r="M63" s="169"/>
      <c r="N63" s="169"/>
      <c r="O63" s="169">
        <f t="shared" si="12"/>
        <v>8181</v>
      </c>
      <c r="P63" s="169"/>
      <c r="Q63" s="169"/>
      <c r="R63" s="169"/>
      <c r="S63" s="169"/>
      <c r="T63" s="169"/>
      <c r="U63" s="169">
        <f t="shared" si="13"/>
        <v>0</v>
      </c>
      <c r="V63" s="430"/>
      <c r="W63" s="419">
        <f t="shared" si="9"/>
        <v>8181</v>
      </c>
    </row>
    <row r="64" spans="1:23" ht="24.95" hidden="1" customHeight="1" x14ac:dyDescent="0.2">
      <c r="A64" s="225">
        <v>18</v>
      </c>
      <c r="B64" s="675" t="s">
        <v>455</v>
      </c>
      <c r="C64" s="28" t="s">
        <v>456</v>
      </c>
      <c r="D64" s="169"/>
      <c r="E64" s="169"/>
      <c r="F64" s="169"/>
      <c r="G64" s="169">
        <f>300</f>
        <v>300</v>
      </c>
      <c r="H64" s="169">
        <f>18+222+27+55+23+905+9+11+565+30+334+109+219+960+420+38+4</f>
        <v>3949</v>
      </c>
      <c r="I64" s="169"/>
      <c r="J64" s="169"/>
      <c r="K64" s="169"/>
      <c r="L64" s="169"/>
      <c r="M64" s="169"/>
      <c r="N64" s="169"/>
      <c r="O64" s="169">
        <f t="shared" si="12"/>
        <v>4249</v>
      </c>
      <c r="P64" s="169"/>
      <c r="Q64" s="169"/>
      <c r="R64" s="169"/>
      <c r="S64" s="169"/>
      <c r="T64" s="169"/>
      <c r="U64" s="169">
        <f t="shared" si="13"/>
        <v>0</v>
      </c>
      <c r="V64" s="430"/>
      <c r="W64" s="419">
        <f t="shared" si="9"/>
        <v>4249</v>
      </c>
    </row>
    <row r="65" spans="1:23" ht="24.95" hidden="1" customHeight="1" x14ac:dyDescent="0.2">
      <c r="A65" s="225">
        <v>19</v>
      </c>
      <c r="B65" s="676" t="s">
        <v>458</v>
      </c>
      <c r="C65" s="41" t="s">
        <v>457</v>
      </c>
      <c r="D65" s="169">
        <f>5503.915</f>
        <v>5503.915</v>
      </c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>
        <f t="shared" si="12"/>
        <v>5503.915</v>
      </c>
      <c r="P65" s="169"/>
      <c r="Q65" s="169"/>
      <c r="R65" s="169"/>
      <c r="S65" s="169"/>
      <c r="T65" s="169"/>
      <c r="U65" s="169">
        <f t="shared" si="13"/>
        <v>0</v>
      </c>
      <c r="V65" s="430"/>
      <c r="W65" s="419">
        <f t="shared" si="9"/>
        <v>5503.915</v>
      </c>
    </row>
    <row r="66" spans="1:23" ht="24.95" hidden="1" customHeight="1" x14ac:dyDescent="0.2">
      <c r="A66" s="225">
        <v>20</v>
      </c>
      <c r="B66" s="192" t="s">
        <v>486</v>
      </c>
      <c r="C66" s="41" t="s">
        <v>487</v>
      </c>
      <c r="D66" s="169"/>
      <c r="E66" s="169"/>
      <c r="F66" s="169"/>
      <c r="G66" s="169"/>
      <c r="H66" s="169"/>
      <c r="I66" s="169"/>
      <c r="J66" s="169"/>
      <c r="K66" s="169">
        <f>1500</f>
        <v>1500</v>
      </c>
      <c r="L66" s="169"/>
      <c r="M66" s="169"/>
      <c r="N66" s="169"/>
      <c r="O66" s="169">
        <f t="shared" si="12"/>
        <v>1500</v>
      </c>
      <c r="P66" s="169"/>
      <c r="Q66" s="169"/>
      <c r="R66" s="169"/>
      <c r="S66" s="169"/>
      <c r="T66" s="169"/>
      <c r="U66" s="169">
        <f t="shared" si="13"/>
        <v>0</v>
      </c>
      <c r="V66" s="430"/>
      <c r="W66" s="419">
        <f t="shared" si="9"/>
        <v>1500</v>
      </c>
    </row>
    <row r="67" spans="1:23" ht="33" hidden="1" customHeight="1" x14ac:dyDescent="0.2">
      <c r="A67" s="225">
        <v>21</v>
      </c>
      <c r="B67" s="675" t="s">
        <v>488</v>
      </c>
      <c r="C67" s="41" t="s">
        <v>489</v>
      </c>
      <c r="D67" s="169"/>
      <c r="E67" s="169"/>
      <c r="F67" s="169"/>
      <c r="G67" s="169">
        <f>-65000</f>
        <v>-65000</v>
      </c>
      <c r="H67" s="169"/>
      <c r="I67" s="169"/>
      <c r="J67" s="169"/>
      <c r="K67" s="169"/>
      <c r="L67" s="169"/>
      <c r="M67" s="169"/>
      <c r="N67" s="169"/>
      <c r="O67" s="169">
        <f t="shared" si="12"/>
        <v>-65000</v>
      </c>
      <c r="P67" s="169"/>
      <c r="Q67" s="169"/>
      <c r="R67" s="169"/>
      <c r="S67" s="169"/>
      <c r="T67" s="169"/>
      <c r="U67" s="169">
        <f t="shared" si="13"/>
        <v>0</v>
      </c>
      <c r="V67" s="430"/>
      <c r="W67" s="419">
        <f t="shared" si="9"/>
        <v>-65000</v>
      </c>
    </row>
    <row r="68" spans="1:23" ht="24.95" hidden="1" customHeight="1" x14ac:dyDescent="0.2">
      <c r="A68" s="225">
        <v>22</v>
      </c>
      <c r="B68" s="192" t="s">
        <v>491</v>
      </c>
      <c r="C68" s="124" t="s">
        <v>490</v>
      </c>
      <c r="D68" s="169"/>
      <c r="E68" s="169"/>
      <c r="F68" s="169"/>
      <c r="G68" s="169"/>
      <c r="H68" s="169"/>
      <c r="I68" s="169"/>
      <c r="J68" s="169"/>
      <c r="K68" s="169"/>
      <c r="L68" s="169">
        <f>120</f>
        <v>120</v>
      </c>
      <c r="M68" s="169"/>
      <c r="N68" s="169"/>
      <c r="O68" s="169">
        <f t="shared" si="12"/>
        <v>120</v>
      </c>
      <c r="P68" s="169"/>
      <c r="Q68" s="169"/>
      <c r="R68" s="169"/>
      <c r="S68" s="169"/>
      <c r="T68" s="169"/>
      <c r="U68" s="169">
        <f t="shared" si="13"/>
        <v>0</v>
      </c>
      <c r="V68" s="430"/>
      <c r="W68" s="419">
        <f t="shared" si="9"/>
        <v>120</v>
      </c>
    </row>
    <row r="69" spans="1:23" ht="24.95" hidden="1" customHeight="1" x14ac:dyDescent="0.2">
      <c r="A69" s="225">
        <v>23</v>
      </c>
      <c r="B69" s="192" t="s">
        <v>495</v>
      </c>
      <c r="C69" s="124" t="s">
        <v>494</v>
      </c>
      <c r="D69" s="169">
        <f>17594.298</f>
        <v>17594.297999999999</v>
      </c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>
        <f t="shared" si="12"/>
        <v>17594.297999999999</v>
      </c>
      <c r="P69" s="169"/>
      <c r="Q69" s="169"/>
      <c r="R69" s="169"/>
      <c r="S69" s="169"/>
      <c r="T69" s="169"/>
      <c r="U69" s="169">
        <f t="shared" si="13"/>
        <v>0</v>
      </c>
      <c r="V69" s="430"/>
      <c r="W69" s="419">
        <f t="shared" si="9"/>
        <v>17594.297999999999</v>
      </c>
    </row>
    <row r="70" spans="1:23" ht="24.95" hidden="1" customHeight="1" x14ac:dyDescent="0.2">
      <c r="A70" s="225">
        <v>24</v>
      </c>
      <c r="B70" s="675" t="s">
        <v>501</v>
      </c>
      <c r="C70" s="41" t="s">
        <v>500</v>
      </c>
      <c r="D70" s="169"/>
      <c r="E70" s="169"/>
      <c r="F70" s="169"/>
      <c r="G70" s="169"/>
      <c r="H70" s="169"/>
      <c r="I70" s="169">
        <f>300</f>
        <v>300</v>
      </c>
      <c r="J70" s="169"/>
      <c r="K70" s="169"/>
      <c r="L70" s="169"/>
      <c r="M70" s="169"/>
      <c r="N70" s="169"/>
      <c r="O70" s="169">
        <f t="shared" si="12"/>
        <v>300</v>
      </c>
      <c r="P70" s="169"/>
      <c r="Q70" s="169"/>
      <c r="R70" s="169"/>
      <c r="S70" s="169"/>
      <c r="T70" s="169"/>
      <c r="U70" s="169">
        <f t="shared" si="13"/>
        <v>0</v>
      </c>
      <c r="V70" s="430"/>
      <c r="W70" s="419">
        <f t="shared" si="9"/>
        <v>300</v>
      </c>
    </row>
    <row r="71" spans="1:23" ht="24.95" hidden="1" customHeight="1" x14ac:dyDescent="0.2">
      <c r="A71" s="225">
        <v>25</v>
      </c>
      <c r="B71" s="192" t="s">
        <v>514</v>
      </c>
      <c r="C71" s="41" t="s">
        <v>249</v>
      </c>
      <c r="D71" s="169"/>
      <c r="E71" s="169"/>
      <c r="F71" s="169"/>
      <c r="G71" s="169"/>
      <c r="H71" s="169">
        <f>700+189</f>
        <v>889</v>
      </c>
      <c r="I71" s="169"/>
      <c r="J71" s="169"/>
      <c r="K71" s="169"/>
      <c r="L71" s="169"/>
      <c r="M71" s="169"/>
      <c r="N71" s="169"/>
      <c r="O71" s="169">
        <f t="shared" si="12"/>
        <v>889</v>
      </c>
      <c r="P71" s="169"/>
      <c r="Q71" s="169"/>
      <c r="R71" s="169"/>
      <c r="S71" s="169"/>
      <c r="T71" s="169"/>
      <c r="U71" s="169">
        <f t="shared" si="13"/>
        <v>0</v>
      </c>
      <c r="V71" s="430"/>
      <c r="W71" s="419">
        <f t="shared" si="9"/>
        <v>889</v>
      </c>
    </row>
    <row r="72" spans="1:23" ht="24.95" hidden="1" customHeight="1" x14ac:dyDescent="0.2">
      <c r="A72" s="225">
        <v>26</v>
      </c>
      <c r="B72" s="31" t="s">
        <v>519</v>
      </c>
      <c r="C72" s="41" t="s">
        <v>249</v>
      </c>
      <c r="D72" s="169"/>
      <c r="E72" s="169"/>
      <c r="F72" s="169"/>
      <c r="G72" s="169"/>
      <c r="H72" s="169">
        <f>700+189</f>
        <v>889</v>
      </c>
      <c r="I72" s="169"/>
      <c r="J72" s="169"/>
      <c r="K72" s="169"/>
      <c r="L72" s="169"/>
      <c r="M72" s="169"/>
      <c r="N72" s="169"/>
      <c r="O72" s="169">
        <f t="shared" si="12"/>
        <v>889</v>
      </c>
      <c r="P72" s="169"/>
      <c r="Q72" s="169"/>
      <c r="R72" s="169"/>
      <c r="S72" s="169"/>
      <c r="T72" s="169"/>
      <c r="U72" s="169">
        <f t="shared" si="13"/>
        <v>0</v>
      </c>
      <c r="V72" s="430"/>
      <c r="W72" s="419">
        <f t="shared" si="9"/>
        <v>889</v>
      </c>
    </row>
    <row r="73" spans="1:23" ht="24.95" hidden="1" customHeight="1" x14ac:dyDescent="0.2">
      <c r="A73" s="225">
        <v>27</v>
      </c>
      <c r="B73" s="227" t="s">
        <v>523</v>
      </c>
      <c r="C73" s="41" t="s">
        <v>513</v>
      </c>
      <c r="D73" s="169">
        <v>50362.409</v>
      </c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>
        <f t="shared" si="12"/>
        <v>50362.409</v>
      </c>
      <c r="P73" s="169"/>
      <c r="Q73" s="169"/>
      <c r="R73" s="169"/>
      <c r="S73" s="169"/>
      <c r="T73" s="169"/>
      <c r="U73" s="169">
        <f t="shared" si="13"/>
        <v>0</v>
      </c>
      <c r="V73" s="430"/>
      <c r="W73" s="419">
        <f t="shared" si="9"/>
        <v>50362.409</v>
      </c>
    </row>
    <row r="74" spans="1:23" ht="24.95" hidden="1" customHeight="1" x14ac:dyDescent="0.2">
      <c r="A74" s="225">
        <v>28</v>
      </c>
      <c r="B74" s="123" t="s">
        <v>526</v>
      </c>
      <c r="C74" s="41" t="s">
        <v>530</v>
      </c>
      <c r="D74" s="169">
        <f>23836.363</f>
        <v>23836.363000000001</v>
      </c>
      <c r="E74" s="169"/>
      <c r="F74" s="169"/>
      <c r="G74" s="169"/>
      <c r="H74" s="169"/>
      <c r="I74" s="169"/>
      <c r="J74" s="169"/>
      <c r="K74" s="169"/>
      <c r="L74" s="169"/>
      <c r="M74" s="169"/>
      <c r="N74" s="169"/>
      <c r="O74" s="169">
        <f t="shared" si="12"/>
        <v>23836.363000000001</v>
      </c>
      <c r="P74" s="169"/>
      <c r="Q74" s="169"/>
      <c r="R74" s="169"/>
      <c r="S74" s="169"/>
      <c r="T74" s="169"/>
      <c r="U74" s="169">
        <f t="shared" si="13"/>
        <v>0</v>
      </c>
      <c r="V74" s="430"/>
      <c r="W74" s="419">
        <f t="shared" si="9"/>
        <v>23836.363000000001</v>
      </c>
    </row>
    <row r="75" spans="1:23" ht="24.95" hidden="1" customHeight="1" x14ac:dyDescent="0.2">
      <c r="A75" s="225">
        <v>29</v>
      </c>
      <c r="B75" s="123" t="s">
        <v>527</v>
      </c>
      <c r="C75" s="41" t="s">
        <v>531</v>
      </c>
      <c r="D75" s="169">
        <f>7256.141</f>
        <v>7256.1409999999996</v>
      </c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>
        <f t="shared" si="12"/>
        <v>7256.1409999999996</v>
      </c>
      <c r="P75" s="169"/>
      <c r="Q75" s="169"/>
      <c r="R75" s="169"/>
      <c r="S75" s="169"/>
      <c r="T75" s="169"/>
      <c r="U75" s="169">
        <f t="shared" si="13"/>
        <v>0</v>
      </c>
      <c r="V75" s="430"/>
      <c r="W75" s="419">
        <f t="shared" si="9"/>
        <v>7256.1409999999996</v>
      </c>
    </row>
    <row r="76" spans="1:23" ht="33" hidden="1" x14ac:dyDescent="0.2">
      <c r="A76" s="225">
        <v>30</v>
      </c>
      <c r="B76" s="123" t="s">
        <v>528</v>
      </c>
      <c r="C76" s="41" t="s">
        <v>532</v>
      </c>
      <c r="D76" s="169">
        <f>4815.096</f>
        <v>4815.0959999999995</v>
      </c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>
        <f t="shared" si="12"/>
        <v>4815.0959999999995</v>
      </c>
      <c r="P76" s="169"/>
      <c r="Q76" s="169"/>
      <c r="R76" s="169"/>
      <c r="S76" s="169"/>
      <c r="T76" s="169"/>
      <c r="U76" s="169">
        <f t="shared" si="13"/>
        <v>0</v>
      </c>
      <c r="V76" s="430"/>
      <c r="W76" s="419">
        <f t="shared" si="9"/>
        <v>4815.0959999999995</v>
      </c>
    </row>
    <row r="77" spans="1:23" ht="24.95" hidden="1" customHeight="1" x14ac:dyDescent="0.2">
      <c r="A77" s="225">
        <v>31</v>
      </c>
      <c r="B77" s="123" t="s">
        <v>528</v>
      </c>
      <c r="C77" s="41" t="s">
        <v>533</v>
      </c>
      <c r="D77" s="169">
        <f>4689.314</f>
        <v>4689.3140000000003</v>
      </c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>
        <f t="shared" si="12"/>
        <v>4689.3140000000003</v>
      </c>
      <c r="P77" s="169"/>
      <c r="Q77" s="169"/>
      <c r="R77" s="169"/>
      <c r="S77" s="169"/>
      <c r="T77" s="169"/>
      <c r="U77" s="169">
        <f t="shared" si="13"/>
        <v>0</v>
      </c>
      <c r="V77" s="430"/>
      <c r="W77" s="419">
        <f t="shared" si="9"/>
        <v>4689.3140000000003</v>
      </c>
    </row>
    <row r="78" spans="1:23" ht="24.95" hidden="1" customHeight="1" x14ac:dyDescent="0.2">
      <c r="A78" s="225">
        <v>32</v>
      </c>
      <c r="B78" s="685" t="s">
        <v>528</v>
      </c>
      <c r="C78" s="41" t="s">
        <v>534</v>
      </c>
      <c r="D78" s="169">
        <v>1811.944</v>
      </c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>
        <f t="shared" si="12"/>
        <v>1811.944</v>
      </c>
      <c r="P78" s="169"/>
      <c r="Q78" s="169"/>
      <c r="R78" s="169"/>
      <c r="S78" s="169"/>
      <c r="T78" s="169"/>
      <c r="U78" s="169">
        <f t="shared" si="13"/>
        <v>0</v>
      </c>
      <c r="V78" s="430"/>
      <c r="W78" s="419">
        <f t="shared" si="9"/>
        <v>1811.944</v>
      </c>
    </row>
    <row r="79" spans="1:23" ht="24.95" hidden="1" customHeight="1" x14ac:dyDescent="0.2">
      <c r="A79" s="225">
        <v>33</v>
      </c>
      <c r="B79" s="123" t="s">
        <v>543</v>
      </c>
      <c r="C79" s="41" t="s">
        <v>249</v>
      </c>
      <c r="D79" s="169"/>
      <c r="E79" s="169"/>
      <c r="F79" s="169"/>
      <c r="G79" s="169"/>
      <c r="H79" s="169">
        <f>1778</f>
        <v>1778</v>
      </c>
      <c r="I79" s="169"/>
      <c r="J79" s="169"/>
      <c r="K79" s="169"/>
      <c r="L79" s="169"/>
      <c r="M79" s="169"/>
      <c r="N79" s="169"/>
      <c r="O79" s="169">
        <f t="shared" si="12"/>
        <v>1778</v>
      </c>
      <c r="P79" s="169"/>
      <c r="Q79" s="169"/>
      <c r="R79" s="169"/>
      <c r="S79" s="169"/>
      <c r="T79" s="169"/>
      <c r="U79" s="169">
        <f t="shared" si="13"/>
        <v>0</v>
      </c>
      <c r="V79" s="430"/>
      <c r="W79" s="419">
        <f t="shared" si="9"/>
        <v>1778</v>
      </c>
    </row>
    <row r="80" spans="1:23" ht="24.95" hidden="1" customHeight="1" x14ac:dyDescent="0.2">
      <c r="A80" s="225">
        <v>34</v>
      </c>
      <c r="B80" s="123" t="s">
        <v>547</v>
      </c>
      <c r="C80" s="41" t="s">
        <v>548</v>
      </c>
      <c r="D80" s="169"/>
      <c r="E80" s="169"/>
      <c r="F80" s="169">
        <f>1500</f>
        <v>1500</v>
      </c>
      <c r="G80" s="169"/>
      <c r="H80" s="169"/>
      <c r="I80" s="169"/>
      <c r="J80" s="169"/>
      <c r="K80" s="169"/>
      <c r="L80" s="169"/>
      <c r="M80" s="169"/>
      <c r="N80" s="169"/>
      <c r="O80" s="169">
        <f t="shared" si="12"/>
        <v>1500</v>
      </c>
      <c r="P80" s="169"/>
      <c r="Q80" s="169"/>
      <c r="R80" s="169"/>
      <c r="S80" s="169"/>
      <c r="T80" s="169"/>
      <c r="U80" s="169">
        <f t="shared" si="13"/>
        <v>0</v>
      </c>
      <c r="V80" s="430"/>
      <c r="W80" s="419">
        <f t="shared" si="9"/>
        <v>1500</v>
      </c>
    </row>
    <row r="81" spans="1:23" ht="24.95" hidden="1" customHeight="1" x14ac:dyDescent="0.2">
      <c r="A81" s="225">
        <v>35</v>
      </c>
      <c r="B81" s="181" t="s">
        <v>555</v>
      </c>
      <c r="C81" s="41" t="s">
        <v>249</v>
      </c>
      <c r="D81" s="169"/>
      <c r="E81" s="169"/>
      <c r="F81" s="169"/>
      <c r="G81" s="169"/>
      <c r="H81" s="169">
        <f>700+189</f>
        <v>889</v>
      </c>
      <c r="I81" s="169"/>
      <c r="J81" s="169"/>
      <c r="K81" s="169"/>
      <c r="L81" s="169"/>
      <c r="M81" s="169"/>
      <c r="N81" s="169"/>
      <c r="O81" s="169">
        <f t="shared" si="12"/>
        <v>889</v>
      </c>
      <c r="P81" s="169"/>
      <c r="Q81" s="169"/>
      <c r="R81" s="169"/>
      <c r="S81" s="169"/>
      <c r="T81" s="169"/>
      <c r="U81" s="169">
        <f t="shared" si="13"/>
        <v>0</v>
      </c>
      <c r="V81" s="430"/>
      <c r="W81" s="419">
        <f t="shared" si="9"/>
        <v>889</v>
      </c>
    </row>
    <row r="82" spans="1:23" ht="24.95" hidden="1" customHeight="1" x14ac:dyDescent="0.2">
      <c r="A82" s="225">
        <v>36</v>
      </c>
      <c r="B82" s="181" t="s">
        <v>572</v>
      </c>
      <c r="C82" s="41" t="s">
        <v>573</v>
      </c>
      <c r="D82" s="169">
        <f>205.47</f>
        <v>205.47</v>
      </c>
      <c r="E82" s="169"/>
      <c r="F82" s="169"/>
      <c r="G82" s="169"/>
      <c r="H82" s="169">
        <f>-205.47</f>
        <v>-205.47</v>
      </c>
      <c r="I82" s="169"/>
      <c r="J82" s="169"/>
      <c r="K82" s="169"/>
      <c r="L82" s="169"/>
      <c r="M82" s="169"/>
      <c r="N82" s="169"/>
      <c r="O82" s="169">
        <f t="shared" si="12"/>
        <v>0</v>
      </c>
      <c r="P82" s="169"/>
      <c r="Q82" s="169"/>
      <c r="R82" s="169"/>
      <c r="S82" s="169"/>
      <c r="T82" s="169"/>
      <c r="U82" s="169">
        <f t="shared" si="13"/>
        <v>0</v>
      </c>
      <c r="V82" s="430"/>
      <c r="W82" s="419">
        <f t="shared" si="9"/>
        <v>0</v>
      </c>
    </row>
    <row r="83" spans="1:23" ht="24.95" hidden="1" customHeight="1" x14ac:dyDescent="0.2">
      <c r="A83" s="225">
        <v>37</v>
      </c>
      <c r="B83" s="181" t="s">
        <v>588</v>
      </c>
      <c r="C83" s="41" t="s">
        <v>589</v>
      </c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>
        <f t="shared" si="12"/>
        <v>0</v>
      </c>
      <c r="P83" s="169"/>
      <c r="Q83" s="169">
        <f>625000</f>
        <v>625000</v>
      </c>
      <c r="R83" s="169"/>
      <c r="S83" s="169"/>
      <c r="T83" s="169"/>
      <c r="U83" s="169">
        <f t="shared" si="13"/>
        <v>625000</v>
      </c>
      <c r="V83" s="430"/>
      <c r="W83" s="419">
        <f t="shared" si="9"/>
        <v>625000</v>
      </c>
    </row>
    <row r="84" spans="1:23" ht="24.95" hidden="1" customHeight="1" x14ac:dyDescent="0.2">
      <c r="A84" s="225">
        <v>38</v>
      </c>
      <c r="B84" s="683" t="s">
        <v>591</v>
      </c>
      <c r="C84" s="41" t="s">
        <v>590</v>
      </c>
      <c r="D84" s="169">
        <f>1500</f>
        <v>1500</v>
      </c>
      <c r="E84" s="169"/>
      <c r="F84" s="169">
        <f>-1500</f>
        <v>-1500</v>
      </c>
      <c r="G84" s="169"/>
      <c r="H84" s="169"/>
      <c r="I84" s="169"/>
      <c r="J84" s="169"/>
      <c r="K84" s="169"/>
      <c r="L84" s="169"/>
      <c r="M84" s="169"/>
      <c r="N84" s="169"/>
      <c r="O84" s="169">
        <f t="shared" si="12"/>
        <v>0</v>
      </c>
      <c r="P84" s="169"/>
      <c r="Q84" s="169"/>
      <c r="R84" s="169"/>
      <c r="S84" s="169"/>
      <c r="T84" s="169"/>
      <c r="U84" s="169">
        <f t="shared" si="13"/>
        <v>0</v>
      </c>
      <c r="V84" s="430"/>
      <c r="W84" s="419">
        <f t="shared" si="9"/>
        <v>0</v>
      </c>
    </row>
    <row r="85" spans="1:23" ht="24.95" hidden="1" customHeight="1" x14ac:dyDescent="0.2">
      <c r="A85" s="225"/>
      <c r="B85" s="123"/>
      <c r="C85" s="41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>
        <f t="shared" si="12"/>
        <v>0</v>
      </c>
      <c r="P85" s="169"/>
      <c r="Q85" s="169"/>
      <c r="R85" s="169"/>
      <c r="S85" s="169"/>
      <c r="T85" s="169"/>
      <c r="U85" s="169">
        <f t="shared" si="13"/>
        <v>0</v>
      </c>
      <c r="V85" s="430"/>
      <c r="W85" s="419">
        <f t="shared" si="9"/>
        <v>0</v>
      </c>
    </row>
    <row r="86" spans="1:23" ht="24.95" hidden="1" customHeight="1" x14ac:dyDescent="0.2">
      <c r="A86" s="225"/>
      <c r="B86" s="123"/>
      <c r="C86" s="41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>
        <f t="shared" si="12"/>
        <v>0</v>
      </c>
      <c r="P86" s="169"/>
      <c r="Q86" s="169"/>
      <c r="R86" s="169"/>
      <c r="S86" s="169"/>
      <c r="T86" s="169"/>
      <c r="U86" s="169">
        <f t="shared" si="13"/>
        <v>0</v>
      </c>
      <c r="V86" s="430"/>
      <c r="W86" s="419">
        <f t="shared" si="9"/>
        <v>0</v>
      </c>
    </row>
    <row r="87" spans="1:23" ht="24.95" hidden="1" customHeight="1" x14ac:dyDescent="0.2">
      <c r="A87" s="225"/>
      <c r="B87" s="123"/>
      <c r="C87" s="41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>
        <f t="shared" si="12"/>
        <v>0</v>
      </c>
      <c r="P87" s="169"/>
      <c r="Q87" s="169"/>
      <c r="R87" s="169"/>
      <c r="S87" s="169"/>
      <c r="T87" s="169"/>
      <c r="U87" s="169">
        <f t="shared" si="13"/>
        <v>0</v>
      </c>
      <c r="V87" s="430"/>
      <c r="W87" s="419">
        <f t="shared" si="9"/>
        <v>0</v>
      </c>
    </row>
    <row r="88" spans="1:23" ht="24.95" hidden="1" customHeight="1" x14ac:dyDescent="0.2">
      <c r="A88" s="225"/>
      <c r="B88" s="123"/>
      <c r="C88" s="41"/>
      <c r="D88" s="169"/>
      <c r="E88" s="169"/>
      <c r="F88" s="169"/>
      <c r="G88" s="169"/>
      <c r="H88" s="169"/>
      <c r="I88" s="169"/>
      <c r="J88" s="169"/>
      <c r="K88" s="169"/>
      <c r="L88" s="169"/>
      <c r="M88" s="169"/>
      <c r="N88" s="169"/>
      <c r="O88" s="169">
        <f t="shared" si="12"/>
        <v>0</v>
      </c>
      <c r="P88" s="169"/>
      <c r="Q88" s="169"/>
      <c r="R88" s="169"/>
      <c r="S88" s="169"/>
      <c r="T88" s="169"/>
      <c r="U88" s="169">
        <f t="shared" si="13"/>
        <v>0</v>
      </c>
      <c r="V88" s="430"/>
      <c r="W88" s="419">
        <f t="shared" si="9"/>
        <v>0</v>
      </c>
    </row>
    <row r="89" spans="1:23" ht="24.95" hidden="1" customHeight="1" x14ac:dyDescent="0.2">
      <c r="A89" s="225"/>
      <c r="B89" s="123"/>
      <c r="C89" s="41"/>
      <c r="D89" s="169"/>
      <c r="E89" s="169"/>
      <c r="F89" s="169"/>
      <c r="G89" s="169"/>
      <c r="H89" s="169"/>
      <c r="I89" s="169"/>
      <c r="J89" s="169"/>
      <c r="K89" s="169"/>
      <c r="L89" s="169"/>
      <c r="M89" s="169"/>
      <c r="N89" s="169"/>
      <c r="O89" s="169">
        <f t="shared" si="12"/>
        <v>0</v>
      </c>
      <c r="P89" s="169"/>
      <c r="Q89" s="169"/>
      <c r="R89" s="169"/>
      <c r="S89" s="169"/>
      <c r="T89" s="169"/>
      <c r="U89" s="169">
        <f t="shared" si="13"/>
        <v>0</v>
      </c>
      <c r="V89" s="430"/>
      <c r="W89" s="419">
        <f t="shared" si="9"/>
        <v>0</v>
      </c>
    </row>
    <row r="90" spans="1:23" ht="24.95" hidden="1" customHeight="1" x14ac:dyDescent="0.2">
      <c r="A90" s="225"/>
      <c r="B90" s="123"/>
      <c r="C90" s="41" t="s">
        <v>68</v>
      </c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>
        <f t="shared" si="12"/>
        <v>0</v>
      </c>
      <c r="P90" s="169"/>
      <c r="Q90" s="169"/>
      <c r="R90" s="169"/>
      <c r="S90" s="169"/>
      <c r="T90" s="169"/>
      <c r="U90" s="169">
        <f t="shared" si="13"/>
        <v>0</v>
      </c>
      <c r="V90" s="430"/>
      <c r="W90" s="419">
        <f t="shared" si="9"/>
        <v>0</v>
      </c>
    </row>
    <row r="91" spans="1:23" ht="24.95" hidden="1" customHeight="1" thickBot="1" x14ac:dyDescent="0.25">
      <c r="A91" s="40"/>
      <c r="B91" s="104"/>
      <c r="C91" s="105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431"/>
      <c r="W91" s="420">
        <f t="shared" si="9"/>
        <v>0</v>
      </c>
    </row>
    <row r="92" spans="1:23" ht="24.95" hidden="1" customHeight="1" thickTop="1" thickBot="1" x14ac:dyDescent="0.25">
      <c r="A92" s="47"/>
      <c r="B92" s="109" t="s">
        <v>180</v>
      </c>
      <c r="C92" s="44" t="s">
        <v>19</v>
      </c>
      <c r="D92" s="173">
        <f t="shared" ref="D92:O92" si="16">SUM(D47:D91)</f>
        <v>160079.98300000001</v>
      </c>
      <c r="E92" s="205">
        <f t="shared" si="16"/>
        <v>89858.422000000006</v>
      </c>
      <c r="F92" s="173">
        <f t="shared" si="16"/>
        <v>0</v>
      </c>
      <c r="G92" s="173">
        <f t="shared" si="16"/>
        <v>-64700</v>
      </c>
      <c r="H92" s="205">
        <f t="shared" si="16"/>
        <v>17562.165000000001</v>
      </c>
      <c r="I92" s="205">
        <f t="shared" si="16"/>
        <v>3578</v>
      </c>
      <c r="J92" s="205">
        <f t="shared" si="16"/>
        <v>0</v>
      </c>
      <c r="K92" s="205">
        <f t="shared" si="16"/>
        <v>72922.611000000004</v>
      </c>
      <c r="L92" s="205">
        <f t="shared" si="16"/>
        <v>8301</v>
      </c>
      <c r="M92" s="205">
        <f t="shared" si="16"/>
        <v>0</v>
      </c>
      <c r="N92" s="205">
        <f t="shared" si="16"/>
        <v>0</v>
      </c>
      <c r="O92" s="205">
        <f t="shared" si="16"/>
        <v>287602.1810000001</v>
      </c>
      <c r="P92" s="205"/>
      <c r="Q92" s="205">
        <f>SUM(Q47:Q91)</f>
        <v>2325000</v>
      </c>
      <c r="R92" s="205">
        <f>SUM(R47:R91)</f>
        <v>0.46800000000000003</v>
      </c>
      <c r="S92" s="205">
        <f>SUM(S47:S91)</f>
        <v>0</v>
      </c>
      <c r="T92" s="205">
        <f>SUM(T47:T91)</f>
        <v>0</v>
      </c>
      <c r="U92" s="205">
        <f>SUM(U47:U91)</f>
        <v>2325000.4680000003</v>
      </c>
      <c r="V92" s="658"/>
      <c r="W92" s="659">
        <f>SUM(W47:W91)</f>
        <v>2612602.6489999997</v>
      </c>
    </row>
    <row r="93" spans="1:23" ht="24.95" hidden="1" customHeight="1" thickTop="1" x14ac:dyDescent="0.2">
      <c r="A93" s="40"/>
      <c r="B93" s="31"/>
      <c r="C93" s="41"/>
      <c r="D93" s="169"/>
      <c r="E93" s="169"/>
      <c r="F93" s="169"/>
      <c r="G93" s="169"/>
      <c r="H93" s="660"/>
      <c r="I93" s="660"/>
      <c r="J93" s="660"/>
      <c r="K93" s="660"/>
      <c r="L93" s="660"/>
      <c r="M93" s="660"/>
      <c r="N93" s="660"/>
      <c r="O93" s="660">
        <f t="shared" ref="O93:O103" si="17">SUM(D93:N93)</f>
        <v>0</v>
      </c>
      <c r="P93" s="660"/>
      <c r="Q93" s="660"/>
      <c r="R93" s="660"/>
      <c r="S93" s="660"/>
      <c r="T93" s="660"/>
      <c r="U93" s="660">
        <f t="shared" ref="U93:U103" si="18">SUM(Q93:T93)</f>
        <v>0</v>
      </c>
      <c r="V93" s="661"/>
      <c r="W93" s="662">
        <f t="shared" ref="W93:W102" si="19">O93+U93</f>
        <v>0</v>
      </c>
    </row>
    <row r="94" spans="1:23" ht="24.95" hidden="1" customHeight="1" x14ac:dyDescent="0.2">
      <c r="A94" s="40"/>
      <c r="B94" s="31"/>
      <c r="C94" s="41"/>
      <c r="D94" s="169"/>
      <c r="E94" s="169"/>
      <c r="F94" s="169"/>
      <c r="G94" s="169"/>
      <c r="H94" s="660"/>
      <c r="I94" s="660"/>
      <c r="J94" s="660"/>
      <c r="K94" s="660"/>
      <c r="L94" s="660"/>
      <c r="M94" s="660"/>
      <c r="N94" s="660"/>
      <c r="O94" s="660">
        <f t="shared" si="17"/>
        <v>0</v>
      </c>
      <c r="P94" s="660"/>
      <c r="Q94" s="660"/>
      <c r="R94" s="660"/>
      <c r="S94" s="660"/>
      <c r="T94" s="660"/>
      <c r="U94" s="660">
        <f t="shared" si="18"/>
        <v>0</v>
      </c>
      <c r="V94" s="661"/>
      <c r="W94" s="662">
        <f t="shared" si="19"/>
        <v>0</v>
      </c>
    </row>
    <row r="95" spans="1:23" ht="24.95" hidden="1" customHeight="1" x14ac:dyDescent="0.2">
      <c r="A95" s="40"/>
      <c r="B95" s="32"/>
      <c r="C95" s="41"/>
      <c r="D95" s="169"/>
      <c r="E95" s="169"/>
      <c r="F95" s="169"/>
      <c r="G95" s="169"/>
      <c r="H95" s="660"/>
      <c r="I95" s="660"/>
      <c r="J95" s="660"/>
      <c r="K95" s="660"/>
      <c r="L95" s="660"/>
      <c r="M95" s="660"/>
      <c r="N95" s="660"/>
      <c r="O95" s="660">
        <f t="shared" si="17"/>
        <v>0</v>
      </c>
      <c r="P95" s="660"/>
      <c r="Q95" s="660"/>
      <c r="R95" s="660"/>
      <c r="S95" s="660"/>
      <c r="T95" s="660"/>
      <c r="U95" s="660">
        <f t="shared" si="18"/>
        <v>0</v>
      </c>
      <c r="V95" s="661"/>
      <c r="W95" s="662">
        <f t="shared" si="19"/>
        <v>0</v>
      </c>
    </row>
    <row r="96" spans="1:23" ht="24.95" hidden="1" customHeight="1" x14ac:dyDescent="0.2">
      <c r="A96" s="40"/>
      <c r="B96" s="32"/>
      <c r="C96" s="41"/>
      <c r="D96" s="169"/>
      <c r="E96" s="169"/>
      <c r="F96" s="169"/>
      <c r="G96" s="169"/>
      <c r="H96" s="660"/>
      <c r="I96" s="660"/>
      <c r="J96" s="660"/>
      <c r="K96" s="660"/>
      <c r="L96" s="660"/>
      <c r="M96" s="660"/>
      <c r="N96" s="660"/>
      <c r="O96" s="660">
        <f t="shared" si="17"/>
        <v>0</v>
      </c>
      <c r="P96" s="660"/>
      <c r="Q96" s="660"/>
      <c r="R96" s="660"/>
      <c r="S96" s="660"/>
      <c r="T96" s="660"/>
      <c r="U96" s="660">
        <f t="shared" si="18"/>
        <v>0</v>
      </c>
      <c r="V96" s="661"/>
      <c r="W96" s="662">
        <f t="shared" si="19"/>
        <v>0</v>
      </c>
    </row>
    <row r="97" spans="1:23" ht="24.95" hidden="1" customHeight="1" x14ac:dyDescent="0.2">
      <c r="A97" s="40"/>
      <c r="B97" s="32"/>
      <c r="C97" s="41"/>
      <c r="D97" s="169"/>
      <c r="E97" s="169"/>
      <c r="F97" s="169"/>
      <c r="G97" s="169"/>
      <c r="H97" s="660"/>
      <c r="I97" s="660"/>
      <c r="J97" s="660"/>
      <c r="K97" s="660"/>
      <c r="L97" s="660"/>
      <c r="M97" s="660"/>
      <c r="N97" s="660"/>
      <c r="O97" s="660">
        <f t="shared" si="17"/>
        <v>0</v>
      </c>
      <c r="P97" s="660"/>
      <c r="Q97" s="660"/>
      <c r="R97" s="660"/>
      <c r="S97" s="660"/>
      <c r="T97" s="660"/>
      <c r="U97" s="660">
        <f t="shared" si="18"/>
        <v>0</v>
      </c>
      <c r="V97" s="661"/>
      <c r="W97" s="662">
        <f t="shared" si="19"/>
        <v>0</v>
      </c>
    </row>
    <row r="98" spans="1:23" ht="24.95" hidden="1" customHeight="1" x14ac:dyDescent="0.2">
      <c r="A98" s="40"/>
      <c r="B98" s="32"/>
      <c r="C98" s="41"/>
      <c r="D98" s="169"/>
      <c r="E98" s="169"/>
      <c r="F98" s="169"/>
      <c r="G98" s="169"/>
      <c r="H98" s="660"/>
      <c r="I98" s="660"/>
      <c r="J98" s="660"/>
      <c r="K98" s="660"/>
      <c r="L98" s="660"/>
      <c r="M98" s="660"/>
      <c r="N98" s="660"/>
      <c r="O98" s="660">
        <f t="shared" si="17"/>
        <v>0</v>
      </c>
      <c r="P98" s="660"/>
      <c r="Q98" s="660"/>
      <c r="R98" s="660"/>
      <c r="S98" s="660"/>
      <c r="T98" s="660"/>
      <c r="U98" s="660">
        <f t="shared" si="18"/>
        <v>0</v>
      </c>
      <c r="V98" s="661"/>
      <c r="W98" s="662">
        <f t="shared" si="19"/>
        <v>0</v>
      </c>
    </row>
    <row r="99" spans="1:23" ht="24.95" hidden="1" customHeight="1" x14ac:dyDescent="0.2">
      <c r="A99" s="40"/>
      <c r="B99" s="32"/>
      <c r="C99" s="41"/>
      <c r="D99" s="169"/>
      <c r="E99" s="169"/>
      <c r="F99" s="169"/>
      <c r="G99" s="169"/>
      <c r="H99" s="660"/>
      <c r="I99" s="660"/>
      <c r="J99" s="660"/>
      <c r="K99" s="660"/>
      <c r="L99" s="660"/>
      <c r="M99" s="660"/>
      <c r="N99" s="660"/>
      <c r="O99" s="660">
        <f t="shared" si="17"/>
        <v>0</v>
      </c>
      <c r="P99" s="660"/>
      <c r="Q99" s="660"/>
      <c r="R99" s="660"/>
      <c r="S99" s="660"/>
      <c r="T99" s="660"/>
      <c r="U99" s="660">
        <f t="shared" si="18"/>
        <v>0</v>
      </c>
      <c r="V99" s="661"/>
      <c r="W99" s="662">
        <f t="shared" si="19"/>
        <v>0</v>
      </c>
    </row>
    <row r="100" spans="1:23" ht="24.95" hidden="1" customHeight="1" x14ac:dyDescent="0.2">
      <c r="A100" s="40"/>
      <c r="B100" s="31"/>
      <c r="C100" s="41"/>
      <c r="D100" s="169"/>
      <c r="E100" s="169"/>
      <c r="F100" s="169"/>
      <c r="G100" s="169"/>
      <c r="H100" s="660"/>
      <c r="I100" s="660"/>
      <c r="J100" s="660"/>
      <c r="K100" s="660"/>
      <c r="L100" s="660"/>
      <c r="M100" s="660"/>
      <c r="N100" s="660"/>
      <c r="O100" s="660">
        <f t="shared" si="17"/>
        <v>0</v>
      </c>
      <c r="P100" s="660"/>
      <c r="Q100" s="660"/>
      <c r="R100" s="660"/>
      <c r="S100" s="660"/>
      <c r="T100" s="660"/>
      <c r="U100" s="660">
        <f t="shared" si="18"/>
        <v>0</v>
      </c>
      <c r="V100" s="661"/>
      <c r="W100" s="662">
        <f t="shared" si="19"/>
        <v>0</v>
      </c>
    </row>
    <row r="101" spans="1:23" ht="24.95" hidden="1" customHeight="1" x14ac:dyDescent="0.2">
      <c r="A101" s="40"/>
      <c r="B101" s="31"/>
      <c r="C101" s="41"/>
      <c r="D101" s="169"/>
      <c r="E101" s="169"/>
      <c r="F101" s="169"/>
      <c r="G101" s="169"/>
      <c r="H101" s="660"/>
      <c r="I101" s="660"/>
      <c r="J101" s="660"/>
      <c r="K101" s="660"/>
      <c r="L101" s="660"/>
      <c r="M101" s="660"/>
      <c r="N101" s="660"/>
      <c r="O101" s="660">
        <f t="shared" si="17"/>
        <v>0</v>
      </c>
      <c r="P101" s="660"/>
      <c r="Q101" s="660"/>
      <c r="R101" s="660"/>
      <c r="S101" s="660"/>
      <c r="T101" s="660"/>
      <c r="U101" s="660">
        <f t="shared" si="18"/>
        <v>0</v>
      </c>
      <c r="V101" s="661"/>
      <c r="W101" s="662">
        <f t="shared" si="19"/>
        <v>0</v>
      </c>
    </row>
    <row r="102" spans="1:23" ht="24.95" hidden="1" customHeight="1" x14ac:dyDescent="0.2">
      <c r="A102" s="40"/>
      <c r="B102" s="31"/>
      <c r="C102" s="41"/>
      <c r="D102" s="169"/>
      <c r="E102" s="169"/>
      <c r="F102" s="169"/>
      <c r="G102" s="169"/>
      <c r="H102" s="660"/>
      <c r="I102" s="660"/>
      <c r="J102" s="660"/>
      <c r="K102" s="660"/>
      <c r="L102" s="660"/>
      <c r="M102" s="660"/>
      <c r="N102" s="660"/>
      <c r="O102" s="660">
        <f t="shared" si="17"/>
        <v>0</v>
      </c>
      <c r="P102" s="660"/>
      <c r="Q102" s="660"/>
      <c r="R102" s="660"/>
      <c r="S102" s="660"/>
      <c r="T102" s="660"/>
      <c r="U102" s="660">
        <f t="shared" si="18"/>
        <v>0</v>
      </c>
      <c r="V102" s="661"/>
      <c r="W102" s="662">
        <f t="shared" si="19"/>
        <v>0</v>
      </c>
    </row>
    <row r="103" spans="1:23" ht="24.95" hidden="1" customHeight="1" thickBot="1" x14ac:dyDescent="0.25">
      <c r="A103" s="40"/>
      <c r="B103" s="32"/>
      <c r="C103" s="34"/>
      <c r="D103" s="169"/>
      <c r="E103" s="169"/>
      <c r="F103" s="169"/>
      <c r="G103" s="169"/>
      <c r="H103" s="660"/>
      <c r="I103" s="660"/>
      <c r="J103" s="660"/>
      <c r="K103" s="660"/>
      <c r="L103" s="660"/>
      <c r="M103" s="660"/>
      <c r="N103" s="660"/>
      <c r="O103" s="660">
        <f t="shared" si="17"/>
        <v>0</v>
      </c>
      <c r="P103" s="660"/>
      <c r="Q103" s="660"/>
      <c r="R103" s="660"/>
      <c r="S103" s="660"/>
      <c r="T103" s="660"/>
      <c r="U103" s="660">
        <f t="shared" si="18"/>
        <v>0</v>
      </c>
      <c r="V103" s="661"/>
      <c r="W103" s="662"/>
    </row>
    <row r="104" spans="1:23" ht="24.95" hidden="1" customHeight="1" thickTop="1" thickBot="1" x14ac:dyDescent="0.25">
      <c r="A104" s="42"/>
      <c r="B104" s="110" t="s">
        <v>62</v>
      </c>
      <c r="C104" s="44" t="s">
        <v>19</v>
      </c>
      <c r="D104" s="173">
        <f t="shared" ref="D104:Q104" si="20">SUM(D93:D96)</f>
        <v>0</v>
      </c>
      <c r="E104" s="173">
        <f t="shared" si="20"/>
        <v>0</v>
      </c>
      <c r="F104" s="173">
        <f t="shared" si="20"/>
        <v>0</v>
      </c>
      <c r="G104" s="173">
        <f t="shared" si="20"/>
        <v>0</v>
      </c>
      <c r="H104" s="205">
        <f t="shared" si="20"/>
        <v>0</v>
      </c>
      <c r="I104" s="205">
        <f t="shared" si="20"/>
        <v>0</v>
      </c>
      <c r="J104" s="205">
        <f t="shared" si="20"/>
        <v>0</v>
      </c>
      <c r="K104" s="205">
        <f t="shared" si="20"/>
        <v>0</v>
      </c>
      <c r="L104" s="205">
        <f t="shared" si="20"/>
        <v>0</v>
      </c>
      <c r="M104" s="205">
        <f t="shared" si="20"/>
        <v>0</v>
      </c>
      <c r="N104" s="205">
        <f>SUM(N93:N96)</f>
        <v>0</v>
      </c>
      <c r="O104" s="205">
        <f t="shared" si="20"/>
        <v>0</v>
      </c>
      <c r="P104" s="205"/>
      <c r="Q104" s="205">
        <f t="shared" si="20"/>
        <v>0</v>
      </c>
      <c r="R104" s="205">
        <f>SUM(R93:R96)</f>
        <v>0</v>
      </c>
      <c r="S104" s="205"/>
      <c r="T104" s="205">
        <f>SUM(T93:T96)</f>
        <v>0</v>
      </c>
      <c r="U104" s="205">
        <f>SUM(U93:U96)</f>
        <v>0</v>
      </c>
      <c r="V104" s="658"/>
      <c r="W104" s="659">
        <f>SUM(W93:W96)</f>
        <v>0</v>
      </c>
    </row>
    <row r="105" spans="1:23" ht="24.95" hidden="1" customHeight="1" thickTop="1" thickBot="1" x14ac:dyDescent="0.25">
      <c r="A105" s="42"/>
      <c r="B105" s="705" t="s">
        <v>592</v>
      </c>
      <c r="C105" s="44" t="s">
        <v>154</v>
      </c>
      <c r="D105" s="204">
        <f t="shared" ref="D105:O105" si="21">D46+D92+D104</f>
        <v>2397133.162</v>
      </c>
      <c r="E105" s="204">
        <f t="shared" si="21"/>
        <v>89858.422000000006</v>
      </c>
      <c r="F105" s="204">
        <f t="shared" si="21"/>
        <v>53372</v>
      </c>
      <c r="G105" s="204">
        <f t="shared" si="21"/>
        <v>8425306</v>
      </c>
      <c r="H105" s="318">
        <f t="shared" si="21"/>
        <v>2509572.483</v>
      </c>
      <c r="I105" s="318">
        <f t="shared" si="21"/>
        <v>4078</v>
      </c>
      <c r="J105" s="318">
        <f t="shared" si="21"/>
        <v>200000</v>
      </c>
      <c r="K105" s="318">
        <f t="shared" si="21"/>
        <v>88107.205000000002</v>
      </c>
      <c r="L105" s="318">
        <f t="shared" si="21"/>
        <v>1363463</v>
      </c>
      <c r="M105" s="318">
        <f t="shared" si="21"/>
        <v>17800</v>
      </c>
      <c r="N105" s="318">
        <f t="shared" si="21"/>
        <v>0</v>
      </c>
      <c r="O105" s="318">
        <f t="shared" si="21"/>
        <v>15148690.272</v>
      </c>
      <c r="P105" s="318"/>
      <c r="Q105" s="318">
        <f>Q46+Q92+Q104</f>
        <v>6715000</v>
      </c>
      <c r="R105" s="318">
        <f>R46+R92+R104</f>
        <v>3532804.4679999999</v>
      </c>
      <c r="S105" s="318">
        <f>S46+S92+S104</f>
        <v>0</v>
      </c>
      <c r="T105" s="318">
        <f>T46+T92+T104</f>
        <v>0</v>
      </c>
      <c r="U105" s="318">
        <f>U46+U92+U104</f>
        <v>10247804.468</v>
      </c>
      <c r="V105" s="429"/>
      <c r="W105" s="659">
        <f>W46+W92+W104</f>
        <v>25396494.739999998</v>
      </c>
    </row>
    <row r="106" spans="1:23" ht="24.95" customHeight="1" x14ac:dyDescent="0.2">
      <c r="A106" s="182"/>
      <c r="B106" s="183" t="s">
        <v>593</v>
      </c>
      <c r="C106" s="220" t="s">
        <v>18</v>
      </c>
      <c r="D106" s="221">
        <f>D105</f>
        <v>2397133.162</v>
      </c>
      <c r="E106" s="221">
        <f t="shared" ref="E106:L106" si="22">E105</f>
        <v>89858.422000000006</v>
      </c>
      <c r="F106" s="221">
        <f t="shared" si="22"/>
        <v>53372</v>
      </c>
      <c r="G106" s="221">
        <f t="shared" si="22"/>
        <v>8425306</v>
      </c>
      <c r="H106" s="221">
        <f t="shared" si="22"/>
        <v>2509572.483</v>
      </c>
      <c r="I106" s="221">
        <f t="shared" si="22"/>
        <v>4078</v>
      </c>
      <c r="J106" s="221">
        <f t="shared" si="22"/>
        <v>200000</v>
      </c>
      <c r="K106" s="221">
        <f t="shared" si="22"/>
        <v>88107.205000000002</v>
      </c>
      <c r="L106" s="221">
        <f t="shared" si="22"/>
        <v>1363463</v>
      </c>
      <c r="M106" s="221">
        <f t="shared" ref="M106:U106" si="23">M105</f>
        <v>17800</v>
      </c>
      <c r="N106" s="221">
        <f t="shared" si="23"/>
        <v>0</v>
      </c>
      <c r="O106" s="221">
        <f t="shared" si="23"/>
        <v>15148690.272</v>
      </c>
      <c r="P106" s="221"/>
      <c r="Q106" s="221">
        <f t="shared" si="23"/>
        <v>6715000</v>
      </c>
      <c r="R106" s="221">
        <f t="shared" si="23"/>
        <v>3532804.4679999999</v>
      </c>
      <c r="S106" s="221"/>
      <c r="T106" s="221">
        <f t="shared" si="23"/>
        <v>0</v>
      </c>
      <c r="U106" s="221">
        <f t="shared" si="23"/>
        <v>10247804.468</v>
      </c>
      <c r="V106" s="432"/>
      <c r="W106" s="422">
        <f t="shared" ref="W106:W131" si="24">O106+U106</f>
        <v>25396494.740000002</v>
      </c>
    </row>
    <row r="107" spans="1:23" ht="30.95" customHeight="1" x14ac:dyDescent="0.2">
      <c r="A107" s="40">
        <v>1</v>
      </c>
      <c r="B107" s="118" t="s">
        <v>601</v>
      </c>
      <c r="C107" s="28" t="s">
        <v>600</v>
      </c>
      <c r="D107" s="169"/>
      <c r="E107" s="169"/>
      <c r="F107" s="169"/>
      <c r="G107" s="169"/>
      <c r="H107" s="169">
        <f>4948</f>
        <v>4948</v>
      </c>
      <c r="I107" s="169"/>
      <c r="J107" s="169"/>
      <c r="K107" s="169"/>
      <c r="L107" s="169"/>
      <c r="M107" s="169"/>
      <c r="O107" s="169">
        <f t="shared" ref="O107:O131" si="25">SUM(D107:N107)</f>
        <v>4948</v>
      </c>
      <c r="P107" s="169"/>
      <c r="Q107" s="169">
        <f>-4948</f>
        <v>-4948</v>
      </c>
      <c r="R107" s="169"/>
      <c r="S107" s="169"/>
      <c r="T107" s="169"/>
      <c r="U107" s="169">
        <f t="shared" ref="U107:U131" si="26">SUM(Q107:T107)</f>
        <v>-4948</v>
      </c>
      <c r="V107" s="430"/>
      <c r="W107" s="419">
        <f t="shared" si="24"/>
        <v>0</v>
      </c>
    </row>
    <row r="108" spans="1:23" ht="30.95" customHeight="1" x14ac:dyDescent="0.2">
      <c r="A108" s="40">
        <v>2</v>
      </c>
      <c r="B108" s="328" t="s">
        <v>606</v>
      </c>
      <c r="C108" s="28" t="s">
        <v>607</v>
      </c>
      <c r="D108" s="169"/>
      <c r="E108" s="169"/>
      <c r="F108" s="169"/>
      <c r="G108" s="169"/>
      <c r="H108" s="169">
        <f>51</f>
        <v>51</v>
      </c>
      <c r="I108" s="169"/>
      <c r="J108" s="169"/>
      <c r="K108" s="169"/>
      <c r="L108" s="169">
        <f>99+91</f>
        <v>190</v>
      </c>
      <c r="M108" s="169"/>
      <c r="O108" s="169">
        <f t="shared" si="25"/>
        <v>241</v>
      </c>
      <c r="P108" s="169"/>
      <c r="Q108" s="169"/>
      <c r="R108" s="169"/>
      <c r="S108" s="169"/>
      <c r="T108" s="169"/>
      <c r="U108" s="169">
        <f t="shared" si="26"/>
        <v>0</v>
      </c>
      <c r="V108" s="430"/>
      <c r="W108" s="419">
        <f t="shared" si="24"/>
        <v>241</v>
      </c>
    </row>
    <row r="109" spans="1:23" ht="30.95" customHeight="1" x14ac:dyDescent="0.2">
      <c r="A109" s="40">
        <v>3</v>
      </c>
      <c r="B109" s="706" t="s">
        <v>617</v>
      </c>
      <c r="C109" s="28" t="s">
        <v>297</v>
      </c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O109" s="169">
        <f t="shared" si="25"/>
        <v>0</v>
      </c>
      <c r="P109" s="169"/>
      <c r="Q109" s="169">
        <f>1900000</f>
        <v>1900000</v>
      </c>
      <c r="R109" s="169"/>
      <c r="S109" s="169"/>
      <c r="T109" s="169"/>
      <c r="U109" s="169">
        <f>SUM(Q109:T109)</f>
        <v>1900000</v>
      </c>
      <c r="V109" s="430"/>
      <c r="W109" s="419">
        <f t="shared" si="24"/>
        <v>1900000</v>
      </c>
    </row>
    <row r="110" spans="1:23" ht="30.95" customHeight="1" x14ac:dyDescent="0.2">
      <c r="A110" s="40">
        <v>4</v>
      </c>
      <c r="B110" s="709" t="s">
        <v>659</v>
      </c>
      <c r="C110" s="28" t="s">
        <v>660</v>
      </c>
      <c r="D110" s="169"/>
      <c r="E110" s="169"/>
      <c r="F110" s="169"/>
      <c r="G110" s="169">
        <f>-38281-48114</f>
        <v>-86395</v>
      </c>
      <c r="H110" s="169">
        <f>2116+35502+663</f>
        <v>38281</v>
      </c>
      <c r="I110" s="169"/>
      <c r="J110" s="169"/>
      <c r="K110" s="169"/>
      <c r="L110" s="169"/>
      <c r="M110" s="169"/>
      <c r="N110" s="169"/>
      <c r="O110" s="169">
        <f t="shared" si="25"/>
        <v>-48114</v>
      </c>
      <c r="P110" s="169"/>
      <c r="Q110" s="169"/>
      <c r="R110" s="169"/>
      <c r="S110" s="169"/>
      <c r="T110" s="169"/>
      <c r="U110" s="169">
        <f t="shared" si="26"/>
        <v>0</v>
      </c>
      <c r="V110" s="430"/>
      <c r="W110" s="419">
        <f t="shared" si="24"/>
        <v>-48114</v>
      </c>
    </row>
    <row r="111" spans="1:23" s="530" customFormat="1" ht="30.95" customHeight="1" x14ac:dyDescent="0.2">
      <c r="A111" s="40">
        <v>5</v>
      </c>
      <c r="B111" s="228" t="s">
        <v>709</v>
      </c>
      <c r="C111" s="711" t="s">
        <v>710</v>
      </c>
      <c r="D111" s="445">
        <f>23303.248</f>
        <v>23303.248</v>
      </c>
      <c r="E111" s="445"/>
      <c r="F111" s="445"/>
      <c r="G111" s="445"/>
      <c r="H111" s="445"/>
      <c r="I111" s="445"/>
      <c r="J111" s="445"/>
      <c r="K111" s="712"/>
      <c r="L111" s="445"/>
      <c r="M111" s="445"/>
      <c r="N111" s="445"/>
      <c r="O111" s="169">
        <f t="shared" si="25"/>
        <v>23303.248</v>
      </c>
      <c r="P111" s="445"/>
      <c r="Q111" s="445"/>
      <c r="R111" s="445"/>
      <c r="S111" s="445"/>
      <c r="T111" s="445"/>
      <c r="U111" s="169">
        <f t="shared" ref="U111:U114" si="27">SUM(Q111:T111)</f>
        <v>0</v>
      </c>
      <c r="V111" s="430"/>
      <c r="W111" s="419">
        <f t="shared" ref="W111:W114" si="28">O111+U111</f>
        <v>23303.248</v>
      </c>
    </row>
    <row r="112" spans="1:23" ht="30.95" customHeight="1" x14ac:dyDescent="0.2">
      <c r="A112" s="40">
        <v>6</v>
      </c>
      <c r="B112" s="228" t="s">
        <v>711</v>
      </c>
      <c r="C112" s="28" t="s">
        <v>712</v>
      </c>
      <c r="D112" s="169">
        <f>7239.401</f>
        <v>7239.4009999999998</v>
      </c>
      <c r="E112" s="169"/>
      <c r="F112" s="169"/>
      <c r="G112" s="169"/>
      <c r="H112" s="169"/>
      <c r="I112" s="169"/>
      <c r="J112" s="169"/>
      <c r="K112" s="335"/>
      <c r="L112" s="169"/>
      <c r="M112" s="169"/>
      <c r="N112" s="169"/>
      <c r="O112" s="169">
        <f t="shared" si="25"/>
        <v>7239.4009999999998</v>
      </c>
      <c r="P112" s="169"/>
      <c r="Q112" s="169"/>
      <c r="R112" s="169"/>
      <c r="S112" s="169"/>
      <c r="T112" s="169"/>
      <c r="U112" s="169">
        <f t="shared" si="27"/>
        <v>0</v>
      </c>
      <c r="V112" s="430"/>
      <c r="W112" s="419">
        <f t="shared" si="28"/>
        <v>7239.4009999999998</v>
      </c>
    </row>
    <row r="113" spans="1:23" ht="30.95" customHeight="1" x14ac:dyDescent="0.2">
      <c r="A113" s="40">
        <v>7</v>
      </c>
      <c r="B113" s="228" t="s">
        <v>678</v>
      </c>
      <c r="C113" s="28" t="s">
        <v>713</v>
      </c>
      <c r="D113" s="169">
        <f>3270.055</f>
        <v>3270.0549999999998</v>
      </c>
      <c r="E113" s="169"/>
      <c r="F113" s="169"/>
      <c r="G113" s="169"/>
      <c r="H113" s="169"/>
      <c r="I113" s="169"/>
      <c r="J113" s="169"/>
      <c r="K113" s="335"/>
      <c r="L113" s="169"/>
      <c r="M113" s="169"/>
      <c r="N113" s="169"/>
      <c r="O113" s="169">
        <f t="shared" si="25"/>
        <v>3270.0549999999998</v>
      </c>
      <c r="P113" s="169"/>
      <c r="Q113" s="169"/>
      <c r="R113" s="169"/>
      <c r="S113" s="169"/>
      <c r="T113" s="169"/>
      <c r="U113" s="169">
        <f t="shared" si="27"/>
        <v>0</v>
      </c>
      <c r="V113" s="430"/>
      <c r="W113" s="419">
        <f t="shared" si="28"/>
        <v>3270.0549999999998</v>
      </c>
    </row>
    <row r="114" spans="1:23" ht="30.95" customHeight="1" x14ac:dyDescent="0.2">
      <c r="A114" s="40">
        <v>8</v>
      </c>
      <c r="B114" s="228" t="s">
        <v>678</v>
      </c>
      <c r="C114" s="28" t="s">
        <v>714</v>
      </c>
      <c r="D114" s="169">
        <f>3369.395-42.953</f>
        <v>3326.442</v>
      </c>
      <c r="E114" s="169"/>
      <c r="F114" s="169"/>
      <c r="G114" s="169"/>
      <c r="H114" s="169"/>
      <c r="I114" s="169"/>
      <c r="J114" s="169"/>
      <c r="K114" s="335"/>
      <c r="L114" s="169"/>
      <c r="M114" s="169"/>
      <c r="N114" s="169"/>
      <c r="O114" s="169">
        <f t="shared" si="25"/>
        <v>3326.442</v>
      </c>
      <c r="P114" s="169"/>
      <c r="Q114" s="169"/>
      <c r="R114" s="169"/>
      <c r="S114" s="169"/>
      <c r="T114" s="169"/>
      <c r="U114" s="169">
        <f t="shared" si="27"/>
        <v>0</v>
      </c>
      <c r="V114" s="430"/>
      <c r="W114" s="419">
        <f t="shared" si="28"/>
        <v>3326.442</v>
      </c>
    </row>
    <row r="115" spans="1:23" ht="30.95" customHeight="1" x14ac:dyDescent="0.2">
      <c r="A115" s="40">
        <v>9</v>
      </c>
      <c r="B115" s="228" t="s">
        <v>678</v>
      </c>
      <c r="C115" s="28" t="s">
        <v>679</v>
      </c>
      <c r="D115" s="169">
        <f>924.565</f>
        <v>924.56500000000005</v>
      </c>
      <c r="E115" s="169"/>
      <c r="F115" s="169"/>
      <c r="G115" s="169"/>
      <c r="H115" s="169"/>
      <c r="I115" s="169"/>
      <c r="J115" s="169"/>
      <c r="L115" s="169"/>
      <c r="M115" s="169"/>
      <c r="N115" s="169"/>
      <c r="O115" s="169">
        <f t="shared" si="25"/>
        <v>924.56500000000005</v>
      </c>
      <c r="P115" s="169"/>
      <c r="Q115" s="169"/>
      <c r="R115" s="169"/>
      <c r="S115" s="169"/>
      <c r="T115" s="169"/>
      <c r="U115" s="169">
        <f t="shared" si="26"/>
        <v>0</v>
      </c>
      <c r="V115" s="430"/>
      <c r="W115" s="419">
        <f t="shared" si="24"/>
        <v>924.56500000000005</v>
      </c>
    </row>
    <row r="116" spans="1:23" ht="30.95" customHeight="1" x14ac:dyDescent="0.2">
      <c r="A116" s="40">
        <v>10</v>
      </c>
      <c r="B116" s="228" t="s">
        <v>727</v>
      </c>
      <c r="C116" s="28" t="s">
        <v>728</v>
      </c>
      <c r="D116" s="169">
        <f>1568.443+1659.636-35326.4729999999-225-8000+10131.773+8720.11+664.69+24034.9</f>
        <v>3228.0790000000015</v>
      </c>
      <c r="E116" s="169"/>
      <c r="F116" s="169"/>
      <c r="G116" s="169"/>
      <c r="H116" s="169"/>
      <c r="I116" s="169"/>
      <c r="J116" s="169"/>
      <c r="K116" s="169"/>
      <c r="L116" s="169"/>
      <c r="M116" s="169"/>
      <c r="N116" s="169"/>
      <c r="O116" s="169">
        <f t="shared" si="25"/>
        <v>3228.0790000000015</v>
      </c>
      <c r="P116" s="169"/>
      <c r="Q116" s="169"/>
      <c r="R116" s="169"/>
      <c r="S116" s="169"/>
      <c r="T116" s="169"/>
      <c r="U116" s="169">
        <f t="shared" si="26"/>
        <v>0</v>
      </c>
      <c r="V116" s="430"/>
      <c r="W116" s="419">
        <f t="shared" si="24"/>
        <v>3228.0790000000015</v>
      </c>
    </row>
    <row r="117" spans="1:23" ht="30.95" customHeight="1" x14ac:dyDescent="0.2">
      <c r="A117" s="40">
        <v>11</v>
      </c>
      <c r="B117" s="230" t="s">
        <v>731</v>
      </c>
      <c r="C117" s="33" t="s">
        <v>728</v>
      </c>
      <c r="D117" s="169"/>
      <c r="E117" s="169"/>
      <c r="F117" s="169">
        <f>800</f>
        <v>800</v>
      </c>
      <c r="G117" s="169"/>
      <c r="H117" s="169"/>
      <c r="I117" s="169">
        <f>-800</f>
        <v>-800</v>
      </c>
      <c r="J117" s="169"/>
      <c r="K117" s="169"/>
      <c r="L117" s="169"/>
      <c r="M117" s="169"/>
      <c r="N117" s="169"/>
      <c r="O117" s="169">
        <f t="shared" si="25"/>
        <v>0</v>
      </c>
      <c r="P117" s="169"/>
      <c r="Q117" s="169"/>
      <c r="R117" s="169"/>
      <c r="S117" s="169"/>
      <c r="T117" s="169"/>
      <c r="U117" s="169">
        <f t="shared" si="26"/>
        <v>0</v>
      </c>
      <c r="V117" s="430"/>
      <c r="W117" s="419">
        <f t="shared" si="24"/>
        <v>0</v>
      </c>
    </row>
    <row r="118" spans="1:23" ht="30.95" customHeight="1" x14ac:dyDescent="0.2">
      <c r="A118" s="40">
        <v>12</v>
      </c>
      <c r="B118" s="230" t="s">
        <v>733</v>
      </c>
      <c r="C118" s="34" t="s">
        <v>734</v>
      </c>
      <c r="D118" s="169"/>
      <c r="E118" s="169"/>
      <c r="F118" s="169">
        <f>806</f>
        <v>806</v>
      </c>
      <c r="G118" s="169"/>
      <c r="H118" s="169"/>
      <c r="I118" s="169"/>
      <c r="J118" s="169"/>
      <c r="K118" s="169"/>
      <c r="L118" s="169"/>
      <c r="M118" s="169"/>
      <c r="N118" s="169"/>
      <c r="O118" s="169">
        <f t="shared" si="25"/>
        <v>806</v>
      </c>
      <c r="P118" s="169"/>
      <c r="Q118" s="169"/>
      <c r="R118" s="169"/>
      <c r="S118" s="169"/>
      <c r="T118" s="169"/>
      <c r="U118" s="169">
        <f t="shared" si="26"/>
        <v>0</v>
      </c>
      <c r="V118" s="430"/>
      <c r="W118" s="419">
        <f t="shared" si="24"/>
        <v>806</v>
      </c>
    </row>
    <row r="119" spans="1:23" ht="30.95" customHeight="1" x14ac:dyDescent="0.2">
      <c r="A119" s="40">
        <v>13</v>
      </c>
      <c r="B119" s="230" t="s">
        <v>735</v>
      </c>
      <c r="C119" s="41" t="s">
        <v>736</v>
      </c>
      <c r="D119" s="169"/>
      <c r="E119" s="169"/>
      <c r="F119" s="169">
        <f>-0.92</f>
        <v>-0.92</v>
      </c>
      <c r="G119" s="169"/>
      <c r="H119" s="169"/>
      <c r="I119" s="169"/>
      <c r="J119" s="169"/>
      <c r="K119" s="169"/>
      <c r="L119" s="169"/>
      <c r="M119" s="169"/>
      <c r="N119" s="169"/>
      <c r="O119" s="169">
        <f t="shared" si="25"/>
        <v>-0.92</v>
      </c>
      <c r="P119" s="169"/>
      <c r="Q119" s="169"/>
      <c r="R119" s="169"/>
      <c r="S119" s="169"/>
      <c r="T119" s="169"/>
      <c r="U119" s="169">
        <f t="shared" si="26"/>
        <v>0</v>
      </c>
      <c r="V119" s="430"/>
      <c r="W119" s="419">
        <f t="shared" si="24"/>
        <v>-0.92</v>
      </c>
    </row>
    <row r="120" spans="1:23" ht="30.95" customHeight="1" x14ac:dyDescent="0.2">
      <c r="A120" s="40">
        <v>14</v>
      </c>
      <c r="B120" s="230" t="s">
        <v>737</v>
      </c>
      <c r="C120" s="41" t="s">
        <v>738</v>
      </c>
      <c r="D120" s="169"/>
      <c r="E120" s="169"/>
      <c r="F120" s="169"/>
      <c r="G120" s="169"/>
      <c r="H120" s="169"/>
      <c r="I120" s="169"/>
      <c r="J120" s="169"/>
      <c r="K120" s="169">
        <f>216342</f>
        <v>216342</v>
      </c>
      <c r="L120" s="169"/>
      <c r="M120" s="169"/>
      <c r="N120" s="169"/>
      <c r="O120" s="169">
        <f>SUM(D120:N120)</f>
        <v>216342</v>
      </c>
      <c r="P120" s="169"/>
      <c r="Q120" s="169"/>
      <c r="R120" s="169"/>
      <c r="S120" s="169"/>
      <c r="T120" s="169"/>
      <c r="U120" s="169">
        <f>SUM(Q120:T120)</f>
        <v>0</v>
      </c>
      <c r="V120" s="430"/>
      <c r="W120" s="419">
        <f>O120+U120</f>
        <v>216342</v>
      </c>
    </row>
    <row r="121" spans="1:23" s="530" customFormat="1" ht="30.95" customHeight="1" x14ac:dyDescent="0.2">
      <c r="A121" s="40">
        <v>15</v>
      </c>
      <c r="B121" s="230" t="s">
        <v>739</v>
      </c>
      <c r="C121" s="711" t="s">
        <v>740</v>
      </c>
      <c r="D121" s="445"/>
      <c r="E121" s="445"/>
      <c r="F121" s="445"/>
      <c r="G121" s="445"/>
      <c r="H121" s="445">
        <f>17387+4694</f>
        <v>22081</v>
      </c>
      <c r="I121" s="445"/>
      <c r="J121" s="445"/>
      <c r="K121" s="712"/>
      <c r="L121" s="445"/>
      <c r="M121" s="445"/>
      <c r="N121" s="445"/>
      <c r="O121" s="169">
        <f t="shared" si="25"/>
        <v>22081</v>
      </c>
      <c r="P121" s="445"/>
      <c r="Q121" s="445"/>
      <c r="R121" s="445"/>
      <c r="S121" s="445"/>
      <c r="T121" s="445"/>
      <c r="U121" s="169">
        <f t="shared" si="26"/>
        <v>0</v>
      </c>
      <c r="V121" s="430"/>
      <c r="W121" s="419">
        <f t="shared" si="24"/>
        <v>22081</v>
      </c>
    </row>
    <row r="122" spans="1:23" ht="30.95" customHeight="1" x14ac:dyDescent="0.2">
      <c r="A122" s="40">
        <v>16</v>
      </c>
      <c r="B122" s="713" t="s">
        <v>742</v>
      </c>
      <c r="C122" s="41" t="s">
        <v>741</v>
      </c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>
        <f>31900.55</f>
        <v>31900.55</v>
      </c>
      <c r="O122" s="169">
        <f t="shared" si="25"/>
        <v>31900.55</v>
      </c>
      <c r="P122" s="169"/>
      <c r="Q122" s="169"/>
      <c r="R122" s="169"/>
      <c r="S122" s="169"/>
      <c r="T122" s="169"/>
      <c r="U122" s="169">
        <f t="shared" si="26"/>
        <v>0</v>
      </c>
      <c r="V122" s="430"/>
      <c r="W122" s="419">
        <f t="shared" si="24"/>
        <v>31900.55</v>
      </c>
    </row>
    <row r="123" spans="1:23" ht="30.95" customHeight="1" x14ac:dyDescent="0.2">
      <c r="A123" s="40">
        <v>17</v>
      </c>
      <c r="B123" s="227" t="s">
        <v>745</v>
      </c>
      <c r="C123" s="41" t="s">
        <v>746</v>
      </c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>
        <f t="shared" si="25"/>
        <v>0</v>
      </c>
      <c r="P123" s="169"/>
      <c r="Q123" s="169"/>
      <c r="R123" s="169"/>
      <c r="S123" s="169">
        <v>43460.5</v>
      </c>
      <c r="T123" s="169"/>
      <c r="U123" s="169">
        <f t="shared" si="26"/>
        <v>43460.5</v>
      </c>
      <c r="V123" s="430"/>
      <c r="W123" s="419">
        <f t="shared" si="24"/>
        <v>43460.5</v>
      </c>
    </row>
    <row r="124" spans="1:23" ht="24.95" customHeight="1" x14ac:dyDescent="0.2">
      <c r="A124" s="40"/>
      <c r="B124" s="31"/>
      <c r="C124" s="41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169"/>
      <c r="T124" s="169"/>
      <c r="U124" s="169"/>
      <c r="V124" s="430"/>
      <c r="W124" s="419"/>
    </row>
    <row r="125" spans="1:23" ht="24.95" hidden="1" customHeight="1" x14ac:dyDescent="0.2">
      <c r="A125" s="40"/>
      <c r="B125" s="228"/>
      <c r="C125" s="41"/>
      <c r="D125" s="169"/>
      <c r="E125" s="169"/>
      <c r="G125" s="169"/>
      <c r="H125" s="169"/>
      <c r="I125" s="169"/>
      <c r="J125" s="169"/>
      <c r="K125" s="169"/>
      <c r="L125" s="169"/>
      <c r="M125" s="169"/>
      <c r="N125" s="169"/>
      <c r="O125" s="169">
        <f>SUM(D125:N125)</f>
        <v>0</v>
      </c>
      <c r="P125" s="169"/>
      <c r="Q125" s="169"/>
      <c r="R125" s="169"/>
      <c r="S125" s="169"/>
      <c r="T125" s="169"/>
      <c r="U125" s="169">
        <f t="shared" si="26"/>
        <v>0</v>
      </c>
      <c r="V125" s="430"/>
      <c r="W125" s="419">
        <f t="shared" si="24"/>
        <v>0</v>
      </c>
    </row>
    <row r="126" spans="1:23" ht="24.95" hidden="1" customHeight="1" x14ac:dyDescent="0.2">
      <c r="A126" s="40"/>
      <c r="B126" s="45"/>
      <c r="C126" s="33"/>
      <c r="D126" s="169"/>
      <c r="E126" s="169"/>
      <c r="F126" s="169"/>
      <c r="G126" s="169"/>
      <c r="H126" s="169"/>
      <c r="I126" s="169"/>
      <c r="J126" s="169"/>
      <c r="K126" s="169"/>
      <c r="L126" s="169"/>
      <c r="M126" s="169"/>
      <c r="N126" s="169"/>
      <c r="O126" s="169">
        <f t="shared" si="25"/>
        <v>0</v>
      </c>
      <c r="P126" s="169"/>
      <c r="Q126" s="169"/>
      <c r="R126" s="169"/>
      <c r="S126" s="169"/>
      <c r="T126" s="169"/>
      <c r="U126" s="169">
        <f t="shared" si="26"/>
        <v>0</v>
      </c>
      <c r="V126" s="430"/>
      <c r="W126" s="419">
        <f t="shared" si="24"/>
        <v>0</v>
      </c>
    </row>
    <row r="127" spans="1:23" ht="24.95" hidden="1" customHeight="1" x14ac:dyDescent="0.2">
      <c r="A127" s="40"/>
      <c r="B127" s="123"/>
      <c r="C127" s="41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>
        <f t="shared" si="25"/>
        <v>0</v>
      </c>
      <c r="P127" s="169"/>
      <c r="Q127" s="169"/>
      <c r="R127" s="169"/>
      <c r="S127" s="169"/>
      <c r="T127" s="169"/>
      <c r="U127" s="169">
        <f t="shared" si="26"/>
        <v>0</v>
      </c>
      <c r="V127" s="430"/>
      <c r="W127" s="419">
        <f t="shared" si="24"/>
        <v>0</v>
      </c>
    </row>
    <row r="128" spans="1:23" ht="24.95" hidden="1" customHeight="1" x14ac:dyDescent="0.2">
      <c r="A128" s="40"/>
      <c r="B128" s="181"/>
      <c r="C128" s="41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>
        <f t="shared" si="25"/>
        <v>0</v>
      </c>
      <c r="P128" s="169"/>
      <c r="Q128" s="169"/>
      <c r="R128" s="169"/>
      <c r="S128" s="169"/>
      <c r="T128" s="169"/>
      <c r="U128" s="169">
        <f t="shared" si="26"/>
        <v>0</v>
      </c>
      <c r="V128" s="430"/>
      <c r="W128" s="419">
        <f t="shared" si="24"/>
        <v>0</v>
      </c>
    </row>
    <row r="129" spans="1:24" ht="24.95" hidden="1" customHeight="1" x14ac:dyDescent="0.2">
      <c r="A129" s="40"/>
      <c r="B129" s="181"/>
      <c r="C129" s="41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>
        <f t="shared" si="25"/>
        <v>0</v>
      </c>
      <c r="P129" s="169"/>
      <c r="Q129" s="169"/>
      <c r="R129" s="169"/>
      <c r="S129" s="169"/>
      <c r="T129" s="169"/>
      <c r="U129" s="169">
        <f t="shared" si="26"/>
        <v>0</v>
      </c>
      <c r="V129" s="430"/>
      <c r="W129" s="419">
        <f t="shared" si="24"/>
        <v>0</v>
      </c>
    </row>
    <row r="130" spans="1:24" ht="24.95" hidden="1" customHeight="1" x14ac:dyDescent="0.2">
      <c r="A130" s="40"/>
      <c r="B130" s="181"/>
      <c r="C130" s="41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>
        <f t="shared" si="25"/>
        <v>0</v>
      </c>
      <c r="P130" s="169"/>
      <c r="Q130" s="169"/>
      <c r="R130" s="169"/>
      <c r="S130" s="169"/>
      <c r="T130" s="169"/>
      <c r="U130" s="169">
        <f t="shared" si="26"/>
        <v>0</v>
      </c>
      <c r="V130" s="430"/>
      <c r="W130" s="419">
        <f t="shared" si="24"/>
        <v>0</v>
      </c>
    </row>
    <row r="131" spans="1:24" ht="24.95" hidden="1" customHeight="1" x14ac:dyDescent="0.2">
      <c r="A131" s="40"/>
      <c r="B131" s="123"/>
      <c r="C131" s="41"/>
      <c r="D131" s="169"/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>
        <f t="shared" si="25"/>
        <v>0</v>
      </c>
      <c r="P131" s="169"/>
      <c r="Q131" s="169"/>
      <c r="R131" s="169"/>
      <c r="S131" s="169"/>
      <c r="T131" s="169"/>
      <c r="U131" s="169">
        <f t="shared" si="26"/>
        <v>0</v>
      </c>
      <c r="V131" s="430"/>
      <c r="W131" s="419">
        <f t="shared" si="24"/>
        <v>0</v>
      </c>
    </row>
    <row r="132" spans="1:24" ht="24.95" hidden="1" customHeight="1" x14ac:dyDescent="0.2">
      <c r="A132" s="40"/>
      <c r="B132" s="123"/>
      <c r="C132" s="41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430"/>
      <c r="W132" s="419"/>
    </row>
    <row r="133" spans="1:24" ht="13.5" customHeight="1" thickBot="1" x14ac:dyDescent="0.25">
      <c r="A133" s="40"/>
      <c r="B133" s="32"/>
      <c r="C133" s="34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430"/>
      <c r="W133" s="419"/>
    </row>
    <row r="134" spans="1:24" ht="24.95" customHeight="1" thickTop="1" thickBot="1" x14ac:dyDescent="0.25">
      <c r="A134" s="46"/>
      <c r="B134" s="42" t="s">
        <v>593</v>
      </c>
      <c r="C134" s="44" t="s">
        <v>19</v>
      </c>
      <c r="D134" s="204">
        <f t="shared" ref="D134:O134" si="29">SUM(D107:D133)</f>
        <v>41291.790000000008</v>
      </c>
      <c r="E134" s="204">
        <f t="shared" si="29"/>
        <v>0</v>
      </c>
      <c r="F134" s="204">
        <f t="shared" si="29"/>
        <v>1605.08</v>
      </c>
      <c r="G134" s="204">
        <f t="shared" si="29"/>
        <v>-86395</v>
      </c>
      <c r="H134" s="204">
        <f t="shared" si="29"/>
        <v>65361</v>
      </c>
      <c r="I134" s="204">
        <f t="shared" si="29"/>
        <v>-800</v>
      </c>
      <c r="J134" s="204">
        <f t="shared" si="29"/>
        <v>0</v>
      </c>
      <c r="K134" s="204">
        <f t="shared" si="29"/>
        <v>216342</v>
      </c>
      <c r="L134" s="204">
        <f t="shared" si="29"/>
        <v>190</v>
      </c>
      <c r="M134" s="204">
        <f t="shared" si="29"/>
        <v>0</v>
      </c>
      <c r="N134" s="204">
        <f t="shared" si="29"/>
        <v>31900.55</v>
      </c>
      <c r="O134" s="204">
        <f t="shared" si="29"/>
        <v>269495.42</v>
      </c>
      <c r="P134" s="331"/>
      <c r="Q134" s="204">
        <f>SUM(Q107:Q133)</f>
        <v>1895052</v>
      </c>
      <c r="R134" s="204">
        <f>SUM(R107:R133)</f>
        <v>0</v>
      </c>
      <c r="S134" s="204">
        <f>SUM(S107:S133)</f>
        <v>43460.5</v>
      </c>
      <c r="T134" s="204">
        <f>SUM(T107:T133)</f>
        <v>0</v>
      </c>
      <c r="U134" s="204">
        <f>SUM(U107:U133)</f>
        <v>1938512.5</v>
      </c>
      <c r="V134" s="433"/>
      <c r="W134" s="421">
        <f>O134+U134</f>
        <v>2208007.92</v>
      </c>
    </row>
    <row r="135" spans="1:24" ht="24.95" hidden="1" customHeight="1" thickTop="1" x14ac:dyDescent="0.2">
      <c r="A135" s="207"/>
      <c r="B135" s="222"/>
      <c r="C135" s="544"/>
      <c r="D135" s="545"/>
      <c r="E135" s="259"/>
      <c r="F135" s="259"/>
      <c r="G135" s="259"/>
      <c r="H135" s="259"/>
      <c r="I135" s="259"/>
      <c r="J135" s="259"/>
      <c r="K135" s="259"/>
      <c r="L135" s="259"/>
      <c r="M135" s="259"/>
      <c r="N135" s="259"/>
      <c r="O135" s="259"/>
      <c r="P135" s="259"/>
      <c r="Q135" s="259"/>
      <c r="R135" s="259"/>
      <c r="S135" s="259"/>
      <c r="T135" s="259"/>
      <c r="U135" s="259"/>
      <c r="V135" s="434"/>
      <c r="W135" s="423"/>
      <c r="X135" s="29"/>
    </row>
    <row r="136" spans="1:24" ht="24.95" hidden="1" customHeight="1" x14ac:dyDescent="0.2">
      <c r="A136" s="40"/>
      <c r="B136" s="48"/>
      <c r="C136" s="28" t="s">
        <v>181</v>
      </c>
      <c r="D136" s="155"/>
      <c r="E136" s="155"/>
      <c r="F136" s="155"/>
      <c r="G136" s="155"/>
      <c r="H136" s="169"/>
      <c r="I136" s="155"/>
      <c r="J136" s="155"/>
      <c r="K136" s="155"/>
      <c r="L136" s="155"/>
      <c r="M136" s="155"/>
      <c r="N136" s="155"/>
      <c r="O136" s="155">
        <f t="shared" ref="O136:O150" si="30">SUM(D136:N136)</f>
        <v>0</v>
      </c>
      <c r="P136" s="155"/>
      <c r="Q136" s="155"/>
      <c r="R136" s="155"/>
      <c r="S136" s="155"/>
      <c r="T136" s="155"/>
      <c r="U136" s="155">
        <f t="shared" ref="U136:U150" si="31">SUM(Q136:T136)</f>
        <v>0</v>
      </c>
      <c r="V136" s="435"/>
      <c r="W136" s="419">
        <f t="shared" ref="W136:W151" si="32">O136+U136</f>
        <v>0</v>
      </c>
    </row>
    <row r="137" spans="1:24" ht="24.95" hidden="1" customHeight="1" x14ac:dyDescent="0.2">
      <c r="A137" s="40"/>
      <c r="B137" s="48"/>
      <c r="C137" s="28"/>
      <c r="D137" s="155"/>
      <c r="E137" s="155"/>
      <c r="F137" s="155"/>
      <c r="G137" s="155"/>
      <c r="H137" s="169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435"/>
      <c r="W137" s="419"/>
    </row>
    <row r="138" spans="1:24" ht="24.95" hidden="1" customHeight="1" x14ac:dyDescent="0.2">
      <c r="A138" s="40"/>
      <c r="B138" s="48" t="s">
        <v>21</v>
      </c>
      <c r="C138" s="49" t="s">
        <v>22</v>
      </c>
      <c r="D138" s="3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>
        <f t="shared" si="30"/>
        <v>0</v>
      </c>
      <c r="P138" s="155"/>
      <c r="Q138" s="155"/>
      <c r="R138" s="155"/>
      <c r="S138" s="155"/>
      <c r="T138" s="155"/>
      <c r="U138" s="155">
        <f t="shared" si="31"/>
        <v>0</v>
      </c>
      <c r="V138" s="435"/>
      <c r="W138" s="419">
        <f t="shared" si="32"/>
        <v>0</v>
      </c>
    </row>
    <row r="139" spans="1:24" ht="24.95" hidden="1" customHeight="1" x14ac:dyDescent="0.2">
      <c r="A139" s="40"/>
      <c r="B139" s="48" t="s">
        <v>23</v>
      </c>
      <c r="C139" s="49" t="s">
        <v>22</v>
      </c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>
        <f t="shared" si="30"/>
        <v>0</v>
      </c>
      <c r="P139" s="155"/>
      <c r="Q139" s="155"/>
      <c r="R139" s="155"/>
      <c r="S139" s="155"/>
      <c r="T139" s="155"/>
      <c r="U139" s="155">
        <f t="shared" si="31"/>
        <v>0</v>
      </c>
      <c r="V139" s="435"/>
      <c r="W139" s="419">
        <f t="shared" si="32"/>
        <v>0</v>
      </c>
    </row>
    <row r="140" spans="1:24" ht="24.95" hidden="1" customHeight="1" x14ac:dyDescent="0.2">
      <c r="A140" s="40"/>
      <c r="B140" s="48" t="s">
        <v>25</v>
      </c>
      <c r="C140" s="49" t="s">
        <v>22</v>
      </c>
      <c r="D140" s="155"/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>
        <f t="shared" si="30"/>
        <v>0</v>
      </c>
      <c r="P140" s="155"/>
      <c r="Q140" s="155"/>
      <c r="R140" s="155"/>
      <c r="S140" s="155"/>
      <c r="T140" s="155"/>
      <c r="U140" s="155">
        <f t="shared" si="31"/>
        <v>0</v>
      </c>
      <c r="V140" s="435"/>
      <c r="W140" s="419">
        <f t="shared" si="32"/>
        <v>0</v>
      </c>
    </row>
    <row r="141" spans="1:24" ht="24.95" hidden="1" customHeight="1" x14ac:dyDescent="0.2">
      <c r="A141" s="40"/>
      <c r="B141" s="48" t="s">
        <v>71</v>
      </c>
      <c r="C141" s="49" t="s">
        <v>22</v>
      </c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>
        <f t="shared" si="30"/>
        <v>0</v>
      </c>
      <c r="P141" s="155"/>
      <c r="Q141" s="155"/>
      <c r="R141" s="155"/>
      <c r="S141" s="155"/>
      <c r="T141" s="155"/>
      <c r="U141" s="155">
        <f t="shared" si="31"/>
        <v>0</v>
      </c>
      <c r="V141" s="435"/>
      <c r="W141" s="419">
        <f t="shared" si="32"/>
        <v>0</v>
      </c>
    </row>
    <row r="142" spans="1:24" ht="24.95" hidden="1" customHeight="1" x14ac:dyDescent="0.2">
      <c r="A142" s="40"/>
      <c r="B142" s="48" t="s">
        <v>26</v>
      </c>
      <c r="C142" s="49" t="s">
        <v>22</v>
      </c>
      <c r="D142" s="155"/>
      <c r="E142" s="155"/>
      <c r="F142" s="155"/>
      <c r="G142" s="155"/>
      <c r="H142" s="155"/>
      <c r="I142" s="155"/>
      <c r="J142" s="155"/>
      <c r="K142" s="155"/>
      <c r="L142" s="155"/>
      <c r="M142" s="155"/>
      <c r="N142" s="155"/>
      <c r="O142" s="155">
        <f t="shared" si="30"/>
        <v>0</v>
      </c>
      <c r="P142" s="155"/>
      <c r="Q142" s="155"/>
      <c r="R142" s="155"/>
      <c r="S142" s="155"/>
      <c r="T142" s="155"/>
      <c r="U142" s="155">
        <f t="shared" si="31"/>
        <v>0</v>
      </c>
      <c r="V142" s="435"/>
      <c r="W142" s="419">
        <f t="shared" si="32"/>
        <v>0</v>
      </c>
    </row>
    <row r="143" spans="1:24" ht="24.95" hidden="1" customHeight="1" x14ac:dyDescent="0.2">
      <c r="A143" s="40"/>
      <c r="B143" s="48" t="s">
        <v>118</v>
      </c>
      <c r="C143" s="49" t="s">
        <v>22</v>
      </c>
      <c r="D143" s="155"/>
      <c r="E143" s="155"/>
      <c r="F143" s="155"/>
      <c r="G143" s="155"/>
      <c r="H143" s="155"/>
      <c r="I143" s="155"/>
      <c r="J143" s="155"/>
      <c r="K143" s="155"/>
      <c r="L143" s="155"/>
      <c r="M143" s="155"/>
      <c r="N143" s="155"/>
      <c r="O143" s="155">
        <f t="shared" si="30"/>
        <v>0</v>
      </c>
      <c r="Q143" s="155"/>
      <c r="R143" s="155"/>
      <c r="S143" s="155"/>
      <c r="T143" s="155"/>
      <c r="U143" s="155">
        <f t="shared" si="31"/>
        <v>0</v>
      </c>
      <c r="V143" s="435"/>
      <c r="W143" s="419">
        <f t="shared" si="32"/>
        <v>0</v>
      </c>
    </row>
    <row r="144" spans="1:24" ht="24.95" hidden="1" customHeight="1" x14ac:dyDescent="0.2">
      <c r="A144" s="40"/>
      <c r="B144" s="48" t="s">
        <v>74</v>
      </c>
      <c r="C144" s="49" t="s">
        <v>22</v>
      </c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>
        <f t="shared" si="30"/>
        <v>0</v>
      </c>
      <c r="Q144" s="155"/>
      <c r="R144" s="155"/>
      <c r="S144" s="155"/>
      <c r="T144" s="155"/>
      <c r="U144" s="155">
        <f t="shared" si="31"/>
        <v>0</v>
      </c>
      <c r="V144" s="435"/>
      <c r="W144" s="419">
        <f t="shared" si="32"/>
        <v>0</v>
      </c>
    </row>
    <row r="145" spans="1:24" ht="24.95" hidden="1" customHeight="1" x14ac:dyDescent="0.2">
      <c r="A145" s="40"/>
      <c r="B145" s="48" t="s">
        <v>75</v>
      </c>
      <c r="C145" s="49" t="s">
        <v>22</v>
      </c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>
        <f t="shared" si="30"/>
        <v>0</v>
      </c>
      <c r="P145" s="155"/>
      <c r="Q145" s="155"/>
      <c r="R145" s="155"/>
      <c r="S145" s="155"/>
      <c r="T145" s="155"/>
      <c r="U145" s="155">
        <f t="shared" si="31"/>
        <v>0</v>
      </c>
      <c r="V145" s="435"/>
      <c r="W145" s="419">
        <f t="shared" si="32"/>
        <v>0</v>
      </c>
    </row>
    <row r="146" spans="1:24" ht="24.95" hidden="1" customHeight="1" x14ac:dyDescent="0.2">
      <c r="A146" s="40"/>
      <c r="B146" s="48" t="s">
        <v>29</v>
      </c>
      <c r="C146" s="49" t="s">
        <v>22</v>
      </c>
      <c r="D146" s="155"/>
      <c r="E146" s="155"/>
      <c r="F146" s="155"/>
      <c r="G146" s="155"/>
      <c r="H146" s="155"/>
      <c r="I146" s="155"/>
      <c r="J146" s="155"/>
      <c r="K146" s="155"/>
      <c r="L146" s="155"/>
      <c r="M146" s="155"/>
      <c r="N146" s="155"/>
      <c r="O146" s="155">
        <f t="shared" si="30"/>
        <v>0</v>
      </c>
      <c r="P146" s="440"/>
      <c r="Q146" s="155"/>
      <c r="R146" s="155"/>
      <c r="S146" s="155"/>
      <c r="T146" s="155"/>
      <c r="U146" s="155">
        <f t="shared" si="31"/>
        <v>0</v>
      </c>
      <c r="V146" s="435"/>
      <c r="W146" s="419">
        <f t="shared" si="32"/>
        <v>0</v>
      </c>
    </row>
    <row r="147" spans="1:24" ht="24.95" hidden="1" customHeight="1" x14ac:dyDescent="0.2">
      <c r="A147" s="40"/>
      <c r="B147" s="48" t="s">
        <v>76</v>
      </c>
      <c r="C147" s="49" t="s">
        <v>22</v>
      </c>
      <c r="D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>
        <f t="shared" si="30"/>
        <v>0</v>
      </c>
      <c r="P147" s="155"/>
      <c r="Q147" s="155"/>
      <c r="R147" s="155"/>
      <c r="S147" s="155"/>
      <c r="T147" s="155"/>
      <c r="U147" s="155">
        <f t="shared" si="31"/>
        <v>0</v>
      </c>
      <c r="V147" s="435"/>
      <c r="W147" s="419">
        <f t="shared" si="32"/>
        <v>0</v>
      </c>
    </row>
    <row r="148" spans="1:24" ht="24.95" hidden="1" customHeight="1" x14ac:dyDescent="0.2">
      <c r="A148" s="40"/>
      <c r="B148" s="48" t="s">
        <v>119</v>
      </c>
      <c r="C148" s="49" t="s">
        <v>22</v>
      </c>
      <c r="D148" s="155"/>
      <c r="E148" s="155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>
        <f t="shared" si="30"/>
        <v>0</v>
      </c>
      <c r="P148" s="155"/>
      <c r="Q148" s="155"/>
      <c r="R148" s="155"/>
      <c r="S148" s="155"/>
      <c r="T148" s="155"/>
      <c r="U148" s="155">
        <f t="shared" si="31"/>
        <v>0</v>
      </c>
      <c r="V148" s="435"/>
      <c r="W148" s="419">
        <f t="shared" si="32"/>
        <v>0</v>
      </c>
    </row>
    <row r="149" spans="1:24" ht="24.95" hidden="1" customHeight="1" x14ac:dyDescent="0.2">
      <c r="A149" s="40"/>
      <c r="B149" s="48" t="s">
        <v>120</v>
      </c>
      <c r="C149" s="49" t="s">
        <v>22</v>
      </c>
      <c r="D149" s="155"/>
      <c r="E149" s="155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>
        <f t="shared" si="30"/>
        <v>0</v>
      </c>
      <c r="P149" s="155"/>
      <c r="Q149" s="155"/>
      <c r="R149" s="155"/>
      <c r="S149" s="155"/>
      <c r="T149" s="155"/>
      <c r="U149" s="155">
        <f t="shared" si="31"/>
        <v>0</v>
      </c>
      <c r="V149" s="435"/>
      <c r="W149" s="419">
        <f t="shared" si="32"/>
        <v>0</v>
      </c>
    </row>
    <row r="150" spans="1:24" ht="24.95" hidden="1" customHeight="1" x14ac:dyDescent="0.2">
      <c r="A150" s="40"/>
      <c r="B150" s="48"/>
      <c r="C150" s="41" t="s">
        <v>68</v>
      </c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>
        <f t="shared" si="30"/>
        <v>0</v>
      </c>
      <c r="P150" s="155"/>
      <c r="Q150" s="155"/>
      <c r="R150" s="155"/>
      <c r="S150" s="155"/>
      <c r="T150" s="155"/>
      <c r="U150" s="155">
        <f t="shared" si="31"/>
        <v>0</v>
      </c>
      <c r="V150" s="435"/>
      <c r="W150" s="419">
        <f t="shared" si="32"/>
        <v>0</v>
      </c>
    </row>
    <row r="151" spans="1:24" ht="24.95" hidden="1" customHeight="1" thickBot="1" x14ac:dyDescent="0.25">
      <c r="A151" s="40"/>
      <c r="B151" s="48"/>
      <c r="C151" s="49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435"/>
      <c r="W151" s="419">
        <f t="shared" si="32"/>
        <v>0</v>
      </c>
    </row>
    <row r="152" spans="1:24" ht="24.95" hidden="1" customHeight="1" thickTop="1" thickBot="1" x14ac:dyDescent="0.25">
      <c r="A152" s="47"/>
      <c r="B152" s="43"/>
      <c r="C152" s="44" t="s">
        <v>30</v>
      </c>
      <c r="D152" s="163">
        <f t="shared" ref="D152:O152" si="33">SUM(D136:D151)</f>
        <v>0</v>
      </c>
      <c r="E152" s="163">
        <f t="shared" si="33"/>
        <v>0</v>
      </c>
      <c r="F152" s="163">
        <f t="shared" si="33"/>
        <v>0</v>
      </c>
      <c r="G152" s="163">
        <f t="shared" si="33"/>
        <v>0</v>
      </c>
      <c r="H152" s="163">
        <f t="shared" si="33"/>
        <v>0</v>
      </c>
      <c r="I152" s="163">
        <f t="shared" si="33"/>
        <v>0</v>
      </c>
      <c r="J152" s="163">
        <f t="shared" si="33"/>
        <v>0</v>
      </c>
      <c r="K152" s="163">
        <f t="shared" si="33"/>
        <v>0</v>
      </c>
      <c r="L152" s="163">
        <f t="shared" si="33"/>
        <v>0</v>
      </c>
      <c r="M152" s="163">
        <f t="shared" si="33"/>
        <v>0</v>
      </c>
      <c r="N152" s="163">
        <f t="shared" si="33"/>
        <v>0</v>
      </c>
      <c r="O152" s="163">
        <f t="shared" si="33"/>
        <v>0</v>
      </c>
      <c r="P152" s="163"/>
      <c r="Q152" s="163">
        <f>SUM(Q136:Q151)</f>
        <v>0</v>
      </c>
      <c r="R152" s="163">
        <f>SUM(R136:R151)</f>
        <v>0</v>
      </c>
      <c r="S152" s="163">
        <f>SUM(S136:S151)</f>
        <v>0</v>
      </c>
      <c r="T152" s="163">
        <f>SUM(T136:T151)</f>
        <v>0</v>
      </c>
      <c r="U152" s="163">
        <f>SUM(U136:U151)</f>
        <v>0</v>
      </c>
      <c r="V152" s="273"/>
      <c r="W152" s="424">
        <f>O152+U152</f>
        <v>0</v>
      </c>
    </row>
    <row r="153" spans="1:24" ht="9.9499999999999993" hidden="1" customHeight="1" thickTop="1" x14ac:dyDescent="0.2">
      <c r="A153" s="186"/>
      <c r="B153" s="187"/>
      <c r="C153" s="188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436"/>
      <c r="V153" s="190"/>
      <c r="W153" s="425"/>
    </row>
    <row r="154" spans="1:24" ht="24.95" hidden="1" customHeight="1" x14ac:dyDescent="0.2">
      <c r="A154" s="191"/>
      <c r="B154" s="192"/>
      <c r="C154" s="200" t="s">
        <v>68</v>
      </c>
      <c r="D154" s="193"/>
      <c r="E154" s="193"/>
      <c r="F154" s="193"/>
      <c r="G154" s="193"/>
      <c r="H154" s="193"/>
      <c r="I154" s="193"/>
      <c r="J154" s="193"/>
      <c r="K154" s="193"/>
      <c r="L154" s="193"/>
      <c r="M154" s="193"/>
      <c r="N154" s="193"/>
      <c r="O154" s="193">
        <f>SUM(D154:N154)</f>
        <v>0</v>
      </c>
      <c r="P154" s="193"/>
      <c r="Q154" s="193"/>
      <c r="R154" s="193"/>
      <c r="S154" s="193"/>
      <c r="T154" s="193"/>
      <c r="U154" s="437">
        <f>SUM(Q154:T154)</f>
        <v>0</v>
      </c>
      <c r="V154" s="438"/>
      <c r="W154" s="419">
        <f>O154+U154</f>
        <v>0</v>
      </c>
    </row>
    <row r="155" spans="1:24" ht="9.9499999999999993" hidden="1" customHeight="1" thickBot="1" x14ac:dyDescent="0.25">
      <c r="A155" s="195"/>
      <c r="B155" s="196"/>
      <c r="C155" s="197"/>
      <c r="D155" s="198"/>
      <c r="E155" s="198"/>
      <c r="F155" s="198"/>
      <c r="G155" s="198"/>
      <c r="H155" s="198"/>
      <c r="I155" s="198"/>
      <c r="J155" s="198"/>
      <c r="K155" s="198"/>
      <c r="L155" s="198"/>
      <c r="M155" s="198"/>
      <c r="N155" s="198"/>
      <c r="O155" s="198"/>
      <c r="P155" s="198"/>
      <c r="Q155" s="198"/>
      <c r="R155" s="198"/>
      <c r="S155" s="198"/>
      <c r="T155" s="198"/>
      <c r="U155" s="439"/>
      <c r="V155" s="199"/>
      <c r="W155" s="426"/>
    </row>
    <row r="156" spans="1:24" ht="24.95" customHeight="1" thickTop="1" thickBot="1" x14ac:dyDescent="0.25">
      <c r="A156" s="92"/>
      <c r="B156" s="46" t="s">
        <v>594</v>
      </c>
      <c r="C156" s="44" t="s">
        <v>154</v>
      </c>
      <c r="D156" s="204">
        <f t="shared" ref="D156:O156" si="34">D106+D134+D152</f>
        <v>2438424.952</v>
      </c>
      <c r="E156" s="204">
        <f t="shared" si="34"/>
        <v>89858.422000000006</v>
      </c>
      <c r="F156" s="204">
        <f t="shared" si="34"/>
        <v>54977.08</v>
      </c>
      <c r="G156" s="204">
        <f t="shared" si="34"/>
        <v>8338911</v>
      </c>
      <c r="H156" s="204">
        <f t="shared" si="34"/>
        <v>2574933.483</v>
      </c>
      <c r="I156" s="204">
        <f t="shared" si="34"/>
        <v>3278</v>
      </c>
      <c r="J156" s="204">
        <f t="shared" si="34"/>
        <v>200000</v>
      </c>
      <c r="K156" s="204">
        <f t="shared" si="34"/>
        <v>304449.20500000002</v>
      </c>
      <c r="L156" s="204">
        <f t="shared" si="34"/>
        <v>1363653</v>
      </c>
      <c r="M156" s="204">
        <f t="shared" si="34"/>
        <v>17800</v>
      </c>
      <c r="N156" s="204">
        <f t="shared" si="34"/>
        <v>31900.55</v>
      </c>
      <c r="O156" s="204">
        <f t="shared" si="34"/>
        <v>15418185.692</v>
      </c>
      <c r="P156" s="204"/>
      <c r="Q156" s="204">
        <f>Q106+Q134+Q152</f>
        <v>8610052</v>
      </c>
      <c r="R156" s="204">
        <f>R106+R134+R152</f>
        <v>3532804.4679999999</v>
      </c>
      <c r="S156" s="204">
        <f>S106+S134+S152</f>
        <v>43460.5</v>
      </c>
      <c r="T156" s="204">
        <f>T106+T134+T152</f>
        <v>0</v>
      </c>
      <c r="U156" s="204">
        <f>U106+U134+U152</f>
        <v>12186316.968</v>
      </c>
      <c r="V156" s="274"/>
      <c r="W156" s="421">
        <f>W106+W134+W152</f>
        <v>27604502.660000004</v>
      </c>
      <c r="X156" s="29"/>
    </row>
    <row r="157" spans="1:24" ht="24.95" hidden="1" customHeight="1" thickTop="1" x14ac:dyDescent="0.2">
      <c r="A157" s="546"/>
      <c r="B157" s="546" t="s">
        <v>183</v>
      </c>
      <c r="C157" s="560" t="s">
        <v>18</v>
      </c>
      <c r="D157" s="547">
        <f t="shared" ref="D157:U157" si="35">D156</f>
        <v>2438424.952</v>
      </c>
      <c r="E157" s="547">
        <f t="shared" si="35"/>
        <v>89858.422000000006</v>
      </c>
      <c r="F157" s="547">
        <f t="shared" si="35"/>
        <v>54977.08</v>
      </c>
      <c r="G157" s="547">
        <f t="shared" si="35"/>
        <v>8338911</v>
      </c>
      <c r="H157" s="547">
        <f t="shared" si="35"/>
        <v>2574933.483</v>
      </c>
      <c r="I157" s="547">
        <f t="shared" si="35"/>
        <v>3278</v>
      </c>
      <c r="J157" s="547">
        <f t="shared" si="35"/>
        <v>200000</v>
      </c>
      <c r="K157" s="547">
        <f t="shared" si="35"/>
        <v>304449.20500000002</v>
      </c>
      <c r="L157" s="547">
        <f t="shared" si="35"/>
        <v>1363653</v>
      </c>
      <c r="M157" s="547">
        <f t="shared" si="35"/>
        <v>17800</v>
      </c>
      <c r="N157" s="547">
        <f t="shared" si="35"/>
        <v>31900.55</v>
      </c>
      <c r="O157" s="547">
        <f t="shared" si="35"/>
        <v>15418185.692</v>
      </c>
      <c r="P157" s="547"/>
      <c r="Q157" s="547">
        <f t="shared" si="35"/>
        <v>8610052</v>
      </c>
      <c r="R157" s="547">
        <f t="shared" si="35"/>
        <v>3532804.4679999999</v>
      </c>
      <c r="S157" s="547">
        <f t="shared" si="35"/>
        <v>43460.5</v>
      </c>
      <c r="T157" s="547">
        <f t="shared" si="35"/>
        <v>0</v>
      </c>
      <c r="U157" s="547">
        <f t="shared" si="35"/>
        <v>12186316.968</v>
      </c>
      <c r="V157" s="548"/>
      <c r="W157" s="549">
        <f>O157+U157+W154</f>
        <v>27604502.66</v>
      </c>
    </row>
    <row r="158" spans="1:24" ht="20.100000000000001" hidden="1" customHeight="1" x14ac:dyDescent="0.2">
      <c r="A158" s="40">
        <v>1</v>
      </c>
      <c r="B158" s="558"/>
      <c r="C158" s="33"/>
      <c r="D158" s="169"/>
      <c r="E158" s="169"/>
      <c r="G158" s="169"/>
      <c r="H158" s="177"/>
      <c r="I158" s="169"/>
      <c r="J158" s="169"/>
      <c r="K158" s="169"/>
      <c r="L158" s="169"/>
      <c r="M158" s="169"/>
      <c r="N158" s="169"/>
      <c r="O158" s="169">
        <f>SUM(D158:N158)</f>
        <v>0</v>
      </c>
      <c r="P158" s="169"/>
      <c r="Q158" s="169"/>
      <c r="R158" s="169"/>
      <c r="S158" s="169"/>
      <c r="T158" s="169"/>
      <c r="U158" s="169">
        <f t="shared" ref="U158:U185" si="36">SUM(Q158:T158)</f>
        <v>0</v>
      </c>
      <c r="V158" s="430"/>
      <c r="W158" s="419">
        <f t="shared" ref="W158:W185" si="37">O158+U158</f>
        <v>0</v>
      </c>
    </row>
    <row r="159" spans="1:24" ht="20.100000000000001" hidden="1" customHeight="1" x14ac:dyDescent="0.2">
      <c r="A159" s="40">
        <v>2</v>
      </c>
      <c r="B159" s="50"/>
      <c r="C159" s="33"/>
      <c r="D159" s="169"/>
      <c r="E159" s="169"/>
      <c r="G159" s="169"/>
      <c r="H159" s="177"/>
      <c r="I159" s="169"/>
      <c r="J159" s="169"/>
      <c r="K159" s="169"/>
      <c r="L159" s="169"/>
      <c r="M159" s="169"/>
      <c r="N159" s="169"/>
      <c r="O159" s="169">
        <f>SUM(D159:N159)</f>
        <v>0</v>
      </c>
      <c r="P159" s="169"/>
      <c r="Q159" s="169"/>
      <c r="R159" s="169"/>
      <c r="S159" s="169"/>
      <c r="T159" s="169"/>
      <c r="U159" s="169">
        <f t="shared" si="36"/>
        <v>0</v>
      </c>
      <c r="V159" s="430"/>
      <c r="W159" s="419">
        <f t="shared" si="37"/>
        <v>0</v>
      </c>
    </row>
    <row r="160" spans="1:24" ht="20.100000000000001" hidden="1" customHeight="1" x14ac:dyDescent="0.2">
      <c r="A160" s="180">
        <v>3</v>
      </c>
      <c r="B160" s="288"/>
      <c r="C160" s="33"/>
      <c r="D160" s="169"/>
      <c r="E160" s="169"/>
      <c r="G160" s="169"/>
      <c r="H160" s="177"/>
      <c r="I160" s="169"/>
      <c r="J160" s="169"/>
      <c r="K160" s="169"/>
      <c r="L160" s="169"/>
      <c r="M160" s="169"/>
      <c r="N160" s="169"/>
      <c r="O160" s="169">
        <f>SUM(D160:N160)</f>
        <v>0</v>
      </c>
      <c r="P160" s="169"/>
      <c r="Q160" s="169"/>
      <c r="R160" s="169"/>
      <c r="S160" s="169"/>
      <c r="T160" s="169"/>
      <c r="U160" s="169">
        <f>SUM(Q160:T160)</f>
        <v>0</v>
      </c>
      <c r="V160" s="430"/>
      <c r="W160" s="419">
        <f>O160+U160</f>
        <v>0</v>
      </c>
    </row>
    <row r="161" spans="1:23" ht="20.100000000000001" hidden="1" customHeight="1" x14ac:dyDescent="0.2">
      <c r="A161" s="40"/>
      <c r="B161" s="50"/>
      <c r="C161" s="33"/>
      <c r="D161" s="177"/>
      <c r="E161" s="169"/>
      <c r="F161" s="169"/>
      <c r="G161" s="169"/>
      <c r="H161" s="177"/>
      <c r="I161" s="169"/>
      <c r="J161" s="169"/>
      <c r="K161" s="169"/>
      <c r="L161" s="169"/>
      <c r="M161" s="169"/>
      <c r="N161" s="169"/>
      <c r="O161" s="169">
        <f t="shared" ref="O161:O185" si="38">SUM(D161:N161)</f>
        <v>0</v>
      </c>
      <c r="P161" s="169"/>
      <c r="Q161" s="169"/>
      <c r="R161" s="169"/>
      <c r="S161" s="169"/>
      <c r="T161" s="169"/>
      <c r="U161" s="169">
        <f t="shared" si="36"/>
        <v>0</v>
      </c>
      <c r="V161" s="430"/>
      <c r="W161" s="419">
        <f t="shared" si="37"/>
        <v>0</v>
      </c>
    </row>
    <row r="162" spans="1:23" ht="20.100000000000001" hidden="1" customHeight="1" x14ac:dyDescent="0.2">
      <c r="A162" s="40"/>
      <c r="B162" s="50"/>
      <c r="C162" s="33"/>
      <c r="D162" s="177"/>
      <c r="E162" s="169"/>
      <c r="F162" s="169"/>
      <c r="G162" s="169"/>
      <c r="H162" s="177"/>
      <c r="I162" s="169"/>
      <c r="J162" s="169"/>
      <c r="K162" s="169"/>
      <c r="L162" s="169"/>
      <c r="M162" s="169"/>
      <c r="N162" s="335"/>
      <c r="O162" s="169">
        <f t="shared" si="38"/>
        <v>0</v>
      </c>
      <c r="P162" s="169"/>
      <c r="Q162" s="169"/>
      <c r="R162" s="169"/>
      <c r="S162" s="169"/>
      <c r="T162" s="169"/>
      <c r="U162" s="169">
        <f t="shared" si="36"/>
        <v>0</v>
      </c>
      <c r="V162" s="430"/>
      <c r="W162" s="419">
        <f t="shared" si="37"/>
        <v>0</v>
      </c>
    </row>
    <row r="163" spans="1:23" ht="20.100000000000001" hidden="1" customHeight="1" x14ac:dyDescent="0.2">
      <c r="A163" s="40"/>
      <c r="B163" s="50"/>
      <c r="C163" s="33"/>
      <c r="D163" s="177"/>
      <c r="E163" s="169"/>
      <c r="F163" s="169"/>
      <c r="G163" s="169"/>
      <c r="H163" s="177"/>
      <c r="I163" s="169"/>
      <c r="J163" s="169"/>
      <c r="K163" s="169"/>
      <c r="L163" s="169"/>
      <c r="M163" s="169"/>
      <c r="O163" s="169">
        <f t="shared" si="38"/>
        <v>0</v>
      </c>
      <c r="P163" s="169"/>
      <c r="Q163" s="169"/>
      <c r="R163" s="169"/>
      <c r="S163" s="169"/>
      <c r="T163" s="169"/>
      <c r="U163" s="169">
        <f t="shared" si="36"/>
        <v>0</v>
      </c>
      <c r="V163" s="430"/>
      <c r="W163" s="419">
        <f t="shared" si="37"/>
        <v>0</v>
      </c>
    </row>
    <row r="164" spans="1:23" ht="20.100000000000001" hidden="1" customHeight="1" x14ac:dyDescent="0.2">
      <c r="A164" s="40"/>
      <c r="B164" s="288"/>
      <c r="C164" s="33"/>
      <c r="D164" s="177"/>
      <c r="E164" s="169"/>
      <c r="F164" s="169"/>
      <c r="G164" s="169"/>
      <c r="H164" s="177"/>
      <c r="I164" s="169"/>
      <c r="J164" s="169"/>
      <c r="K164" s="169"/>
      <c r="L164" s="169"/>
      <c r="M164" s="169"/>
      <c r="N164" s="169"/>
      <c r="O164" s="169">
        <f t="shared" si="38"/>
        <v>0</v>
      </c>
      <c r="P164" s="169"/>
      <c r="Q164" s="169"/>
      <c r="R164" s="169"/>
      <c r="S164" s="169"/>
      <c r="T164" s="169"/>
      <c r="U164" s="169">
        <f t="shared" si="36"/>
        <v>0</v>
      </c>
      <c r="V164" s="430"/>
      <c r="W164" s="419">
        <f t="shared" si="37"/>
        <v>0</v>
      </c>
    </row>
    <row r="165" spans="1:23" ht="20.100000000000001" hidden="1" customHeight="1" x14ac:dyDescent="0.2">
      <c r="A165" s="40"/>
      <c r="B165" s="50"/>
      <c r="C165" s="33"/>
      <c r="D165" s="177"/>
      <c r="E165" s="169"/>
      <c r="F165" s="169"/>
      <c r="G165" s="169"/>
      <c r="H165" s="177"/>
      <c r="I165" s="169"/>
      <c r="J165" s="169"/>
      <c r="K165" s="169"/>
      <c r="L165" s="169"/>
      <c r="M165" s="169"/>
      <c r="N165" s="169"/>
      <c r="O165" s="169">
        <f t="shared" si="38"/>
        <v>0</v>
      </c>
      <c r="P165" s="169"/>
      <c r="Q165" s="169"/>
      <c r="R165" s="169"/>
      <c r="S165" s="169"/>
      <c r="T165" s="169"/>
      <c r="U165" s="169">
        <f t="shared" si="36"/>
        <v>0</v>
      </c>
      <c r="V165" s="430"/>
      <c r="W165" s="419">
        <f t="shared" si="37"/>
        <v>0</v>
      </c>
    </row>
    <row r="166" spans="1:23" ht="20.100000000000001" hidden="1" customHeight="1" x14ac:dyDescent="0.2">
      <c r="A166" s="40"/>
      <c r="B166" s="50"/>
      <c r="C166" s="33"/>
      <c r="D166" s="177"/>
      <c r="E166" s="169"/>
      <c r="F166" s="169"/>
      <c r="G166" s="169"/>
      <c r="H166" s="177"/>
      <c r="I166" s="169"/>
      <c r="J166" s="169"/>
      <c r="K166" s="169"/>
      <c r="L166" s="169"/>
      <c r="M166" s="169"/>
      <c r="N166" s="169"/>
      <c r="O166" s="169">
        <f t="shared" si="38"/>
        <v>0</v>
      </c>
      <c r="P166" s="169"/>
      <c r="Q166" s="169"/>
      <c r="R166" s="169"/>
      <c r="S166" s="169"/>
      <c r="T166" s="169"/>
      <c r="U166" s="169">
        <f t="shared" si="36"/>
        <v>0</v>
      </c>
      <c r="V166" s="430"/>
      <c r="W166" s="419">
        <f t="shared" si="37"/>
        <v>0</v>
      </c>
    </row>
    <row r="167" spans="1:23" ht="20.100000000000001" hidden="1" customHeight="1" x14ac:dyDescent="0.2">
      <c r="A167" s="40"/>
      <c r="B167" s="50"/>
      <c r="C167" s="33"/>
      <c r="D167" s="177"/>
      <c r="E167" s="169"/>
      <c r="F167" s="169"/>
      <c r="G167" s="169"/>
      <c r="H167" s="177"/>
      <c r="I167" s="169"/>
      <c r="J167" s="169"/>
      <c r="K167" s="169"/>
      <c r="M167" s="169"/>
      <c r="N167" s="169"/>
      <c r="O167" s="169">
        <f t="shared" si="38"/>
        <v>0</v>
      </c>
      <c r="P167" s="169"/>
      <c r="Q167" s="169"/>
      <c r="R167" s="169"/>
      <c r="S167" s="169"/>
      <c r="T167" s="169"/>
      <c r="U167" s="169">
        <f t="shared" si="36"/>
        <v>0</v>
      </c>
      <c r="V167" s="430"/>
      <c r="W167" s="419">
        <f t="shared" si="37"/>
        <v>0</v>
      </c>
    </row>
    <row r="168" spans="1:23" ht="20.100000000000001" hidden="1" customHeight="1" x14ac:dyDescent="0.2">
      <c r="A168" s="40"/>
      <c r="B168" s="397"/>
      <c r="C168" s="33"/>
      <c r="D168" s="177"/>
      <c r="E168" s="169"/>
      <c r="F168" s="169"/>
      <c r="G168" s="169"/>
      <c r="H168" s="177"/>
      <c r="I168" s="169"/>
      <c r="J168" s="169"/>
      <c r="K168" s="169"/>
      <c r="M168" s="169"/>
      <c r="N168" s="169"/>
      <c r="O168" s="169">
        <f t="shared" si="38"/>
        <v>0</v>
      </c>
      <c r="P168" s="169"/>
      <c r="Q168" s="169"/>
      <c r="R168" s="169"/>
      <c r="S168" s="169"/>
      <c r="T168" s="169"/>
      <c r="U168" s="169">
        <f t="shared" si="36"/>
        <v>0</v>
      </c>
      <c r="V168" s="430"/>
      <c r="W168" s="419">
        <f t="shared" si="37"/>
        <v>0</v>
      </c>
    </row>
    <row r="169" spans="1:23" ht="20.100000000000001" hidden="1" customHeight="1" x14ac:dyDescent="0.2">
      <c r="A169" s="40"/>
      <c r="B169" s="397"/>
      <c r="C169" s="33"/>
      <c r="D169" s="177"/>
      <c r="E169" s="169"/>
      <c r="F169" s="169"/>
      <c r="G169" s="169"/>
      <c r="H169" s="177"/>
      <c r="I169" s="169"/>
      <c r="J169" s="169"/>
      <c r="K169" s="169"/>
      <c r="M169" s="169"/>
      <c r="N169" s="169"/>
      <c r="O169" s="169">
        <f t="shared" si="38"/>
        <v>0</v>
      </c>
      <c r="P169" s="169"/>
      <c r="Q169" s="169"/>
      <c r="R169" s="169"/>
      <c r="S169" s="169"/>
      <c r="T169" s="169"/>
      <c r="U169" s="169">
        <f t="shared" si="36"/>
        <v>0</v>
      </c>
      <c r="V169" s="430"/>
      <c r="W169" s="419">
        <f t="shared" si="37"/>
        <v>0</v>
      </c>
    </row>
    <row r="170" spans="1:23" ht="20.100000000000001" hidden="1" customHeight="1" x14ac:dyDescent="0.2">
      <c r="A170" s="40"/>
      <c r="B170" s="50"/>
      <c r="C170" s="33"/>
      <c r="D170" s="177"/>
      <c r="E170" s="169"/>
      <c r="F170" s="169"/>
      <c r="G170" s="169"/>
      <c r="H170" s="177"/>
      <c r="I170" s="169"/>
      <c r="J170" s="169"/>
      <c r="K170" s="169"/>
      <c r="L170" s="169"/>
      <c r="M170" s="169"/>
      <c r="N170" s="169"/>
      <c r="O170" s="169">
        <f t="shared" si="38"/>
        <v>0</v>
      </c>
      <c r="P170" s="169"/>
      <c r="Q170" s="169"/>
      <c r="R170" s="169"/>
      <c r="S170" s="169"/>
      <c r="T170" s="169"/>
      <c r="U170" s="169">
        <f t="shared" si="36"/>
        <v>0</v>
      </c>
      <c r="V170" s="441"/>
      <c r="W170" s="419">
        <f t="shared" si="37"/>
        <v>0</v>
      </c>
    </row>
    <row r="171" spans="1:23" ht="20.100000000000001" hidden="1" customHeight="1" x14ac:dyDescent="0.2">
      <c r="A171" s="40"/>
      <c r="B171" s="50"/>
      <c r="C171" s="33"/>
      <c r="D171" s="177"/>
      <c r="E171" s="169"/>
      <c r="F171" s="169"/>
      <c r="G171" s="169"/>
      <c r="H171" s="177"/>
      <c r="I171" s="169"/>
      <c r="J171" s="169"/>
      <c r="K171" s="169"/>
      <c r="L171" s="169"/>
      <c r="M171" s="169"/>
      <c r="N171" s="169"/>
      <c r="O171" s="169">
        <f t="shared" si="38"/>
        <v>0</v>
      </c>
      <c r="P171" s="169"/>
      <c r="Q171" s="169"/>
      <c r="R171" s="169"/>
      <c r="S171" s="169"/>
      <c r="T171" s="169"/>
      <c r="U171" s="169">
        <f t="shared" si="36"/>
        <v>0</v>
      </c>
      <c r="V171" s="430"/>
      <c r="W171" s="419">
        <f t="shared" si="37"/>
        <v>0</v>
      </c>
    </row>
    <row r="172" spans="1:23" ht="20.100000000000001" hidden="1" customHeight="1" x14ac:dyDescent="0.2">
      <c r="A172" s="40"/>
      <c r="B172" s="397"/>
      <c r="C172" s="33"/>
      <c r="D172" s="177"/>
      <c r="E172" s="169"/>
      <c r="F172" s="169"/>
      <c r="G172" s="169"/>
      <c r="H172" s="177"/>
      <c r="I172" s="169"/>
      <c r="J172" s="169"/>
      <c r="K172" s="169"/>
      <c r="L172" s="169"/>
      <c r="M172" s="169"/>
      <c r="N172" s="169"/>
      <c r="O172" s="169">
        <f t="shared" si="38"/>
        <v>0</v>
      </c>
      <c r="P172" s="169"/>
      <c r="Q172" s="169"/>
      <c r="R172" s="169"/>
      <c r="S172" s="169"/>
      <c r="T172" s="169"/>
      <c r="U172" s="169">
        <f t="shared" si="36"/>
        <v>0</v>
      </c>
      <c r="V172" s="430"/>
      <c r="W172" s="419">
        <f t="shared" si="37"/>
        <v>0</v>
      </c>
    </row>
    <row r="173" spans="1:23" ht="20.100000000000001" hidden="1" customHeight="1" x14ac:dyDescent="0.2">
      <c r="A173" s="40"/>
      <c r="B173" s="50"/>
      <c r="C173" s="33"/>
      <c r="D173" s="177"/>
      <c r="E173" s="169"/>
      <c r="F173" s="169"/>
      <c r="G173" s="169"/>
      <c r="H173" s="177"/>
      <c r="I173" s="169"/>
      <c r="J173" s="169"/>
      <c r="K173" s="169"/>
      <c r="L173" s="169"/>
      <c r="M173" s="169"/>
      <c r="N173" s="169"/>
      <c r="O173" s="169">
        <f t="shared" si="38"/>
        <v>0</v>
      </c>
      <c r="P173" s="169"/>
      <c r="Q173" s="169"/>
      <c r="R173" s="169"/>
      <c r="S173" s="169"/>
      <c r="T173" s="169"/>
      <c r="U173" s="169">
        <f t="shared" si="36"/>
        <v>0</v>
      </c>
      <c r="V173" s="430"/>
      <c r="W173" s="419">
        <f t="shared" si="37"/>
        <v>0</v>
      </c>
    </row>
    <row r="174" spans="1:23" ht="20.100000000000001" hidden="1" customHeight="1" x14ac:dyDescent="0.2">
      <c r="A174" s="40"/>
      <c r="B174" s="50"/>
      <c r="C174" s="33"/>
      <c r="D174" s="177"/>
      <c r="E174" s="169"/>
      <c r="F174" s="169"/>
      <c r="G174" s="169"/>
      <c r="H174" s="177"/>
      <c r="I174" s="169"/>
      <c r="J174" s="169"/>
      <c r="K174" s="169"/>
      <c r="L174" s="169"/>
      <c r="M174" s="169"/>
      <c r="N174" s="169"/>
      <c r="O174" s="169">
        <f t="shared" si="38"/>
        <v>0</v>
      </c>
      <c r="P174" s="169"/>
      <c r="Q174" s="169"/>
      <c r="R174" s="169"/>
      <c r="S174" s="169"/>
      <c r="T174" s="169"/>
      <c r="U174" s="169">
        <f t="shared" si="36"/>
        <v>0</v>
      </c>
      <c r="V174" s="430"/>
      <c r="W174" s="419">
        <f t="shared" si="37"/>
        <v>0</v>
      </c>
    </row>
    <row r="175" spans="1:23" ht="20.100000000000001" hidden="1" customHeight="1" x14ac:dyDescent="0.2">
      <c r="A175" s="40"/>
      <c r="B175" s="50"/>
      <c r="C175" s="33"/>
      <c r="D175" s="177"/>
      <c r="E175" s="169"/>
      <c r="F175" s="169"/>
      <c r="G175" s="169"/>
      <c r="H175" s="177"/>
      <c r="I175" s="169"/>
      <c r="J175" s="169"/>
      <c r="K175" s="169"/>
      <c r="L175" s="169"/>
      <c r="M175" s="169"/>
      <c r="N175" s="169"/>
      <c r="O175" s="169">
        <f t="shared" si="38"/>
        <v>0</v>
      </c>
      <c r="P175" s="169"/>
      <c r="Q175" s="169"/>
      <c r="R175" s="169"/>
      <c r="S175" s="169"/>
      <c r="T175" s="169"/>
      <c r="U175" s="169">
        <f t="shared" si="36"/>
        <v>0</v>
      </c>
      <c r="V175" s="430"/>
      <c r="W175" s="419">
        <f t="shared" si="37"/>
        <v>0</v>
      </c>
    </row>
    <row r="176" spans="1:23" ht="20.100000000000001" hidden="1" customHeight="1" x14ac:dyDescent="0.2">
      <c r="A176" s="40"/>
      <c r="B176" s="50"/>
      <c r="C176" s="33"/>
      <c r="D176" s="177"/>
      <c r="E176" s="169"/>
      <c r="F176" s="169"/>
      <c r="G176" s="169"/>
      <c r="H176" s="177"/>
      <c r="I176" s="169"/>
      <c r="J176" s="169"/>
      <c r="K176" s="169"/>
      <c r="L176" s="169"/>
      <c r="M176" s="169"/>
      <c r="N176" s="169"/>
      <c r="O176" s="169">
        <f t="shared" si="38"/>
        <v>0</v>
      </c>
      <c r="P176" s="169"/>
      <c r="Q176" s="169"/>
      <c r="R176" s="169"/>
      <c r="S176" s="169"/>
      <c r="T176" s="169"/>
      <c r="U176" s="169">
        <f t="shared" si="36"/>
        <v>0</v>
      </c>
      <c r="V176" s="430"/>
      <c r="W176" s="419">
        <f t="shared" si="37"/>
        <v>0</v>
      </c>
    </row>
    <row r="177" spans="1:23" ht="20.100000000000001" hidden="1" customHeight="1" x14ac:dyDescent="0.2">
      <c r="A177" s="40"/>
      <c r="B177" s="50"/>
      <c r="C177" s="33"/>
      <c r="D177" s="177"/>
      <c r="E177" s="169"/>
      <c r="F177" s="169"/>
      <c r="G177" s="169"/>
      <c r="H177" s="177"/>
      <c r="I177" s="169"/>
      <c r="J177" s="169"/>
      <c r="K177" s="169"/>
      <c r="L177" s="169"/>
      <c r="M177" s="169"/>
      <c r="N177" s="169"/>
      <c r="O177" s="169">
        <f t="shared" si="38"/>
        <v>0</v>
      </c>
      <c r="P177" s="169"/>
      <c r="Q177" s="169"/>
      <c r="R177" s="169"/>
      <c r="S177" s="169"/>
      <c r="T177" s="169"/>
      <c r="U177" s="169">
        <f t="shared" si="36"/>
        <v>0</v>
      </c>
      <c r="V177" s="430"/>
      <c r="W177" s="419">
        <f t="shared" si="37"/>
        <v>0</v>
      </c>
    </row>
    <row r="178" spans="1:23" ht="20.100000000000001" hidden="1" customHeight="1" x14ac:dyDescent="0.2">
      <c r="A178" s="40"/>
      <c r="B178" s="50"/>
      <c r="C178" s="33"/>
      <c r="D178" s="177"/>
      <c r="E178" s="169"/>
      <c r="F178" s="169"/>
      <c r="G178" s="169"/>
      <c r="H178" s="177"/>
      <c r="I178" s="169"/>
      <c r="J178" s="169"/>
      <c r="K178" s="169"/>
      <c r="L178" s="169"/>
      <c r="M178" s="169"/>
      <c r="N178" s="169"/>
      <c r="O178" s="169">
        <f t="shared" si="38"/>
        <v>0</v>
      </c>
      <c r="P178" s="169"/>
      <c r="Q178" s="169"/>
      <c r="R178" s="169"/>
      <c r="S178" s="169"/>
      <c r="T178" s="169"/>
      <c r="U178" s="169">
        <f t="shared" si="36"/>
        <v>0</v>
      </c>
      <c r="V178" s="430"/>
      <c r="W178" s="419">
        <f t="shared" si="37"/>
        <v>0</v>
      </c>
    </row>
    <row r="179" spans="1:23" ht="20.100000000000001" hidden="1" customHeight="1" x14ac:dyDescent="0.2">
      <c r="A179" s="40"/>
      <c r="B179" s="50"/>
      <c r="C179" s="33"/>
      <c r="D179" s="177"/>
      <c r="E179" s="169"/>
      <c r="F179" s="169"/>
      <c r="G179" s="169"/>
      <c r="H179" s="177"/>
      <c r="I179" s="169"/>
      <c r="J179" s="169"/>
      <c r="K179" s="169"/>
      <c r="L179" s="169"/>
      <c r="M179" s="169"/>
      <c r="N179" s="169"/>
      <c r="O179" s="169">
        <f t="shared" si="38"/>
        <v>0</v>
      </c>
      <c r="P179" s="169"/>
      <c r="Q179" s="169"/>
      <c r="R179" s="169"/>
      <c r="S179" s="169"/>
      <c r="T179" s="169"/>
      <c r="U179" s="169">
        <f t="shared" si="36"/>
        <v>0</v>
      </c>
      <c r="V179" s="430"/>
      <c r="W179" s="419">
        <f t="shared" si="37"/>
        <v>0</v>
      </c>
    </row>
    <row r="180" spans="1:23" ht="20.100000000000001" hidden="1" customHeight="1" x14ac:dyDescent="0.2">
      <c r="A180" s="40"/>
      <c r="B180" s="50"/>
      <c r="C180" s="33"/>
      <c r="D180" s="177"/>
      <c r="E180" s="169"/>
      <c r="F180" s="169"/>
      <c r="G180" s="169"/>
      <c r="H180" s="177"/>
      <c r="I180" s="169"/>
      <c r="J180" s="169"/>
      <c r="K180" s="169"/>
      <c r="L180" s="169"/>
      <c r="M180" s="169"/>
      <c r="N180" s="169"/>
      <c r="O180" s="169">
        <f t="shared" si="38"/>
        <v>0</v>
      </c>
      <c r="P180" s="169"/>
      <c r="Q180" s="169"/>
      <c r="R180" s="169"/>
      <c r="S180" s="169"/>
      <c r="T180" s="169"/>
      <c r="U180" s="169">
        <f t="shared" si="36"/>
        <v>0</v>
      </c>
      <c r="V180" s="430"/>
      <c r="W180" s="419">
        <f t="shared" si="37"/>
        <v>0</v>
      </c>
    </row>
    <row r="181" spans="1:23" ht="20.100000000000001" hidden="1" customHeight="1" x14ac:dyDescent="0.2">
      <c r="A181" s="40"/>
      <c r="B181" s="50"/>
      <c r="C181" s="33"/>
      <c r="D181" s="177"/>
      <c r="E181" s="169"/>
      <c r="F181" s="169"/>
      <c r="G181" s="169"/>
      <c r="H181" s="177"/>
      <c r="I181" s="169"/>
      <c r="J181" s="169"/>
      <c r="K181" s="169"/>
      <c r="L181" s="169"/>
      <c r="M181" s="169"/>
      <c r="N181" s="169"/>
      <c r="O181" s="169">
        <f t="shared" si="38"/>
        <v>0</v>
      </c>
      <c r="P181" s="169"/>
      <c r="Q181" s="169"/>
      <c r="R181" s="169"/>
      <c r="S181" s="169"/>
      <c r="T181" s="169"/>
      <c r="U181" s="169">
        <f t="shared" si="36"/>
        <v>0</v>
      </c>
      <c r="V181" s="430"/>
      <c r="W181" s="419">
        <f t="shared" si="37"/>
        <v>0</v>
      </c>
    </row>
    <row r="182" spans="1:23" ht="20.100000000000001" hidden="1" customHeight="1" x14ac:dyDescent="0.2">
      <c r="A182" s="40"/>
      <c r="B182" s="50"/>
      <c r="C182" s="39"/>
      <c r="D182" s="177"/>
      <c r="E182" s="169"/>
      <c r="F182" s="169"/>
      <c r="G182" s="169"/>
      <c r="H182" s="177"/>
      <c r="I182" s="169"/>
      <c r="J182" s="169"/>
      <c r="K182" s="169"/>
      <c r="L182" s="169"/>
      <c r="M182" s="169"/>
      <c r="N182" s="169"/>
      <c r="O182" s="169">
        <f t="shared" si="38"/>
        <v>0</v>
      </c>
      <c r="P182" s="169"/>
      <c r="Q182" s="169"/>
      <c r="R182" s="169"/>
      <c r="S182" s="169"/>
      <c r="T182" s="169"/>
      <c r="U182" s="169">
        <f t="shared" si="36"/>
        <v>0</v>
      </c>
      <c r="V182" s="430"/>
      <c r="W182" s="419">
        <f t="shared" si="37"/>
        <v>0</v>
      </c>
    </row>
    <row r="183" spans="1:23" ht="20.100000000000001" hidden="1" customHeight="1" x14ac:dyDescent="0.2">
      <c r="A183" s="40"/>
      <c r="B183" s="50"/>
      <c r="C183" s="33"/>
      <c r="D183" s="177"/>
      <c r="E183" s="169"/>
      <c r="F183" s="169"/>
      <c r="G183" s="169"/>
      <c r="H183" s="177"/>
      <c r="I183" s="169"/>
      <c r="J183" s="169"/>
      <c r="K183" s="169"/>
      <c r="L183" s="169"/>
      <c r="M183" s="169"/>
      <c r="N183" s="169"/>
      <c r="O183" s="169">
        <f t="shared" si="38"/>
        <v>0</v>
      </c>
      <c r="P183" s="169"/>
      <c r="Q183" s="169"/>
      <c r="R183" s="169"/>
      <c r="S183" s="169"/>
      <c r="T183" s="169"/>
      <c r="U183" s="169">
        <f t="shared" si="36"/>
        <v>0</v>
      </c>
      <c r="V183" s="430"/>
      <c r="W183" s="419">
        <f t="shared" si="37"/>
        <v>0</v>
      </c>
    </row>
    <row r="184" spans="1:23" ht="9.9499999999999993" hidden="1" customHeight="1" x14ac:dyDescent="0.2">
      <c r="A184" s="40"/>
      <c r="B184" s="50"/>
      <c r="C184" s="33"/>
      <c r="D184" s="177"/>
      <c r="E184" s="169"/>
      <c r="F184" s="169"/>
      <c r="G184" s="169"/>
      <c r="H184" s="177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169"/>
      <c r="T184" s="169"/>
      <c r="U184" s="169">
        <f t="shared" si="36"/>
        <v>0</v>
      </c>
      <c r="V184" s="430"/>
      <c r="W184" s="419">
        <f t="shared" si="37"/>
        <v>0</v>
      </c>
    </row>
    <row r="185" spans="1:23" ht="20.100000000000001" hidden="1" customHeight="1" x14ac:dyDescent="0.2">
      <c r="A185" s="40"/>
      <c r="B185" s="50"/>
      <c r="C185" s="33" t="s">
        <v>68</v>
      </c>
      <c r="D185" s="177"/>
      <c r="E185" s="169"/>
      <c r="F185" s="169"/>
      <c r="G185" s="169"/>
      <c r="H185" s="177"/>
      <c r="I185" s="169"/>
      <c r="J185" s="169"/>
      <c r="K185" s="169"/>
      <c r="L185" s="169"/>
      <c r="M185" s="169"/>
      <c r="N185" s="169"/>
      <c r="O185" s="169">
        <f t="shared" si="38"/>
        <v>0</v>
      </c>
      <c r="P185" s="169"/>
      <c r="Q185" s="169"/>
      <c r="R185" s="169"/>
      <c r="S185" s="169"/>
      <c r="T185" s="169"/>
      <c r="U185" s="169">
        <f t="shared" si="36"/>
        <v>0</v>
      </c>
      <c r="V185" s="430"/>
      <c r="W185" s="419">
        <f t="shared" si="37"/>
        <v>0</v>
      </c>
    </row>
    <row r="186" spans="1:23" ht="9.9499999999999993" hidden="1" customHeight="1" thickBot="1" x14ac:dyDescent="0.25">
      <c r="A186" s="40"/>
      <c r="B186" s="50"/>
      <c r="C186" s="310"/>
      <c r="D186" s="177"/>
      <c r="E186" s="169"/>
      <c r="F186" s="169"/>
      <c r="G186" s="169"/>
      <c r="H186" s="177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169"/>
      <c r="T186" s="169"/>
      <c r="U186" s="169"/>
      <c r="V186" s="430"/>
      <c r="W186" s="419"/>
    </row>
    <row r="187" spans="1:23" ht="24.95" hidden="1" customHeight="1" thickTop="1" thickBot="1" x14ac:dyDescent="0.25">
      <c r="A187" s="47"/>
      <c r="B187" s="261" t="s">
        <v>184</v>
      </c>
      <c r="C187" s="44" t="s">
        <v>31</v>
      </c>
      <c r="D187" s="178">
        <f>SUM(D158:D186)</f>
        <v>0</v>
      </c>
      <c r="E187" s="178">
        <f t="shared" ref="E187:U187" si="39">SUM(E158:E186)</f>
        <v>0</v>
      </c>
      <c r="F187" s="178">
        <f t="shared" si="39"/>
        <v>0</v>
      </c>
      <c r="G187" s="178">
        <f t="shared" si="39"/>
        <v>0</v>
      </c>
      <c r="H187" s="178">
        <f t="shared" si="39"/>
        <v>0</v>
      </c>
      <c r="I187" s="178">
        <f t="shared" si="39"/>
        <v>0</v>
      </c>
      <c r="J187" s="178">
        <f t="shared" si="39"/>
        <v>0</v>
      </c>
      <c r="K187" s="178">
        <f t="shared" si="39"/>
        <v>0</v>
      </c>
      <c r="L187" s="178">
        <f t="shared" si="39"/>
        <v>0</v>
      </c>
      <c r="M187" s="398">
        <f t="shared" si="39"/>
        <v>0</v>
      </c>
      <c r="N187" s="178">
        <f t="shared" si="39"/>
        <v>0</v>
      </c>
      <c r="O187" s="178">
        <f t="shared" si="39"/>
        <v>0</v>
      </c>
      <c r="P187" s="178"/>
      <c r="Q187" s="178">
        <f t="shared" si="39"/>
        <v>0</v>
      </c>
      <c r="R187" s="205">
        <f t="shared" si="39"/>
        <v>0</v>
      </c>
      <c r="S187" s="205">
        <f t="shared" si="39"/>
        <v>0</v>
      </c>
      <c r="T187" s="178">
        <f t="shared" si="39"/>
        <v>0</v>
      </c>
      <c r="U187" s="178">
        <f t="shared" si="39"/>
        <v>0</v>
      </c>
      <c r="V187" s="167"/>
      <c r="W187" s="427">
        <f>O187+U187</f>
        <v>0</v>
      </c>
    </row>
    <row r="188" spans="1:23" ht="24.95" hidden="1" customHeight="1" thickTop="1" thickBot="1" x14ac:dyDescent="0.25">
      <c r="A188" s="47"/>
      <c r="B188" s="573" t="s">
        <v>183</v>
      </c>
      <c r="C188" s="44" t="s">
        <v>155</v>
      </c>
      <c r="D188" s="204">
        <f t="shared" ref="D188:W188" si="40">D157+D187</f>
        <v>2438424.952</v>
      </c>
      <c r="E188" s="204">
        <f t="shared" si="40"/>
        <v>89858.422000000006</v>
      </c>
      <c r="F188" s="204">
        <f t="shared" si="40"/>
        <v>54977.08</v>
      </c>
      <c r="G188" s="204">
        <f t="shared" si="40"/>
        <v>8338911</v>
      </c>
      <c r="H188" s="204">
        <f t="shared" si="40"/>
        <v>2574933.483</v>
      </c>
      <c r="I188" s="204">
        <f t="shared" si="40"/>
        <v>3278</v>
      </c>
      <c r="J188" s="204">
        <f t="shared" si="40"/>
        <v>200000</v>
      </c>
      <c r="K188" s="204">
        <f t="shared" si="40"/>
        <v>304449.20500000002</v>
      </c>
      <c r="L188" s="204">
        <f t="shared" si="40"/>
        <v>1363653</v>
      </c>
      <c r="M188" s="204">
        <f t="shared" si="40"/>
        <v>17800</v>
      </c>
      <c r="N188" s="204">
        <f t="shared" si="40"/>
        <v>31900.55</v>
      </c>
      <c r="O188" s="204">
        <f t="shared" si="40"/>
        <v>15418185.692</v>
      </c>
      <c r="P188" s="204"/>
      <c r="Q188" s="204">
        <f t="shared" si="40"/>
        <v>8610052</v>
      </c>
      <c r="R188" s="204">
        <f t="shared" si="40"/>
        <v>3532804.4679999999</v>
      </c>
      <c r="S188" s="204">
        <f t="shared" si="40"/>
        <v>43460.5</v>
      </c>
      <c r="T188" s="204">
        <f t="shared" si="40"/>
        <v>0</v>
      </c>
      <c r="U188" s="387">
        <f t="shared" si="40"/>
        <v>12186316.968</v>
      </c>
      <c r="V188" s="442"/>
      <c r="W188" s="427">
        <f t="shared" si="40"/>
        <v>27604502.66</v>
      </c>
    </row>
    <row r="189" spans="1:23" ht="24.95" hidden="1" customHeight="1" thickTop="1" x14ac:dyDescent="0.2">
      <c r="A189" s="574"/>
      <c r="B189" s="506" t="s">
        <v>186</v>
      </c>
      <c r="C189" s="559" t="s">
        <v>18</v>
      </c>
      <c r="D189" s="547">
        <f t="shared" ref="D189:U189" si="41">D188</f>
        <v>2438424.952</v>
      </c>
      <c r="E189" s="547">
        <f t="shared" si="41"/>
        <v>89858.422000000006</v>
      </c>
      <c r="F189" s="547">
        <f t="shared" si="41"/>
        <v>54977.08</v>
      </c>
      <c r="G189" s="547">
        <f t="shared" si="41"/>
        <v>8338911</v>
      </c>
      <c r="H189" s="547">
        <f t="shared" si="41"/>
        <v>2574933.483</v>
      </c>
      <c r="I189" s="547">
        <f t="shared" si="41"/>
        <v>3278</v>
      </c>
      <c r="J189" s="547">
        <f t="shared" si="41"/>
        <v>200000</v>
      </c>
      <c r="K189" s="547">
        <f t="shared" si="41"/>
        <v>304449.20500000002</v>
      </c>
      <c r="L189" s="547">
        <f t="shared" si="41"/>
        <v>1363653</v>
      </c>
      <c r="M189" s="547">
        <f t="shared" si="41"/>
        <v>17800</v>
      </c>
      <c r="N189" s="547">
        <f t="shared" si="41"/>
        <v>31900.55</v>
      </c>
      <c r="O189" s="547">
        <f t="shared" si="41"/>
        <v>15418185.692</v>
      </c>
      <c r="P189" s="547"/>
      <c r="Q189" s="547">
        <f t="shared" si="41"/>
        <v>8610052</v>
      </c>
      <c r="R189" s="547">
        <f t="shared" si="41"/>
        <v>3532804.4679999999</v>
      </c>
      <c r="S189" s="547">
        <f t="shared" si="41"/>
        <v>43460.5</v>
      </c>
      <c r="T189" s="547">
        <f t="shared" si="41"/>
        <v>0</v>
      </c>
      <c r="U189" s="547">
        <f t="shared" si="41"/>
        <v>12186316.968</v>
      </c>
      <c r="V189" s="548"/>
      <c r="W189" s="549">
        <f>O189+U189+W186</f>
        <v>27604502.66</v>
      </c>
    </row>
    <row r="190" spans="1:23" ht="24.95" hidden="1" customHeight="1" x14ac:dyDescent="0.2">
      <c r="A190" s="40">
        <v>1</v>
      </c>
      <c r="B190" s="50"/>
      <c r="C190" s="51"/>
      <c r="D190" s="169"/>
      <c r="E190" s="169"/>
      <c r="F190" s="169"/>
      <c r="G190" s="169"/>
      <c r="H190" s="169"/>
      <c r="I190" s="169"/>
      <c r="J190" s="169"/>
      <c r="K190" s="169"/>
      <c r="L190" s="169"/>
      <c r="M190" s="169"/>
      <c r="N190" s="169"/>
      <c r="O190" s="169">
        <f t="shared" ref="O190:O216" si="42">SUM(D190:N190)</f>
        <v>0</v>
      </c>
      <c r="P190" s="169"/>
      <c r="Q190" s="169"/>
      <c r="R190" s="169"/>
      <c r="S190" s="169"/>
      <c r="T190" s="169"/>
      <c r="U190" s="287">
        <f>SUM(Q190:T190)</f>
        <v>0</v>
      </c>
      <c r="V190" s="561"/>
      <c r="W190" s="171">
        <f>O190+U190</f>
        <v>0</v>
      </c>
    </row>
    <row r="191" spans="1:23" ht="24.95" hidden="1" customHeight="1" x14ac:dyDescent="0.2">
      <c r="A191" s="40"/>
      <c r="B191" s="288"/>
      <c r="C191" s="51"/>
      <c r="D191" s="169"/>
      <c r="E191" s="169"/>
      <c r="F191" s="169"/>
      <c r="G191" s="169"/>
      <c r="H191" s="169"/>
      <c r="I191" s="169"/>
      <c r="J191" s="169"/>
      <c r="K191" s="169"/>
      <c r="L191" s="169"/>
      <c r="M191" s="169"/>
      <c r="N191" s="169"/>
      <c r="O191" s="169">
        <f t="shared" si="42"/>
        <v>0</v>
      </c>
      <c r="P191" s="169"/>
      <c r="Q191" s="169"/>
      <c r="R191" s="169"/>
      <c r="S191" s="169"/>
      <c r="T191" s="169"/>
      <c r="U191" s="169">
        <f>SUM(Q191:T191)</f>
        <v>0</v>
      </c>
      <c r="V191" s="430"/>
      <c r="W191" s="171">
        <f t="shared" ref="W191:W214" si="43">O191+U191</f>
        <v>0</v>
      </c>
    </row>
    <row r="192" spans="1:23" ht="24.95" hidden="1" customHeight="1" x14ac:dyDescent="0.2">
      <c r="A192" s="40">
        <v>2</v>
      </c>
      <c r="B192" s="288"/>
      <c r="C192" s="51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>
        <f t="shared" si="42"/>
        <v>0</v>
      </c>
      <c r="P192" s="169"/>
      <c r="Q192" s="169"/>
      <c r="R192" s="169"/>
      <c r="S192" s="169"/>
      <c r="T192" s="169"/>
      <c r="U192" s="169">
        <f t="shared" ref="U192:U214" si="44">SUM(Q192:T192)</f>
        <v>0</v>
      </c>
      <c r="V192" s="430"/>
      <c r="W192" s="171">
        <f t="shared" si="43"/>
        <v>0</v>
      </c>
    </row>
    <row r="193" spans="1:23" ht="24.95" hidden="1" customHeight="1" x14ac:dyDescent="0.2">
      <c r="A193" s="40">
        <v>3</v>
      </c>
      <c r="B193" s="288"/>
      <c r="C193" s="51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>
        <f t="shared" si="42"/>
        <v>0</v>
      </c>
      <c r="P193" s="169"/>
      <c r="Q193" s="169"/>
      <c r="R193" s="169"/>
      <c r="S193" s="169"/>
      <c r="T193" s="169"/>
      <c r="U193" s="169">
        <f t="shared" si="44"/>
        <v>0</v>
      </c>
      <c r="V193" s="430"/>
      <c r="W193" s="171">
        <f t="shared" si="43"/>
        <v>0</v>
      </c>
    </row>
    <row r="194" spans="1:23" ht="24.95" hidden="1" customHeight="1" x14ac:dyDescent="0.2">
      <c r="A194" s="40">
        <v>4</v>
      </c>
      <c r="B194" s="50"/>
      <c r="C194" s="51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>
        <f t="shared" si="42"/>
        <v>0</v>
      </c>
      <c r="P194" s="169"/>
      <c r="Q194" s="169"/>
      <c r="R194" s="169"/>
      <c r="S194" s="169"/>
      <c r="T194" s="169"/>
      <c r="U194" s="169">
        <f t="shared" si="44"/>
        <v>0</v>
      </c>
      <c r="V194" s="430"/>
      <c r="W194" s="171">
        <f t="shared" si="43"/>
        <v>0</v>
      </c>
    </row>
    <row r="195" spans="1:23" ht="24.95" hidden="1" customHeight="1" x14ac:dyDescent="0.2">
      <c r="A195" s="40">
        <v>5</v>
      </c>
      <c r="B195" s="50"/>
      <c r="C195" s="51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>
        <f t="shared" si="42"/>
        <v>0</v>
      </c>
      <c r="P195" s="169"/>
      <c r="Q195" s="169"/>
      <c r="R195" s="169"/>
      <c r="S195" s="169"/>
      <c r="T195" s="169"/>
      <c r="U195" s="169">
        <f t="shared" si="44"/>
        <v>0</v>
      </c>
      <c r="V195" s="430"/>
      <c r="W195" s="171">
        <f t="shared" si="43"/>
        <v>0</v>
      </c>
    </row>
    <row r="196" spans="1:23" ht="24.95" hidden="1" customHeight="1" x14ac:dyDescent="0.2">
      <c r="A196" s="40">
        <v>6</v>
      </c>
      <c r="B196" s="288"/>
      <c r="C196" s="51"/>
      <c r="D196" s="169"/>
      <c r="E196" s="169"/>
      <c r="F196" s="169"/>
      <c r="G196" s="169"/>
      <c r="H196" s="169"/>
      <c r="I196" s="169"/>
      <c r="J196" s="169"/>
      <c r="K196" s="169"/>
      <c r="L196" s="169"/>
      <c r="M196" s="169"/>
      <c r="N196" s="169"/>
      <c r="O196" s="169">
        <f t="shared" si="42"/>
        <v>0</v>
      </c>
      <c r="P196" s="169"/>
      <c r="Q196" s="169"/>
      <c r="R196" s="169"/>
      <c r="S196" s="169"/>
      <c r="T196" s="169"/>
      <c r="U196" s="169">
        <f t="shared" si="44"/>
        <v>0</v>
      </c>
      <c r="V196" s="430"/>
      <c r="W196" s="171">
        <f t="shared" si="43"/>
        <v>0</v>
      </c>
    </row>
    <row r="197" spans="1:23" ht="24.95" hidden="1" customHeight="1" x14ac:dyDescent="0.2">
      <c r="A197" s="40">
        <v>7</v>
      </c>
      <c r="B197" s="50"/>
      <c r="C197" s="51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>
        <f t="shared" si="42"/>
        <v>0</v>
      </c>
      <c r="P197" s="169"/>
      <c r="Q197" s="169"/>
      <c r="R197" s="169"/>
      <c r="S197" s="169"/>
      <c r="T197" s="169"/>
      <c r="U197" s="169">
        <f t="shared" si="44"/>
        <v>0</v>
      </c>
      <c r="V197" s="430"/>
      <c r="W197" s="171">
        <f t="shared" si="43"/>
        <v>0</v>
      </c>
    </row>
    <row r="198" spans="1:23" ht="24.95" hidden="1" customHeight="1" x14ac:dyDescent="0.2">
      <c r="A198" s="40">
        <v>8</v>
      </c>
      <c r="B198" s="288"/>
      <c r="C198" s="51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>
        <f t="shared" si="42"/>
        <v>0</v>
      </c>
      <c r="P198" s="169"/>
      <c r="Q198" s="169"/>
      <c r="R198" s="169"/>
      <c r="S198" s="169"/>
      <c r="T198" s="169"/>
      <c r="U198" s="169">
        <f t="shared" si="44"/>
        <v>0</v>
      </c>
      <c r="V198" s="430"/>
      <c r="W198" s="171">
        <f t="shared" si="43"/>
        <v>0</v>
      </c>
    </row>
    <row r="199" spans="1:23" ht="24.95" hidden="1" customHeight="1" x14ac:dyDescent="0.2">
      <c r="A199" s="40">
        <v>9</v>
      </c>
      <c r="B199" s="288"/>
      <c r="C199" s="51"/>
      <c r="D199" s="169"/>
      <c r="E199" s="169"/>
      <c r="F199" s="169"/>
      <c r="G199" s="169"/>
      <c r="H199" s="169"/>
      <c r="I199" s="169"/>
      <c r="J199" s="169"/>
      <c r="K199" s="169"/>
      <c r="L199" s="169"/>
      <c r="M199" s="169"/>
      <c r="N199" s="169"/>
      <c r="O199" s="169">
        <f t="shared" si="42"/>
        <v>0</v>
      </c>
      <c r="P199" s="169"/>
      <c r="Q199" s="169"/>
      <c r="R199" s="169"/>
      <c r="S199" s="169"/>
      <c r="T199" s="169"/>
      <c r="U199" s="169">
        <f t="shared" si="44"/>
        <v>0</v>
      </c>
      <c r="V199" s="430"/>
      <c r="W199" s="171">
        <f t="shared" si="43"/>
        <v>0</v>
      </c>
    </row>
    <row r="200" spans="1:23" ht="24.95" hidden="1" customHeight="1" x14ac:dyDescent="0.2">
      <c r="A200" s="40">
        <v>10</v>
      </c>
      <c r="B200" s="288"/>
      <c r="C200" s="51"/>
      <c r="D200" s="169"/>
      <c r="E200" s="169"/>
      <c r="F200" s="169"/>
      <c r="G200" s="169"/>
      <c r="H200" s="169"/>
      <c r="I200" s="169"/>
      <c r="J200" s="169"/>
      <c r="K200" s="169"/>
      <c r="L200" s="169"/>
      <c r="M200" s="169"/>
      <c r="N200" s="169"/>
      <c r="O200" s="169">
        <f t="shared" si="42"/>
        <v>0</v>
      </c>
      <c r="P200" s="169"/>
      <c r="Q200" s="169"/>
      <c r="R200" s="169"/>
      <c r="S200" s="169"/>
      <c r="T200" s="169"/>
      <c r="U200" s="169">
        <f t="shared" si="44"/>
        <v>0</v>
      </c>
      <c r="V200" s="430"/>
      <c r="W200" s="171">
        <f t="shared" si="43"/>
        <v>0</v>
      </c>
    </row>
    <row r="201" spans="1:23" ht="24.95" hidden="1" customHeight="1" x14ac:dyDescent="0.2">
      <c r="A201" s="40">
        <v>11</v>
      </c>
      <c r="B201" s="50"/>
      <c r="C201" s="51"/>
      <c r="D201" s="169"/>
      <c r="E201" s="169"/>
      <c r="F201" s="169"/>
      <c r="G201" s="169"/>
      <c r="H201" s="169"/>
      <c r="I201" s="169"/>
      <c r="J201" s="169"/>
      <c r="K201" s="169"/>
      <c r="L201" s="169"/>
      <c r="M201" s="169"/>
      <c r="N201" s="169"/>
      <c r="O201" s="169">
        <f t="shared" si="42"/>
        <v>0</v>
      </c>
      <c r="P201" s="169"/>
      <c r="Q201" s="169"/>
      <c r="R201" s="169"/>
      <c r="S201" s="169"/>
      <c r="T201" s="169"/>
      <c r="U201" s="169">
        <f t="shared" si="44"/>
        <v>0</v>
      </c>
      <c r="V201" s="430"/>
      <c r="W201" s="171">
        <f t="shared" si="43"/>
        <v>0</v>
      </c>
    </row>
    <row r="202" spans="1:23" ht="24.95" hidden="1" customHeight="1" x14ac:dyDescent="0.2">
      <c r="A202" s="40">
        <v>12</v>
      </c>
      <c r="B202" s="288"/>
      <c r="C202" s="51"/>
      <c r="D202" s="169"/>
      <c r="E202" s="169"/>
      <c r="F202" s="169"/>
      <c r="G202" s="169"/>
      <c r="H202" s="169"/>
      <c r="I202" s="169"/>
      <c r="J202" s="169"/>
      <c r="K202" s="169"/>
      <c r="L202" s="169"/>
      <c r="M202" s="169"/>
      <c r="N202" s="169"/>
      <c r="O202" s="169">
        <f t="shared" si="42"/>
        <v>0</v>
      </c>
      <c r="P202" s="169"/>
      <c r="Q202" s="169"/>
      <c r="R202" s="169"/>
      <c r="S202" s="169"/>
      <c r="T202" s="169"/>
      <c r="U202" s="169">
        <f t="shared" si="44"/>
        <v>0</v>
      </c>
      <c r="V202" s="430"/>
      <c r="W202" s="171">
        <f t="shared" si="43"/>
        <v>0</v>
      </c>
    </row>
    <row r="203" spans="1:23" ht="24.95" hidden="1" customHeight="1" x14ac:dyDescent="0.2">
      <c r="A203" s="40">
        <v>13</v>
      </c>
      <c r="B203" s="50"/>
      <c r="C203" s="51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>
        <f t="shared" si="42"/>
        <v>0</v>
      </c>
      <c r="P203" s="169"/>
      <c r="Q203" s="169"/>
      <c r="R203" s="169"/>
      <c r="S203" s="169"/>
      <c r="T203" s="169"/>
      <c r="U203" s="169">
        <f t="shared" si="44"/>
        <v>0</v>
      </c>
      <c r="V203" s="430"/>
      <c r="W203" s="171">
        <f t="shared" si="43"/>
        <v>0</v>
      </c>
    </row>
    <row r="204" spans="1:23" ht="24.95" hidden="1" customHeight="1" x14ac:dyDescent="0.2">
      <c r="A204" s="40">
        <v>14</v>
      </c>
      <c r="B204" s="50"/>
      <c r="C204" s="51"/>
      <c r="D204" s="169"/>
      <c r="E204" s="169"/>
      <c r="F204" s="169"/>
      <c r="G204" s="169"/>
      <c r="H204" s="169"/>
      <c r="I204" s="169"/>
      <c r="J204" s="169"/>
      <c r="K204" s="169"/>
      <c r="L204" s="169"/>
      <c r="M204" s="169"/>
      <c r="N204" s="169"/>
      <c r="O204" s="169">
        <f t="shared" si="42"/>
        <v>0</v>
      </c>
      <c r="P204" s="169"/>
      <c r="Q204" s="169"/>
      <c r="R204" s="169"/>
      <c r="S204" s="169"/>
      <c r="T204" s="169"/>
      <c r="U204" s="169">
        <f t="shared" si="44"/>
        <v>0</v>
      </c>
      <c r="V204" s="430"/>
      <c r="W204" s="171">
        <f t="shared" si="43"/>
        <v>0</v>
      </c>
    </row>
    <row r="205" spans="1:23" ht="24.95" hidden="1" customHeight="1" x14ac:dyDescent="0.2">
      <c r="A205" s="40"/>
      <c r="B205" s="50"/>
      <c r="C205" s="51"/>
      <c r="D205" s="169"/>
      <c r="E205" s="169"/>
      <c r="F205" s="169"/>
      <c r="G205" s="169"/>
      <c r="H205" s="169"/>
      <c r="I205" s="169"/>
      <c r="J205" s="169"/>
      <c r="K205" s="169"/>
      <c r="L205" s="169"/>
      <c r="M205" s="169"/>
      <c r="N205" s="169"/>
      <c r="O205" s="169">
        <f t="shared" si="42"/>
        <v>0</v>
      </c>
      <c r="P205" s="169"/>
      <c r="Q205" s="169"/>
      <c r="R205" s="169"/>
      <c r="S205" s="169"/>
      <c r="T205" s="169"/>
      <c r="U205" s="169">
        <f t="shared" si="44"/>
        <v>0</v>
      </c>
      <c r="V205" s="430"/>
      <c r="W205" s="171">
        <f t="shared" si="43"/>
        <v>0</v>
      </c>
    </row>
    <row r="206" spans="1:23" ht="24.95" hidden="1" customHeight="1" x14ac:dyDescent="0.2">
      <c r="A206" s="40"/>
      <c r="B206" s="50"/>
      <c r="C206" s="51"/>
      <c r="D206" s="169"/>
      <c r="E206" s="169"/>
      <c r="F206" s="169"/>
      <c r="G206" s="169"/>
      <c r="H206" s="169"/>
      <c r="I206" s="169"/>
      <c r="J206" s="169"/>
      <c r="K206" s="169"/>
      <c r="L206" s="169"/>
      <c r="M206" s="169"/>
      <c r="N206" s="169"/>
      <c r="O206" s="169">
        <f t="shared" si="42"/>
        <v>0</v>
      </c>
      <c r="P206" s="169"/>
      <c r="Q206" s="169"/>
      <c r="R206" s="169"/>
      <c r="S206" s="169"/>
      <c r="T206" s="169"/>
      <c r="U206" s="169">
        <f t="shared" si="44"/>
        <v>0</v>
      </c>
      <c r="V206" s="430"/>
      <c r="W206" s="171">
        <f t="shared" si="43"/>
        <v>0</v>
      </c>
    </row>
    <row r="207" spans="1:23" ht="24.95" hidden="1" customHeight="1" x14ac:dyDescent="0.2">
      <c r="A207" s="40"/>
      <c r="B207" s="50"/>
      <c r="C207" s="51"/>
      <c r="D207" s="169"/>
      <c r="E207" s="169"/>
      <c r="F207" s="169"/>
      <c r="G207" s="169"/>
      <c r="H207" s="169"/>
      <c r="I207" s="169"/>
      <c r="J207" s="169"/>
      <c r="K207" s="169"/>
      <c r="L207" s="169"/>
      <c r="M207" s="169"/>
      <c r="N207" s="169"/>
      <c r="O207" s="169">
        <f t="shared" si="42"/>
        <v>0</v>
      </c>
      <c r="P207" s="169"/>
      <c r="Q207" s="169"/>
      <c r="R207" s="169"/>
      <c r="S207" s="169"/>
      <c r="T207" s="169"/>
      <c r="U207" s="169">
        <f t="shared" si="44"/>
        <v>0</v>
      </c>
      <c r="V207" s="430"/>
      <c r="W207" s="171">
        <f t="shared" si="43"/>
        <v>0</v>
      </c>
    </row>
    <row r="208" spans="1:23" ht="24.95" hidden="1" customHeight="1" x14ac:dyDescent="0.2">
      <c r="A208" s="40"/>
      <c r="B208" s="50"/>
      <c r="C208" s="51"/>
      <c r="D208" s="169"/>
      <c r="E208" s="169"/>
      <c r="F208" s="169"/>
      <c r="G208" s="169"/>
      <c r="H208" s="169"/>
      <c r="I208" s="169"/>
      <c r="J208" s="169"/>
      <c r="K208" s="169"/>
      <c r="L208" s="169"/>
      <c r="M208" s="169"/>
      <c r="N208" s="169"/>
      <c r="O208" s="169">
        <f t="shared" si="42"/>
        <v>0</v>
      </c>
      <c r="P208" s="169"/>
      <c r="Q208" s="169"/>
      <c r="R208" s="169"/>
      <c r="S208" s="169"/>
      <c r="T208" s="169"/>
      <c r="U208" s="169">
        <f t="shared" si="44"/>
        <v>0</v>
      </c>
      <c r="V208" s="430"/>
      <c r="W208" s="171">
        <f t="shared" si="43"/>
        <v>0</v>
      </c>
    </row>
    <row r="209" spans="1:23" ht="24.95" hidden="1" customHeight="1" x14ac:dyDescent="0.2">
      <c r="A209" s="40"/>
      <c r="B209" s="50"/>
      <c r="C209" s="51"/>
      <c r="D209" s="169"/>
      <c r="E209" s="169"/>
      <c r="F209" s="169"/>
      <c r="G209" s="169"/>
      <c r="H209" s="169"/>
      <c r="I209" s="169"/>
      <c r="J209" s="169"/>
      <c r="K209" s="169"/>
      <c r="L209" s="169"/>
      <c r="M209" s="169"/>
      <c r="N209" s="169"/>
      <c r="O209" s="169">
        <f t="shared" si="42"/>
        <v>0</v>
      </c>
      <c r="P209" s="169"/>
      <c r="Q209" s="169"/>
      <c r="R209" s="169"/>
      <c r="S209" s="169"/>
      <c r="T209" s="169"/>
      <c r="U209" s="169">
        <f t="shared" si="44"/>
        <v>0</v>
      </c>
      <c r="V209" s="430"/>
      <c r="W209" s="171">
        <f t="shared" si="43"/>
        <v>0</v>
      </c>
    </row>
    <row r="210" spans="1:23" ht="24.95" hidden="1" customHeight="1" x14ac:dyDescent="0.2">
      <c r="A210" s="40"/>
      <c r="B210" s="50"/>
      <c r="C210" s="51"/>
      <c r="D210" s="169"/>
      <c r="E210" s="169"/>
      <c r="F210" s="169"/>
      <c r="G210" s="169"/>
      <c r="H210" s="169"/>
      <c r="I210" s="169"/>
      <c r="J210" s="169"/>
      <c r="K210" s="169"/>
      <c r="L210" s="169"/>
      <c r="M210" s="169"/>
      <c r="N210" s="169"/>
      <c r="O210" s="169">
        <f t="shared" si="42"/>
        <v>0</v>
      </c>
      <c r="P210" s="169"/>
      <c r="Q210" s="169"/>
      <c r="R210" s="169"/>
      <c r="S210" s="169"/>
      <c r="T210" s="169"/>
      <c r="U210" s="169">
        <f t="shared" si="44"/>
        <v>0</v>
      </c>
      <c r="V210" s="430"/>
      <c r="W210" s="171">
        <f t="shared" si="43"/>
        <v>0</v>
      </c>
    </row>
    <row r="211" spans="1:23" ht="24.95" hidden="1" customHeight="1" x14ac:dyDescent="0.2">
      <c r="A211" s="40"/>
      <c r="B211" s="50"/>
      <c r="C211" s="51"/>
      <c r="D211" s="169"/>
      <c r="E211" s="169"/>
      <c r="F211" s="169"/>
      <c r="G211" s="169"/>
      <c r="H211" s="169"/>
      <c r="I211" s="169"/>
      <c r="J211" s="169"/>
      <c r="K211" s="169"/>
      <c r="L211" s="169"/>
      <c r="M211" s="169"/>
      <c r="N211" s="169"/>
      <c r="O211" s="169">
        <f t="shared" si="42"/>
        <v>0</v>
      </c>
      <c r="P211" s="169"/>
      <c r="Q211" s="169"/>
      <c r="R211" s="169"/>
      <c r="S211" s="169"/>
      <c r="T211" s="169"/>
      <c r="U211" s="169">
        <f t="shared" si="44"/>
        <v>0</v>
      </c>
      <c r="V211" s="430"/>
      <c r="W211" s="171">
        <f t="shared" si="43"/>
        <v>0</v>
      </c>
    </row>
    <row r="212" spans="1:23" ht="24.95" hidden="1" customHeight="1" x14ac:dyDescent="0.2">
      <c r="A212" s="40"/>
      <c r="B212" s="50"/>
      <c r="C212" s="51"/>
      <c r="D212" s="169"/>
      <c r="E212" s="169"/>
      <c r="F212" s="169"/>
      <c r="G212" s="169"/>
      <c r="H212" s="169"/>
      <c r="I212" s="169"/>
      <c r="J212" s="169"/>
      <c r="K212" s="169"/>
      <c r="L212" s="169"/>
      <c r="M212" s="169"/>
      <c r="N212" s="169"/>
      <c r="O212" s="169">
        <f t="shared" si="42"/>
        <v>0</v>
      </c>
      <c r="P212" s="169"/>
      <c r="Q212" s="169"/>
      <c r="R212" s="169"/>
      <c r="S212" s="169"/>
      <c r="T212" s="169"/>
      <c r="U212" s="169">
        <f t="shared" si="44"/>
        <v>0</v>
      </c>
      <c r="V212" s="430"/>
      <c r="W212" s="171">
        <f t="shared" si="43"/>
        <v>0</v>
      </c>
    </row>
    <row r="213" spans="1:23" ht="24.95" hidden="1" customHeight="1" x14ac:dyDescent="0.2">
      <c r="A213" s="40"/>
      <c r="B213" s="50"/>
      <c r="C213" s="51"/>
      <c r="D213" s="169"/>
      <c r="E213" s="169"/>
      <c r="F213" s="169"/>
      <c r="G213" s="169"/>
      <c r="H213" s="169"/>
      <c r="I213" s="169"/>
      <c r="J213" s="169"/>
      <c r="K213" s="169"/>
      <c r="L213" s="169"/>
      <c r="M213" s="169"/>
      <c r="N213" s="169"/>
      <c r="O213" s="169">
        <f t="shared" si="42"/>
        <v>0</v>
      </c>
      <c r="P213" s="169"/>
      <c r="Q213" s="169"/>
      <c r="R213" s="169"/>
      <c r="S213" s="169"/>
      <c r="T213" s="169"/>
      <c r="U213" s="169">
        <f t="shared" si="44"/>
        <v>0</v>
      </c>
      <c r="V213" s="430"/>
      <c r="W213" s="171">
        <f t="shared" si="43"/>
        <v>0</v>
      </c>
    </row>
    <row r="214" spans="1:23" ht="24.95" hidden="1" customHeight="1" x14ac:dyDescent="0.2">
      <c r="A214" s="40"/>
      <c r="B214" s="50"/>
      <c r="C214" s="51"/>
      <c r="D214" s="169"/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>
        <f t="shared" si="42"/>
        <v>0</v>
      </c>
      <c r="P214" s="169"/>
      <c r="Q214" s="169"/>
      <c r="R214" s="169"/>
      <c r="S214" s="169"/>
      <c r="T214" s="169"/>
      <c r="U214" s="169">
        <f t="shared" si="44"/>
        <v>0</v>
      </c>
      <c r="V214" s="430"/>
      <c r="W214" s="171">
        <f t="shared" si="43"/>
        <v>0</v>
      </c>
    </row>
    <row r="215" spans="1:23" ht="24.95" hidden="1" customHeight="1" x14ac:dyDescent="0.2">
      <c r="A215" s="40"/>
      <c r="B215" s="50"/>
      <c r="C215" s="51"/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430"/>
      <c r="W215" s="171"/>
    </row>
    <row r="216" spans="1:23" ht="24.95" hidden="1" customHeight="1" x14ac:dyDescent="0.2">
      <c r="A216" s="40"/>
      <c r="B216" s="50"/>
      <c r="C216" s="33" t="s">
        <v>68</v>
      </c>
      <c r="D216" s="177"/>
      <c r="E216" s="169"/>
      <c r="F216" s="169"/>
      <c r="G216" s="169"/>
      <c r="H216" s="177"/>
      <c r="I216" s="169"/>
      <c r="J216" s="169"/>
      <c r="K216" s="169"/>
      <c r="L216" s="169"/>
      <c r="M216" s="169"/>
      <c r="N216" s="169"/>
      <c r="O216" s="169">
        <f t="shared" si="42"/>
        <v>0</v>
      </c>
      <c r="P216" s="169"/>
      <c r="Q216" s="169"/>
      <c r="R216" s="169"/>
      <c r="S216" s="169"/>
      <c r="T216" s="169"/>
      <c r="U216" s="169">
        <f>SUM(Q216:T216)</f>
        <v>0</v>
      </c>
      <c r="V216" s="430"/>
      <c r="W216" s="564">
        <f>O216+U216</f>
        <v>0</v>
      </c>
    </row>
    <row r="217" spans="1:23" ht="24.95" hidden="1" customHeight="1" thickBot="1" x14ac:dyDescent="0.25">
      <c r="A217" s="40"/>
      <c r="B217" s="50"/>
      <c r="C217" s="51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562"/>
      <c r="V217" s="563"/>
      <c r="W217" s="171"/>
    </row>
    <row r="218" spans="1:23" ht="24.95" hidden="1" customHeight="1" thickTop="1" thickBot="1" x14ac:dyDescent="0.25">
      <c r="A218" s="47"/>
      <c r="B218" s="261" t="s">
        <v>185</v>
      </c>
      <c r="C218" s="44" t="s">
        <v>31</v>
      </c>
      <c r="D218" s="178">
        <f>SUM(D190:D217)</f>
        <v>0</v>
      </c>
      <c r="E218" s="178">
        <f t="shared" ref="E218:N218" si="45">SUM(E190:E217)</f>
        <v>0</v>
      </c>
      <c r="F218" s="178">
        <f t="shared" si="45"/>
        <v>0</v>
      </c>
      <c r="G218" s="178">
        <f t="shared" si="45"/>
        <v>0</v>
      </c>
      <c r="H218" s="178">
        <f t="shared" si="45"/>
        <v>0</v>
      </c>
      <c r="I218" s="178">
        <f t="shared" si="45"/>
        <v>0</v>
      </c>
      <c r="J218" s="178">
        <f t="shared" si="45"/>
        <v>0</v>
      </c>
      <c r="K218" s="178">
        <f t="shared" si="45"/>
        <v>0</v>
      </c>
      <c r="L218" s="178">
        <f t="shared" si="45"/>
        <v>0</v>
      </c>
      <c r="M218" s="398">
        <f t="shared" si="45"/>
        <v>0</v>
      </c>
      <c r="N218" s="178">
        <f t="shared" si="45"/>
        <v>0</v>
      </c>
      <c r="O218" s="178">
        <f>SUM(O190:O217)</f>
        <v>0</v>
      </c>
      <c r="P218" s="178"/>
      <c r="Q218" s="178">
        <f>SUM(Q190:Q217)</f>
        <v>0</v>
      </c>
      <c r="R218" s="205">
        <f>SUM(R190:R217)</f>
        <v>0</v>
      </c>
      <c r="S218" s="205">
        <f>SUM(S190:S217)</f>
        <v>0</v>
      </c>
      <c r="T218" s="178">
        <f>SUM(T190:T217)</f>
        <v>0</v>
      </c>
      <c r="U218" s="178">
        <f>SUM(U190:U217)</f>
        <v>0</v>
      </c>
      <c r="V218" s="167"/>
      <c r="W218" s="427">
        <f>SUM(W190:W217)</f>
        <v>0</v>
      </c>
    </row>
    <row r="219" spans="1:23" ht="24.95" hidden="1" customHeight="1" thickTop="1" thickBot="1" x14ac:dyDescent="0.25">
      <c r="A219" s="47"/>
      <c r="B219" s="43" t="s">
        <v>186</v>
      </c>
      <c r="C219" s="44" t="s">
        <v>155</v>
      </c>
      <c r="D219" s="204">
        <f>D189+D218</f>
        <v>2438424.952</v>
      </c>
      <c r="E219" s="204">
        <f t="shared" ref="E219:N219" si="46">E189+E218</f>
        <v>89858.422000000006</v>
      </c>
      <c r="F219" s="204">
        <f t="shared" si="46"/>
        <v>54977.08</v>
      </c>
      <c r="G219" s="204">
        <f t="shared" si="46"/>
        <v>8338911</v>
      </c>
      <c r="H219" s="204">
        <f t="shared" si="46"/>
        <v>2574933.483</v>
      </c>
      <c r="I219" s="204">
        <f t="shared" si="46"/>
        <v>3278</v>
      </c>
      <c r="J219" s="204">
        <f t="shared" si="46"/>
        <v>200000</v>
      </c>
      <c r="K219" s="204">
        <f t="shared" si="46"/>
        <v>304449.20500000002</v>
      </c>
      <c r="L219" s="204">
        <f t="shared" si="46"/>
        <v>1363653</v>
      </c>
      <c r="M219" s="204">
        <f t="shared" si="46"/>
        <v>17800</v>
      </c>
      <c r="N219" s="204">
        <f t="shared" si="46"/>
        <v>31900.55</v>
      </c>
      <c r="O219" s="204">
        <f>O189+O218</f>
        <v>15418185.692</v>
      </c>
      <c r="P219" s="204"/>
      <c r="Q219" s="204">
        <f>Q189+Q218</f>
        <v>8610052</v>
      </c>
      <c r="R219" s="204">
        <f>R189+R218</f>
        <v>3532804.4679999999</v>
      </c>
      <c r="S219" s="204">
        <f>S189+S218</f>
        <v>43460.5</v>
      </c>
      <c r="T219" s="204">
        <f>T189+T218</f>
        <v>0</v>
      </c>
      <c r="U219" s="387">
        <f>U189+U218</f>
        <v>12186316.968</v>
      </c>
      <c r="V219" s="442"/>
      <c r="W219" s="427">
        <f>W189+W218</f>
        <v>27604502.66</v>
      </c>
    </row>
    <row r="220" spans="1:23" ht="24.95" hidden="1" customHeight="1" thickTop="1" thickBot="1" x14ac:dyDescent="0.25">
      <c r="A220" s="40"/>
      <c r="B220" s="50"/>
      <c r="C220" s="51"/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70"/>
      <c r="V220" s="335"/>
      <c r="W220" s="171"/>
    </row>
    <row r="221" spans="1:23" ht="24.95" hidden="1" customHeight="1" thickTop="1" thickBot="1" x14ac:dyDescent="0.3">
      <c r="C221" s="2" t="s">
        <v>101</v>
      </c>
      <c r="D221" s="291">
        <v>2438424.952</v>
      </c>
      <c r="E221" s="291">
        <v>89858.422000000006</v>
      </c>
      <c r="F221" s="291">
        <v>54977.08</v>
      </c>
      <c r="G221" s="291">
        <v>8338911</v>
      </c>
      <c r="H221" s="291">
        <v>2574933.483</v>
      </c>
      <c r="I221" s="291">
        <v>3278</v>
      </c>
      <c r="J221" s="291">
        <v>200000</v>
      </c>
      <c r="K221" s="291">
        <v>304449.20500000002</v>
      </c>
      <c r="L221" s="291">
        <v>1363653</v>
      </c>
      <c r="M221" s="291">
        <v>17800</v>
      </c>
      <c r="N221" s="291">
        <v>31900.55</v>
      </c>
      <c r="O221" s="291">
        <v>15418185.692</v>
      </c>
      <c r="P221" s="291"/>
      <c r="Q221" s="291">
        <v>8610052</v>
      </c>
      <c r="R221" s="291">
        <v>3532804.4679999999</v>
      </c>
      <c r="S221" s="291">
        <v>43460.5</v>
      </c>
      <c r="T221" s="291">
        <v>0</v>
      </c>
      <c r="U221" s="325">
        <v>12186316.968</v>
      </c>
      <c r="V221" s="325"/>
      <c r="W221" s="682">
        <v>27604502.659999996</v>
      </c>
    </row>
    <row r="222" spans="1:23" ht="24.95" hidden="1" customHeight="1" thickTop="1" x14ac:dyDescent="0.25">
      <c r="D222" s="168"/>
      <c r="E222" s="168"/>
      <c r="F222" s="168"/>
      <c r="G222" s="168"/>
      <c r="H222" s="168"/>
      <c r="I222" s="168"/>
      <c r="J222" s="168"/>
      <c r="K222" s="168"/>
      <c r="L222" s="168"/>
      <c r="M222" s="168"/>
      <c r="N222" s="168"/>
      <c r="O222" s="168"/>
      <c r="P222" s="168"/>
      <c r="Q222" s="168"/>
      <c r="R222" s="168"/>
      <c r="S222" s="168"/>
      <c r="T222" s="168"/>
      <c r="U222" s="168"/>
      <c r="V222" s="168"/>
      <c r="W222" s="168"/>
    </row>
    <row r="223" spans="1:23" ht="24.95" hidden="1" customHeight="1" x14ac:dyDescent="0.25">
      <c r="C223" s="2" t="s">
        <v>97</v>
      </c>
      <c r="D223" s="168">
        <f>D221-D219</f>
        <v>0</v>
      </c>
      <c r="E223" s="168">
        <f t="shared" ref="E223:W223" si="47">E221-E219</f>
        <v>0</v>
      </c>
      <c r="F223" s="168">
        <f t="shared" si="47"/>
        <v>0</v>
      </c>
      <c r="G223" s="168">
        <f t="shared" si="47"/>
        <v>0</v>
      </c>
      <c r="H223" s="168">
        <f t="shared" si="47"/>
        <v>0</v>
      </c>
      <c r="I223" s="168">
        <f t="shared" si="47"/>
        <v>0</v>
      </c>
      <c r="J223" s="168">
        <f t="shared" si="47"/>
        <v>0</v>
      </c>
      <c r="K223" s="168">
        <f t="shared" si="47"/>
        <v>0</v>
      </c>
      <c r="L223" s="168">
        <f t="shared" si="47"/>
        <v>0</v>
      </c>
      <c r="M223" s="168">
        <f t="shared" si="47"/>
        <v>0</v>
      </c>
      <c r="N223" s="168">
        <f t="shared" si="47"/>
        <v>0</v>
      </c>
      <c r="O223" s="168">
        <f t="shared" si="47"/>
        <v>0</v>
      </c>
      <c r="P223" s="168"/>
      <c r="Q223" s="168">
        <f t="shared" si="47"/>
        <v>0</v>
      </c>
      <c r="R223" s="168">
        <f t="shared" si="47"/>
        <v>0</v>
      </c>
      <c r="S223" s="168">
        <f t="shared" si="47"/>
        <v>0</v>
      </c>
      <c r="T223" s="168">
        <f t="shared" si="47"/>
        <v>0</v>
      </c>
      <c r="U223" s="168">
        <f t="shared" si="47"/>
        <v>0</v>
      </c>
      <c r="V223" s="168"/>
      <c r="W223" s="168">
        <f t="shared" si="47"/>
        <v>0</v>
      </c>
    </row>
    <row r="224" spans="1:23" ht="24.95" customHeight="1" thickTop="1" x14ac:dyDescent="0.25"/>
    <row r="225" spans="18:18" ht="24.95" customHeight="1" x14ac:dyDescent="0.25"/>
    <row r="226" spans="18:18" ht="24.95" customHeight="1" x14ac:dyDescent="0.25">
      <c r="R226" s="29"/>
    </row>
    <row r="227" spans="18:18" ht="24.95" customHeight="1" x14ac:dyDescent="0.25"/>
    <row r="228" spans="18:18" ht="24.95" customHeight="1" x14ac:dyDescent="0.25"/>
    <row r="229" spans="18:18" ht="24.95" customHeight="1" x14ac:dyDescent="0.25"/>
    <row r="230" spans="18:18" ht="24.95" customHeight="1" x14ac:dyDescent="0.25"/>
    <row r="231" spans="18:18" ht="24.95" customHeight="1" x14ac:dyDescent="0.25"/>
    <row r="232" spans="18:18" ht="24.95" customHeight="1" x14ac:dyDescent="0.25"/>
    <row r="233" spans="18:18" ht="24.95" customHeight="1" x14ac:dyDescent="0.25"/>
    <row r="234" spans="18:18" ht="24.95" customHeight="1" x14ac:dyDescent="0.25"/>
    <row r="235" spans="18:18" ht="24.95" customHeight="1" x14ac:dyDescent="0.25"/>
    <row r="236" spans="18:18" ht="24.95" customHeight="1" x14ac:dyDescent="0.25"/>
    <row r="237" spans="18:18" ht="24.95" customHeight="1" x14ac:dyDescent="0.25"/>
    <row r="238" spans="18:18" ht="24.95" customHeight="1" x14ac:dyDescent="0.25"/>
    <row r="239" spans="18:18" ht="24.95" customHeight="1" x14ac:dyDescent="0.25"/>
    <row r="240" spans="18:18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519" spans="9:9" x14ac:dyDescent="0.25">
      <c r="I519" s="52">
        <f>-10437-1367-86-236+13-6357-200+31+71-310-1500-799-55-443-3970</f>
        <v>-25645</v>
      </c>
    </row>
  </sheetData>
  <mergeCells count="5">
    <mergeCell ref="D7:F7"/>
    <mergeCell ref="J7:K7"/>
    <mergeCell ref="Q7:T7"/>
    <mergeCell ref="A2:W2"/>
    <mergeCell ref="A4:W4"/>
  </mergeCells>
  <phoneticPr fontId="3" type="noConversion"/>
  <printOptions horizontalCentered="1" verticalCentered="1"/>
  <pageMargins left="0" right="0" top="0.51181102362204722" bottom="0.55118110236220474" header="7.874015748031496E-2" footer="7.874015748031496E-2"/>
  <pageSetup paperSize="9" scale="4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72"/>
  <sheetViews>
    <sheetView zoomScale="71" zoomScaleNormal="71" workbookViewId="0"/>
  </sheetViews>
  <sheetFormatPr defaultRowHeight="16.5" x14ac:dyDescent="0.25"/>
  <cols>
    <col min="1" max="1" width="5.28515625" style="93" customWidth="1"/>
    <col min="2" max="2" width="10.7109375" style="1" hidden="1" customWidth="1"/>
    <col min="3" max="3" width="53.7109375" style="2" customWidth="1"/>
    <col min="4" max="5" width="12.7109375" style="2" customWidth="1"/>
    <col min="6" max="6" width="13.5703125" style="2" customWidth="1"/>
    <col min="7" max="9" width="12.7109375" style="2" customWidth="1"/>
    <col min="10" max="10" width="13.7109375" style="2" customWidth="1"/>
    <col min="11" max="11" width="15.85546875" style="2" customWidth="1"/>
    <col min="12" max="12" width="15.28515625" style="2" customWidth="1"/>
    <col min="13" max="17" width="12.7109375" style="2" customWidth="1"/>
    <col min="18" max="18" width="14.7109375" style="2" customWidth="1"/>
    <col min="19" max="19" width="1.7109375" style="2" customWidth="1"/>
    <col min="20" max="20" width="12.7109375" style="2" customWidth="1"/>
    <col min="21" max="21" width="15.140625" style="2" customWidth="1"/>
    <col min="22" max="22" width="12.7109375" style="2" customWidth="1"/>
    <col min="23" max="23" width="11.85546875" style="2" customWidth="1"/>
    <col min="24" max="24" width="15.140625" style="2" customWidth="1"/>
    <col min="25" max="25" width="16.7109375" style="2" customWidth="1"/>
    <col min="26" max="26" width="15.140625" style="53" customWidth="1"/>
    <col min="27" max="27" width="18.28515625" style="53" customWidth="1"/>
    <col min="28" max="28" width="16.28515625" style="53" customWidth="1"/>
    <col min="29" max="31" width="10.42578125" style="53" customWidth="1"/>
    <col min="32" max="32" width="12.28515625" style="53" customWidth="1"/>
    <col min="33" max="33" width="14" style="53" customWidth="1"/>
    <col min="34" max="34" width="12.28515625" style="53" customWidth="1"/>
    <col min="35" max="36" width="10.42578125" style="53" customWidth="1"/>
    <col min="37" max="37" width="12.28515625" style="53" customWidth="1"/>
    <col min="38" max="38" width="9.140625" style="53"/>
    <col min="39" max="40" width="10.42578125" style="53" customWidth="1"/>
    <col min="41" max="41" width="12.28515625" style="53" customWidth="1"/>
    <col min="42" max="42" width="12.7109375" style="53" customWidth="1"/>
    <col min="43" max="16384" width="9.140625" style="2"/>
  </cols>
  <sheetData>
    <row r="1" spans="1:42" ht="16.5" customHeight="1" x14ac:dyDescent="0.25">
      <c r="Z1" s="185" t="s">
        <v>93</v>
      </c>
      <c r="AA1" s="185"/>
    </row>
    <row r="2" spans="1:42" ht="30" customHeight="1" x14ac:dyDescent="0.2">
      <c r="A2" s="739" t="s">
        <v>0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  <c r="W2" s="739"/>
      <c r="X2" s="739"/>
      <c r="Y2" s="739"/>
      <c r="Z2" s="739"/>
      <c r="AA2" s="340"/>
    </row>
    <row r="3" spans="1:42" ht="30" customHeight="1" x14ac:dyDescent="0.2">
      <c r="A3" s="453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340"/>
    </row>
    <row r="4" spans="1:42" ht="50.1" customHeight="1" x14ac:dyDescent="0.2">
      <c r="A4" s="740" t="s">
        <v>596</v>
      </c>
      <c r="B4" s="739"/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  <c r="Z4" s="739"/>
      <c r="AA4" s="340"/>
    </row>
    <row r="5" spans="1:42" ht="24.95" customHeight="1" x14ac:dyDescent="0.2">
      <c r="A5" s="454"/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340"/>
    </row>
    <row r="6" spans="1:42" ht="17.25" customHeight="1" thickBo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6" t="s">
        <v>1</v>
      </c>
      <c r="AA6" s="341"/>
    </row>
    <row r="7" spans="1:42" ht="17.25" thickBot="1" x14ac:dyDescent="0.3">
      <c r="A7" s="55"/>
      <c r="B7" s="8"/>
      <c r="C7" s="9"/>
      <c r="D7" s="741" t="s">
        <v>32</v>
      </c>
      <c r="E7" s="741"/>
      <c r="F7" s="741"/>
      <c r="G7" s="741"/>
      <c r="H7" s="741"/>
      <c r="I7" s="741"/>
      <c r="J7" s="741"/>
      <c r="K7" s="741"/>
      <c r="L7" s="741"/>
      <c r="M7" s="741"/>
      <c r="N7" s="741"/>
      <c r="O7" s="741"/>
      <c r="P7" s="741"/>
      <c r="Q7" s="741"/>
      <c r="R7" s="741"/>
      <c r="S7" s="741"/>
      <c r="T7" s="741"/>
      <c r="U7" s="741"/>
      <c r="V7" s="741"/>
      <c r="W7" s="741"/>
      <c r="X7" s="741"/>
      <c r="Y7" s="741"/>
      <c r="Z7" s="741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2" ht="17.25" customHeight="1" thickTop="1" x14ac:dyDescent="0.25">
      <c r="A8" s="57"/>
      <c r="B8" s="12"/>
      <c r="C8" s="13"/>
      <c r="D8" s="742" t="s">
        <v>171</v>
      </c>
      <c r="E8" s="743"/>
      <c r="F8" s="743"/>
      <c r="G8" s="743"/>
      <c r="H8" s="743"/>
      <c r="I8" s="743"/>
      <c r="J8" s="743"/>
      <c r="K8" s="744"/>
      <c r="L8" s="745" t="s">
        <v>172</v>
      </c>
      <c r="M8" s="746"/>
      <c r="N8" s="746"/>
      <c r="O8" s="746"/>
      <c r="P8" s="746"/>
      <c r="Q8" s="744"/>
      <c r="R8" s="491" t="s">
        <v>139</v>
      </c>
      <c r="S8" s="469"/>
      <c r="T8" s="745" t="s">
        <v>173</v>
      </c>
      <c r="U8" s="746"/>
      <c r="V8" s="746"/>
      <c r="W8" s="747"/>
      <c r="X8" s="473" t="s">
        <v>150</v>
      </c>
      <c r="Y8" s="358" t="s">
        <v>2</v>
      </c>
      <c r="Z8" s="371"/>
      <c r="AA8" s="56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6"/>
    </row>
    <row r="9" spans="1:42" x14ac:dyDescent="0.25">
      <c r="A9" s="18" t="s">
        <v>8</v>
      </c>
      <c r="B9" s="12"/>
      <c r="C9" s="13" t="s">
        <v>3</v>
      </c>
      <c r="D9" s="58"/>
      <c r="E9" s="202" t="s">
        <v>37</v>
      </c>
      <c r="F9" s="59"/>
      <c r="G9" s="59" t="s">
        <v>33</v>
      </c>
      <c r="H9" s="59" t="s">
        <v>125</v>
      </c>
      <c r="I9" s="59" t="s">
        <v>126</v>
      </c>
      <c r="J9" s="59" t="s">
        <v>126</v>
      </c>
      <c r="K9" s="202" t="s">
        <v>750</v>
      </c>
      <c r="L9" s="59"/>
      <c r="M9" s="59"/>
      <c r="N9" s="59" t="s">
        <v>4</v>
      </c>
      <c r="O9" s="59" t="s">
        <v>156</v>
      </c>
      <c r="P9" s="60" t="s">
        <v>157</v>
      </c>
      <c r="Q9" s="202" t="s">
        <v>4</v>
      </c>
      <c r="R9" s="470" t="s">
        <v>140</v>
      </c>
      <c r="S9" s="470"/>
      <c r="T9" s="17" t="s">
        <v>158</v>
      </c>
      <c r="U9" s="17" t="s">
        <v>159</v>
      </c>
      <c r="V9" s="17" t="s">
        <v>230</v>
      </c>
      <c r="W9" s="17" t="s">
        <v>4</v>
      </c>
      <c r="X9" s="474" t="s">
        <v>151</v>
      </c>
      <c r="Y9" s="359" t="s">
        <v>35</v>
      </c>
      <c r="Z9" s="242" t="s">
        <v>34</v>
      </c>
      <c r="AA9" s="56"/>
      <c r="AB9" s="4"/>
      <c r="AC9" s="4"/>
      <c r="AD9" s="4"/>
      <c r="AE9" s="4"/>
      <c r="AF9" s="4"/>
      <c r="AG9" s="4"/>
      <c r="AH9" s="4"/>
      <c r="AI9" s="4"/>
      <c r="AJ9" s="738"/>
      <c r="AK9" s="738"/>
      <c r="AL9" s="4"/>
      <c r="AM9" s="4"/>
      <c r="AN9" s="4"/>
      <c r="AO9" s="4"/>
      <c r="AP9" s="56"/>
    </row>
    <row r="10" spans="1:42" ht="16.5" customHeight="1" x14ac:dyDescent="0.25">
      <c r="A10" s="11"/>
      <c r="B10" s="12"/>
      <c r="C10" s="13" t="s">
        <v>9</v>
      </c>
      <c r="D10" s="59" t="s">
        <v>36</v>
      </c>
      <c r="E10" s="59" t="s">
        <v>77</v>
      </c>
      <c r="F10" s="59" t="s">
        <v>38</v>
      </c>
      <c r="G10" s="59" t="s">
        <v>39</v>
      </c>
      <c r="H10" s="59" t="s">
        <v>127</v>
      </c>
      <c r="I10" s="59" t="s">
        <v>79</v>
      </c>
      <c r="J10" s="59" t="s">
        <v>79</v>
      </c>
      <c r="K10" s="59" t="s">
        <v>42</v>
      </c>
      <c r="L10" s="59" t="s">
        <v>160</v>
      </c>
      <c r="M10" s="59" t="s">
        <v>161</v>
      </c>
      <c r="N10" s="59" t="s">
        <v>162</v>
      </c>
      <c r="O10" s="59" t="s">
        <v>163</v>
      </c>
      <c r="P10" s="59" t="s">
        <v>50</v>
      </c>
      <c r="Q10" s="59" t="s">
        <v>162</v>
      </c>
      <c r="R10" s="471" t="s">
        <v>40</v>
      </c>
      <c r="S10" s="471"/>
      <c r="T10" s="13" t="s">
        <v>164</v>
      </c>
      <c r="U10" s="13" t="s">
        <v>144</v>
      </c>
      <c r="V10" s="13" t="s">
        <v>231</v>
      </c>
      <c r="W10" s="17" t="s">
        <v>187</v>
      </c>
      <c r="X10" s="404" t="s">
        <v>40</v>
      </c>
      <c r="Y10" s="359" t="s">
        <v>12</v>
      </c>
      <c r="Z10" s="242" t="s">
        <v>43</v>
      </c>
      <c r="AA10" s="56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56"/>
    </row>
    <row r="11" spans="1:42" x14ac:dyDescent="0.25">
      <c r="A11" s="57"/>
      <c r="B11" s="12"/>
      <c r="C11" s="13" t="s">
        <v>13</v>
      </c>
      <c r="D11" s="59" t="s">
        <v>44</v>
      </c>
      <c r="E11" s="59" t="s">
        <v>49</v>
      </c>
      <c r="F11" s="59" t="s">
        <v>40</v>
      </c>
      <c r="G11" s="59" t="s">
        <v>45</v>
      </c>
      <c r="H11" s="59" t="s">
        <v>129</v>
      </c>
      <c r="I11" s="59" t="s">
        <v>130</v>
      </c>
      <c r="J11" s="59" t="s">
        <v>130</v>
      </c>
      <c r="K11" s="59"/>
      <c r="L11" s="59"/>
      <c r="M11" s="59"/>
      <c r="N11" s="59" t="s">
        <v>79</v>
      </c>
      <c r="O11" s="59" t="s">
        <v>46</v>
      </c>
      <c r="P11" s="59"/>
      <c r="Q11" s="59" t="s">
        <v>79</v>
      </c>
      <c r="R11" s="471" t="s">
        <v>12</v>
      </c>
      <c r="S11" s="471"/>
      <c r="T11" s="13" t="s">
        <v>165</v>
      </c>
      <c r="U11" s="13" t="s">
        <v>146</v>
      </c>
      <c r="V11" s="13" t="s">
        <v>234</v>
      </c>
      <c r="W11" s="17" t="s">
        <v>188</v>
      </c>
      <c r="X11" s="404" t="s">
        <v>12</v>
      </c>
      <c r="Y11" s="101" t="s">
        <v>177</v>
      </c>
      <c r="Z11" s="242" t="s">
        <v>48</v>
      </c>
      <c r="AA11" s="34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56"/>
    </row>
    <row r="12" spans="1:42" x14ac:dyDescent="0.25">
      <c r="A12" s="57"/>
      <c r="B12" s="12"/>
      <c r="C12" s="13"/>
      <c r="D12" s="61"/>
      <c r="E12" s="59" t="s">
        <v>178</v>
      </c>
      <c r="F12" s="59"/>
      <c r="G12" s="128"/>
      <c r="H12" s="62"/>
      <c r="I12" s="128" t="s">
        <v>166</v>
      </c>
      <c r="J12" s="128" t="s">
        <v>167</v>
      </c>
      <c r="K12" s="59"/>
      <c r="L12" s="62"/>
      <c r="M12" s="59"/>
      <c r="N12" s="59" t="s">
        <v>168</v>
      </c>
      <c r="O12" s="59" t="s">
        <v>169</v>
      </c>
      <c r="P12" s="59"/>
      <c r="Q12" s="59" t="s">
        <v>169</v>
      </c>
      <c r="R12" s="472" t="s">
        <v>175</v>
      </c>
      <c r="S12" s="472"/>
      <c r="T12" s="13" t="s">
        <v>170</v>
      </c>
      <c r="U12" s="13" t="s">
        <v>47</v>
      </c>
      <c r="V12" s="13" t="s">
        <v>235</v>
      </c>
      <c r="W12" s="13" t="s">
        <v>40</v>
      </c>
      <c r="X12" s="342" t="s">
        <v>176</v>
      </c>
      <c r="Y12" s="359"/>
      <c r="Z12" s="242"/>
      <c r="AA12" s="56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56"/>
    </row>
    <row r="13" spans="1:42" hidden="1" x14ac:dyDescent="0.25">
      <c r="A13" s="119"/>
      <c r="B13" s="112"/>
      <c r="C13" s="113"/>
      <c r="D13" s="114" t="s">
        <v>193</v>
      </c>
      <c r="E13" s="16" t="s">
        <v>194</v>
      </c>
      <c r="F13" s="16" t="s">
        <v>195</v>
      </c>
      <c r="G13" s="17" t="s">
        <v>196</v>
      </c>
      <c r="H13" s="120" t="s">
        <v>197</v>
      </c>
      <c r="I13" s="13" t="s">
        <v>198</v>
      </c>
      <c r="J13" s="17" t="s">
        <v>199</v>
      </c>
      <c r="K13" s="113" t="s">
        <v>200</v>
      </c>
      <c r="L13" s="120" t="s">
        <v>201</v>
      </c>
      <c r="M13" s="120" t="s">
        <v>202</v>
      </c>
      <c r="N13" s="120" t="s">
        <v>203</v>
      </c>
      <c r="O13" s="121" t="s">
        <v>204</v>
      </c>
      <c r="P13" s="113" t="s">
        <v>205</v>
      </c>
      <c r="Q13" s="113" t="s">
        <v>206</v>
      </c>
      <c r="R13" s="113"/>
      <c r="S13" s="113"/>
      <c r="T13" s="113" t="s">
        <v>207</v>
      </c>
      <c r="U13" s="113" t="s">
        <v>208</v>
      </c>
      <c r="V13" s="113" t="s">
        <v>209</v>
      </c>
      <c r="W13" s="122" t="s">
        <v>210</v>
      </c>
      <c r="X13" s="461"/>
      <c r="Y13" s="360"/>
      <c r="Z13" s="243"/>
      <c r="AA13" s="56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56"/>
    </row>
    <row r="14" spans="1:42" ht="18" customHeight="1" x14ac:dyDescent="0.25">
      <c r="A14" s="191">
        <v>1</v>
      </c>
      <c r="B14" s="218"/>
      <c r="C14" s="215">
        <v>2</v>
      </c>
      <c r="D14" s="215">
        <v>3</v>
      </c>
      <c r="E14" s="215">
        <v>4</v>
      </c>
      <c r="F14" s="215">
        <v>5</v>
      </c>
      <c r="G14" s="215">
        <v>6</v>
      </c>
      <c r="H14" s="215">
        <v>7</v>
      </c>
      <c r="I14" s="215">
        <v>8</v>
      </c>
      <c r="J14" s="215">
        <v>9</v>
      </c>
      <c r="K14" s="215">
        <v>10</v>
      </c>
      <c r="L14" s="215">
        <v>11</v>
      </c>
      <c r="M14" s="215">
        <v>12</v>
      </c>
      <c r="N14" s="215">
        <v>13</v>
      </c>
      <c r="O14" s="215">
        <v>14</v>
      </c>
      <c r="P14" s="215">
        <v>15</v>
      </c>
      <c r="Q14" s="215">
        <v>16</v>
      </c>
      <c r="R14" s="215">
        <v>17</v>
      </c>
      <c r="S14" s="215"/>
      <c r="T14" s="215">
        <v>18</v>
      </c>
      <c r="U14" s="215">
        <v>19</v>
      </c>
      <c r="V14" s="215">
        <v>20</v>
      </c>
      <c r="W14" s="215">
        <v>21</v>
      </c>
      <c r="X14" s="475">
        <v>22</v>
      </c>
      <c r="Y14" s="361">
        <v>23</v>
      </c>
      <c r="Z14" s="244">
        <v>24</v>
      </c>
      <c r="AA14" s="343"/>
      <c r="AB14" s="4"/>
      <c r="AC14" s="4"/>
      <c r="AD14" s="4"/>
      <c r="AE14" s="4"/>
      <c r="AF14" s="4"/>
      <c r="AG14" s="4"/>
      <c r="AH14" s="4"/>
      <c r="AI14" s="4"/>
      <c r="AJ14" s="738"/>
      <c r="AK14" s="738"/>
      <c r="AL14" s="4"/>
      <c r="AM14" s="4"/>
      <c r="AN14" s="4"/>
      <c r="AO14" s="4"/>
      <c r="AP14" s="4"/>
    </row>
    <row r="15" spans="1:42" s="67" customFormat="1" ht="19.5" hidden="1" customHeight="1" x14ac:dyDescent="0.3">
      <c r="A15" s="63"/>
      <c r="B15" s="150"/>
      <c r="C15" s="64" t="s">
        <v>67</v>
      </c>
      <c r="D15" s="151">
        <v>145173</v>
      </c>
      <c r="E15" s="151">
        <v>34171</v>
      </c>
      <c r="F15" s="151">
        <v>4363936.5040000007</v>
      </c>
      <c r="G15" s="151">
        <v>172165</v>
      </c>
      <c r="H15" s="151">
        <v>150591.49600000001</v>
      </c>
      <c r="I15" s="151">
        <v>54512</v>
      </c>
      <c r="J15" s="151">
        <v>669332</v>
      </c>
      <c r="K15" s="151">
        <v>2321814</v>
      </c>
      <c r="L15" s="151">
        <v>1878399</v>
      </c>
      <c r="M15" s="151">
        <v>25420</v>
      </c>
      <c r="N15" s="151">
        <v>600</v>
      </c>
      <c r="O15" s="151">
        <v>10000</v>
      </c>
      <c r="P15" s="151">
        <v>0</v>
      </c>
      <c r="Q15" s="151">
        <v>440628</v>
      </c>
      <c r="R15" s="443">
        <f>SUM(D15:Q15)</f>
        <v>10266742</v>
      </c>
      <c r="S15" s="443"/>
      <c r="T15" s="151">
        <v>0</v>
      </c>
      <c r="U15" s="151">
        <v>0</v>
      </c>
      <c r="V15" s="151">
        <v>66267</v>
      </c>
      <c r="W15" s="151">
        <v>0</v>
      </c>
      <c r="X15" s="476">
        <f>SUM(T15:W15)</f>
        <v>66267</v>
      </c>
      <c r="Y15" s="362">
        <f>R15+X15</f>
        <v>10333009</v>
      </c>
      <c r="Z15" s="247">
        <v>6295958</v>
      </c>
      <c r="AA15" s="344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6"/>
    </row>
    <row r="16" spans="1:42" ht="20.100000000000001" hidden="1" customHeight="1" x14ac:dyDescent="0.25">
      <c r="A16" s="68"/>
      <c r="B16" s="136" t="s">
        <v>64</v>
      </c>
      <c r="C16" s="41" t="s">
        <v>109</v>
      </c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3"/>
      <c r="Y16" s="203">
        <f>SUM(D16:W16)</f>
        <v>0</v>
      </c>
      <c r="Z16" s="246"/>
      <c r="AA16" s="345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70"/>
    </row>
    <row r="17" spans="1:42" ht="20.100000000000001" hidden="1" customHeight="1" x14ac:dyDescent="0.25">
      <c r="A17" s="156"/>
      <c r="B17" s="27"/>
      <c r="C17" s="24" t="s">
        <v>18</v>
      </c>
      <c r="D17" s="151">
        <f>SUM(D15:D16)</f>
        <v>145173</v>
      </c>
      <c r="E17" s="151">
        <f t="shared" ref="E17:W17" si="0">SUM(E15:E16)</f>
        <v>34171</v>
      </c>
      <c r="F17" s="151">
        <f t="shared" si="0"/>
        <v>4363936.5040000007</v>
      </c>
      <c r="G17" s="151">
        <f t="shared" si="0"/>
        <v>172165</v>
      </c>
      <c r="H17" s="151">
        <f t="shared" si="0"/>
        <v>150591.49600000001</v>
      </c>
      <c r="I17" s="151">
        <f t="shared" si="0"/>
        <v>54512</v>
      </c>
      <c r="J17" s="151">
        <f t="shared" si="0"/>
        <v>669332</v>
      </c>
      <c r="K17" s="151">
        <f t="shared" si="0"/>
        <v>2321814</v>
      </c>
      <c r="L17" s="151">
        <f t="shared" si="0"/>
        <v>1878399</v>
      </c>
      <c r="M17" s="151">
        <f t="shared" si="0"/>
        <v>25420</v>
      </c>
      <c r="N17" s="151">
        <f t="shared" si="0"/>
        <v>600</v>
      </c>
      <c r="O17" s="151">
        <f t="shared" si="0"/>
        <v>10000</v>
      </c>
      <c r="P17" s="151">
        <f t="shared" si="0"/>
        <v>0</v>
      </c>
      <c r="Q17" s="151">
        <f t="shared" si="0"/>
        <v>440628</v>
      </c>
      <c r="R17" s="151"/>
      <c r="S17" s="151"/>
      <c r="T17" s="151">
        <f t="shared" si="0"/>
        <v>0</v>
      </c>
      <c r="U17" s="151">
        <f t="shared" si="0"/>
        <v>0</v>
      </c>
      <c r="V17" s="151">
        <f t="shared" si="0"/>
        <v>66267</v>
      </c>
      <c r="W17" s="151">
        <f t="shared" si="0"/>
        <v>0</v>
      </c>
      <c r="X17" s="152"/>
      <c r="Y17" s="363">
        <f>SUM(Y15:Y16)</f>
        <v>10333009</v>
      </c>
      <c r="Z17" s="247">
        <f>SUM(Z15:Z16)</f>
        <v>6295958</v>
      </c>
      <c r="AA17" s="344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70"/>
    </row>
    <row r="18" spans="1:42" ht="30" hidden="1" customHeight="1" x14ac:dyDescent="0.25">
      <c r="A18" s="82">
        <v>1</v>
      </c>
      <c r="B18" s="136" t="s">
        <v>191</v>
      </c>
      <c r="C18" s="28" t="s">
        <v>239</v>
      </c>
      <c r="D18" s="595"/>
      <c r="E18" s="595"/>
      <c r="F18" s="595">
        <f>2756+744</f>
        <v>3500</v>
      </c>
      <c r="G18" s="595"/>
      <c r="H18" s="595"/>
      <c r="I18" s="595"/>
      <c r="J18" s="595"/>
      <c r="K18" s="595"/>
      <c r="L18" s="595"/>
      <c r="M18" s="596">
        <f>-2756-744</f>
        <v>-3500</v>
      </c>
      <c r="N18" s="595"/>
      <c r="O18" s="595"/>
      <c r="P18" s="595"/>
      <c r="Q18" s="595"/>
      <c r="R18" s="595">
        <f t="shared" ref="R18:R94" si="1">SUM(D18:Q18)</f>
        <v>0</v>
      </c>
      <c r="S18" s="595"/>
      <c r="T18" s="595"/>
      <c r="U18" s="595"/>
      <c r="V18" s="595"/>
      <c r="W18" s="595"/>
      <c r="X18" s="597">
        <f t="shared" ref="X18:X138" si="2">SUM(T18:W18)</f>
        <v>0</v>
      </c>
      <c r="Y18" s="598">
        <f t="shared" ref="Y18:Y138" si="3">R18+X18</f>
        <v>0</v>
      </c>
      <c r="Z18" s="599"/>
      <c r="AA18" s="345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</row>
    <row r="19" spans="1:42" ht="30" hidden="1" customHeight="1" x14ac:dyDescent="0.25">
      <c r="A19" s="82">
        <v>2</v>
      </c>
      <c r="B19" s="136" t="s">
        <v>240</v>
      </c>
      <c r="C19" s="28" t="s">
        <v>241</v>
      </c>
      <c r="D19" s="595"/>
      <c r="E19" s="595"/>
      <c r="F19" s="595">
        <f>920+249</f>
        <v>1169</v>
      </c>
      <c r="G19" s="595"/>
      <c r="H19" s="595"/>
      <c r="I19" s="595"/>
      <c r="J19" s="595"/>
      <c r="K19" s="595"/>
      <c r="L19" s="595">
        <f>-920-249</f>
        <v>-1169</v>
      </c>
      <c r="M19" s="595"/>
      <c r="N19" s="595"/>
      <c r="O19" s="595"/>
      <c r="P19" s="595"/>
      <c r="Q19" s="595"/>
      <c r="R19" s="595">
        <f t="shared" si="1"/>
        <v>0</v>
      </c>
      <c r="S19" s="595"/>
      <c r="T19" s="595"/>
      <c r="U19" s="595"/>
      <c r="V19" s="595"/>
      <c r="W19" s="595"/>
      <c r="X19" s="597">
        <f t="shared" si="2"/>
        <v>0</v>
      </c>
      <c r="Y19" s="598">
        <f t="shared" si="3"/>
        <v>0</v>
      </c>
      <c r="Z19" s="599"/>
      <c r="AA19" s="345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70"/>
    </row>
    <row r="20" spans="1:42" ht="30" hidden="1" customHeight="1" x14ac:dyDescent="0.25">
      <c r="A20" s="82">
        <v>3</v>
      </c>
      <c r="B20" s="136" t="s">
        <v>242</v>
      </c>
      <c r="C20" s="28" t="s">
        <v>243</v>
      </c>
      <c r="D20" s="595"/>
      <c r="E20" s="595"/>
      <c r="F20" s="595">
        <f>1200</f>
        <v>1200</v>
      </c>
      <c r="G20" s="595"/>
      <c r="H20" s="595"/>
      <c r="I20" s="595">
        <f>-1200-1200</f>
        <v>-2400</v>
      </c>
      <c r="J20" s="595">
        <f>1200</f>
        <v>1200</v>
      </c>
      <c r="K20" s="595"/>
      <c r="L20" s="595"/>
      <c r="M20" s="595"/>
      <c r="N20" s="595"/>
      <c r="O20" s="595"/>
      <c r="P20" s="595"/>
      <c r="Q20" s="595"/>
      <c r="R20" s="595">
        <f t="shared" si="1"/>
        <v>0</v>
      </c>
      <c r="S20" s="595"/>
      <c r="T20" s="595"/>
      <c r="U20" s="595"/>
      <c r="V20" s="595"/>
      <c r="W20" s="595"/>
      <c r="X20" s="597">
        <f t="shared" si="2"/>
        <v>0</v>
      </c>
      <c r="Y20" s="598">
        <f t="shared" si="3"/>
        <v>0</v>
      </c>
      <c r="Z20" s="599"/>
      <c r="AA20" s="345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70"/>
    </row>
    <row r="21" spans="1:42" ht="30" hidden="1" customHeight="1" x14ac:dyDescent="0.25">
      <c r="A21" s="82">
        <v>4</v>
      </c>
      <c r="B21" s="136" t="s">
        <v>244</v>
      </c>
      <c r="C21" s="28" t="s">
        <v>250</v>
      </c>
      <c r="D21" s="595"/>
      <c r="E21" s="595"/>
      <c r="F21" s="595">
        <f>9708.25</f>
        <v>9708.25</v>
      </c>
      <c r="G21" s="595"/>
      <c r="H21" s="595"/>
      <c r="I21" s="595"/>
      <c r="J21" s="595"/>
      <c r="K21" s="595"/>
      <c r="L21" s="595"/>
      <c r="M21" s="595"/>
      <c r="N21" s="595"/>
      <c r="O21" s="595"/>
      <c r="P21" s="595"/>
      <c r="Q21" s="595"/>
      <c r="R21" s="595">
        <f t="shared" si="1"/>
        <v>9708.25</v>
      </c>
      <c r="S21" s="595"/>
      <c r="T21" s="595"/>
      <c r="U21" s="595"/>
      <c r="V21" s="595"/>
      <c r="W21" s="595"/>
      <c r="X21" s="597">
        <f t="shared" si="2"/>
        <v>0</v>
      </c>
      <c r="Y21" s="598">
        <f t="shared" si="3"/>
        <v>9708.25</v>
      </c>
      <c r="Z21" s="599">
        <f>-9708.25</f>
        <v>-9708.25</v>
      </c>
      <c r="AA21" s="345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70"/>
    </row>
    <row r="22" spans="1:42" ht="30" hidden="1" customHeight="1" x14ac:dyDescent="0.25">
      <c r="A22" s="82">
        <v>5</v>
      </c>
      <c r="B22" s="136" t="s">
        <v>245</v>
      </c>
      <c r="C22" s="28" t="s">
        <v>251</v>
      </c>
      <c r="D22" s="595"/>
      <c r="E22" s="595"/>
      <c r="F22" s="595">
        <f>-2399.343</f>
        <v>-2399.3429999999998</v>
      </c>
      <c r="G22" s="595"/>
      <c r="H22" s="595"/>
      <c r="I22" s="595"/>
      <c r="J22" s="595"/>
      <c r="K22" s="595"/>
      <c r="L22" s="595"/>
      <c r="M22" s="595"/>
      <c r="N22" s="595"/>
      <c r="O22" s="595"/>
      <c r="P22" s="595"/>
      <c r="Q22" s="595"/>
      <c r="R22" s="595">
        <f t="shared" si="1"/>
        <v>-2399.3429999999998</v>
      </c>
      <c r="S22" s="595"/>
      <c r="T22" s="595"/>
      <c r="U22" s="595"/>
      <c r="V22" s="595"/>
      <c r="W22" s="595"/>
      <c r="X22" s="597">
        <f t="shared" si="2"/>
        <v>0</v>
      </c>
      <c r="Y22" s="598">
        <f t="shared" si="3"/>
        <v>-2399.3429999999998</v>
      </c>
      <c r="Z22" s="599">
        <f>2399.343</f>
        <v>2399.3429999999998</v>
      </c>
      <c r="AA22" s="345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70"/>
    </row>
    <row r="23" spans="1:42" ht="30" hidden="1" customHeight="1" x14ac:dyDescent="0.25">
      <c r="A23" s="82">
        <v>6</v>
      </c>
      <c r="B23" s="136" t="s">
        <v>252</v>
      </c>
      <c r="C23" s="28" t="s">
        <v>253</v>
      </c>
      <c r="D23" s="595"/>
      <c r="E23" s="595"/>
      <c r="F23" s="595">
        <f>-1747.012</f>
        <v>-1747.0119999999999</v>
      </c>
      <c r="G23" s="595"/>
      <c r="H23" s="595"/>
      <c r="I23" s="595"/>
      <c r="J23" s="595"/>
      <c r="K23" s="595"/>
      <c r="L23" s="595"/>
      <c r="M23" s="595"/>
      <c r="N23" s="595"/>
      <c r="O23" s="595"/>
      <c r="P23" s="595"/>
      <c r="Q23" s="595"/>
      <c r="R23" s="595">
        <f t="shared" si="1"/>
        <v>-1747.0119999999999</v>
      </c>
      <c r="S23" s="595"/>
      <c r="T23" s="595"/>
      <c r="U23" s="595"/>
      <c r="V23" s="595"/>
      <c r="W23" s="595"/>
      <c r="X23" s="597">
        <f t="shared" ref="X23:X24" si="4">SUM(T23:W23)</f>
        <v>0</v>
      </c>
      <c r="Y23" s="598">
        <f t="shared" ref="Y23" si="5">R23+X23</f>
        <v>-1747.0119999999999</v>
      </c>
      <c r="Z23" s="599">
        <f>1747.012</f>
        <v>1747.0119999999999</v>
      </c>
      <c r="AA23" s="345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70"/>
    </row>
    <row r="24" spans="1:42" ht="30" hidden="1" customHeight="1" x14ac:dyDescent="0.25">
      <c r="A24" s="82">
        <v>7</v>
      </c>
      <c r="B24" s="136" t="s">
        <v>254</v>
      </c>
      <c r="C24" s="28" t="s">
        <v>255</v>
      </c>
      <c r="D24" s="595"/>
      <c r="E24" s="595"/>
      <c r="F24" s="595">
        <f>-907.923</f>
        <v>-907.923</v>
      </c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>
        <f t="shared" si="1"/>
        <v>-907.923</v>
      </c>
      <c r="S24" s="595"/>
      <c r="T24" s="595"/>
      <c r="U24" s="595"/>
      <c r="V24" s="595"/>
      <c r="W24" s="595"/>
      <c r="X24" s="597">
        <f t="shared" si="4"/>
        <v>0</v>
      </c>
      <c r="Y24" s="598"/>
      <c r="Z24" s="599">
        <f>907.923</f>
        <v>907.923</v>
      </c>
      <c r="AA24" s="345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70"/>
    </row>
    <row r="25" spans="1:42" ht="30" hidden="1" customHeight="1" x14ac:dyDescent="0.25">
      <c r="A25" s="82">
        <v>8</v>
      </c>
      <c r="B25" s="136" t="s">
        <v>246</v>
      </c>
      <c r="C25" s="28" t="s">
        <v>247</v>
      </c>
      <c r="D25" s="595"/>
      <c r="E25" s="595"/>
      <c r="F25" s="595"/>
      <c r="G25" s="595"/>
      <c r="H25" s="595"/>
      <c r="I25" s="595"/>
      <c r="J25" s="595"/>
      <c r="K25" s="595">
        <f>-2500</f>
        <v>-2500</v>
      </c>
      <c r="L25" s="595"/>
      <c r="M25" s="595">
        <f>1969+531</f>
        <v>2500</v>
      </c>
      <c r="N25" s="595"/>
      <c r="O25" s="595"/>
      <c r="P25" s="595"/>
      <c r="Q25" s="595"/>
      <c r="R25" s="595">
        <f t="shared" si="1"/>
        <v>0</v>
      </c>
      <c r="S25" s="595"/>
      <c r="T25" s="595"/>
      <c r="U25" s="595"/>
      <c r="V25" s="595"/>
      <c r="W25" s="595"/>
      <c r="X25" s="597">
        <f t="shared" si="2"/>
        <v>0</v>
      </c>
      <c r="Y25" s="598">
        <f t="shared" si="3"/>
        <v>0</v>
      </c>
      <c r="Z25" s="599"/>
      <c r="AA25" s="345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70"/>
    </row>
    <row r="26" spans="1:42" ht="30" hidden="1" customHeight="1" x14ac:dyDescent="0.25">
      <c r="A26" s="82">
        <v>9</v>
      </c>
      <c r="B26" s="590" t="s">
        <v>248</v>
      </c>
      <c r="C26" s="28" t="s">
        <v>249</v>
      </c>
      <c r="D26" s="595"/>
      <c r="E26" s="595"/>
      <c r="F26" s="595">
        <f>324</f>
        <v>324</v>
      </c>
      <c r="G26" s="595"/>
      <c r="H26" s="595"/>
      <c r="I26" s="595"/>
      <c r="J26" s="595"/>
      <c r="K26" s="595">
        <v>1200</v>
      </c>
      <c r="L26" s="595"/>
      <c r="M26" s="595"/>
      <c r="N26" s="595"/>
      <c r="O26" s="595"/>
      <c r="P26" s="595"/>
      <c r="Q26" s="595"/>
      <c r="R26" s="595">
        <f t="shared" si="1"/>
        <v>1524</v>
      </c>
      <c r="S26" s="595"/>
      <c r="T26" s="595"/>
      <c r="U26" s="595"/>
      <c r="V26" s="595"/>
      <c r="W26" s="595"/>
      <c r="X26" s="597">
        <f t="shared" si="2"/>
        <v>0</v>
      </c>
      <c r="Y26" s="598">
        <f t="shared" si="3"/>
        <v>1524</v>
      </c>
      <c r="Z26" s="599"/>
      <c r="AA26" s="345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70"/>
    </row>
    <row r="27" spans="1:42" ht="30" hidden="1" customHeight="1" x14ac:dyDescent="0.25">
      <c r="A27" s="82">
        <v>10</v>
      </c>
      <c r="B27" s="590" t="s">
        <v>256</v>
      </c>
      <c r="C27" s="28" t="s">
        <v>257</v>
      </c>
      <c r="D27" s="595"/>
      <c r="E27" s="595"/>
      <c r="F27" s="595">
        <f>30+1072+298</f>
        <v>1400</v>
      </c>
      <c r="G27" s="595"/>
      <c r="H27" s="595"/>
      <c r="I27" s="595"/>
      <c r="J27" s="595"/>
      <c r="K27" s="595">
        <f>-2000</f>
        <v>-2000</v>
      </c>
      <c r="L27" s="595">
        <f>472+128</f>
        <v>600</v>
      </c>
      <c r="M27" s="595"/>
      <c r="N27" s="595"/>
      <c r="O27" s="595"/>
      <c r="P27" s="595"/>
      <c r="Q27" s="595"/>
      <c r="R27" s="595">
        <f t="shared" si="1"/>
        <v>0</v>
      </c>
      <c r="S27" s="595"/>
      <c r="T27" s="595"/>
      <c r="U27" s="595"/>
      <c r="V27" s="595"/>
      <c r="W27" s="595"/>
      <c r="X27" s="597">
        <f t="shared" si="2"/>
        <v>0</v>
      </c>
      <c r="Y27" s="598">
        <f t="shared" si="3"/>
        <v>0</v>
      </c>
      <c r="Z27" s="599"/>
      <c r="AA27" s="345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70"/>
    </row>
    <row r="28" spans="1:42" ht="30" hidden="1" customHeight="1" x14ac:dyDescent="0.25">
      <c r="A28" s="82">
        <v>11</v>
      </c>
      <c r="B28" s="590" t="s">
        <v>258</v>
      </c>
      <c r="C28" s="28" t="s">
        <v>259</v>
      </c>
      <c r="D28" s="595">
        <f>200</f>
        <v>200</v>
      </c>
      <c r="E28" s="595">
        <f>70+50</f>
        <v>120</v>
      </c>
      <c r="F28" s="595">
        <f>394+106</f>
        <v>500</v>
      </c>
      <c r="G28" s="595"/>
      <c r="H28" s="595"/>
      <c r="I28" s="595"/>
      <c r="J28" s="595">
        <f>100</f>
        <v>100</v>
      </c>
      <c r="K28" s="595">
        <f>-1000</f>
        <v>-1000</v>
      </c>
      <c r="L28" s="595">
        <f>63+17</f>
        <v>80</v>
      </c>
      <c r="M28" s="595"/>
      <c r="N28" s="595"/>
      <c r="O28" s="595"/>
      <c r="P28" s="595"/>
      <c r="Q28" s="595"/>
      <c r="R28" s="595">
        <f t="shared" si="1"/>
        <v>0</v>
      </c>
      <c r="S28" s="595"/>
      <c r="T28" s="595"/>
      <c r="U28" s="595"/>
      <c r="V28" s="595"/>
      <c r="W28" s="595"/>
      <c r="X28" s="597">
        <f t="shared" ref="X28:X32" si="6">SUM(T28:W28)</f>
        <v>0</v>
      </c>
      <c r="Y28" s="598">
        <f t="shared" ref="Y28:Y32" si="7">R28+X28</f>
        <v>0</v>
      </c>
      <c r="Z28" s="599"/>
      <c r="AA28" s="345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70"/>
    </row>
    <row r="29" spans="1:42" ht="30" hidden="1" customHeight="1" x14ac:dyDescent="0.25">
      <c r="A29" s="82">
        <v>12</v>
      </c>
      <c r="B29" s="590" t="s">
        <v>260</v>
      </c>
      <c r="C29" s="28" t="s">
        <v>261</v>
      </c>
      <c r="D29" s="595">
        <f>3713</f>
        <v>3713</v>
      </c>
      <c r="E29" s="595">
        <f>463+260+150</f>
        <v>873</v>
      </c>
      <c r="F29" s="595">
        <f>10+100+120+175+109</f>
        <v>514</v>
      </c>
      <c r="G29" s="595"/>
      <c r="H29" s="595"/>
      <c r="I29" s="595"/>
      <c r="J29" s="595">
        <f>400</f>
        <v>400</v>
      </c>
      <c r="K29" s="595">
        <f>-5500</f>
        <v>-5500</v>
      </c>
      <c r="L29" s="595"/>
      <c r="M29" s="595"/>
      <c r="N29" s="595"/>
      <c r="O29" s="595"/>
      <c r="P29" s="595"/>
      <c r="Q29" s="595"/>
      <c r="R29" s="595">
        <f t="shared" si="1"/>
        <v>0</v>
      </c>
      <c r="S29" s="595"/>
      <c r="T29" s="595"/>
      <c r="U29" s="595"/>
      <c r="V29" s="595"/>
      <c r="W29" s="595"/>
      <c r="X29" s="597">
        <f t="shared" si="6"/>
        <v>0</v>
      </c>
      <c r="Y29" s="598">
        <f t="shared" si="7"/>
        <v>0</v>
      </c>
      <c r="Z29" s="599"/>
      <c r="AA29" s="345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70"/>
    </row>
    <row r="30" spans="1:42" ht="30" hidden="1" customHeight="1" x14ac:dyDescent="0.25">
      <c r="A30" s="82">
        <v>13</v>
      </c>
      <c r="B30" s="590" t="s">
        <v>262</v>
      </c>
      <c r="C30" s="28" t="s">
        <v>263</v>
      </c>
      <c r="D30" s="595"/>
      <c r="E30" s="595"/>
      <c r="F30" s="595"/>
      <c r="G30" s="595"/>
      <c r="H30" s="595"/>
      <c r="I30" s="595"/>
      <c r="J30" s="595"/>
      <c r="K30" s="595">
        <f>-20447</f>
        <v>-20447</v>
      </c>
      <c r="L30" s="595">
        <f>16100+4347</f>
        <v>20447</v>
      </c>
      <c r="M30" s="595"/>
      <c r="N30" s="595"/>
      <c r="O30" s="595"/>
      <c r="P30" s="595"/>
      <c r="Q30" s="595"/>
      <c r="R30" s="595">
        <f t="shared" si="1"/>
        <v>0</v>
      </c>
      <c r="S30" s="595"/>
      <c r="T30" s="595"/>
      <c r="U30" s="595"/>
      <c r="V30" s="595"/>
      <c r="W30" s="595"/>
      <c r="X30" s="597">
        <f t="shared" si="6"/>
        <v>0</v>
      </c>
      <c r="Y30" s="598">
        <f t="shared" si="7"/>
        <v>0</v>
      </c>
      <c r="Z30" s="599"/>
      <c r="AA30" s="345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70"/>
    </row>
    <row r="31" spans="1:42" ht="30" hidden="1" customHeight="1" x14ac:dyDescent="0.25">
      <c r="A31" s="82">
        <v>14</v>
      </c>
      <c r="B31" s="590" t="s">
        <v>264</v>
      </c>
      <c r="C31" s="28" t="s">
        <v>270</v>
      </c>
      <c r="D31" s="595"/>
      <c r="E31" s="595"/>
      <c r="F31" s="595"/>
      <c r="G31" s="595"/>
      <c r="H31" s="595"/>
      <c r="I31" s="595"/>
      <c r="J31" s="595"/>
      <c r="K31" s="595">
        <f>-35650</f>
        <v>-35650</v>
      </c>
      <c r="L31" s="595"/>
      <c r="M31" s="595"/>
      <c r="N31" s="595"/>
      <c r="O31" s="595"/>
      <c r="P31" s="595"/>
      <c r="Q31" s="595"/>
      <c r="R31" s="595">
        <f t="shared" si="1"/>
        <v>-35650</v>
      </c>
      <c r="S31" s="595"/>
      <c r="T31" s="595"/>
      <c r="U31" s="595"/>
      <c r="V31" s="595"/>
      <c r="W31" s="595"/>
      <c r="X31" s="597">
        <f t="shared" si="6"/>
        <v>0</v>
      </c>
      <c r="Y31" s="598">
        <f t="shared" si="7"/>
        <v>-35650</v>
      </c>
      <c r="Z31" s="599">
        <f>35650</f>
        <v>35650</v>
      </c>
      <c r="AA31" s="345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70"/>
    </row>
    <row r="32" spans="1:42" ht="30" hidden="1" customHeight="1" x14ac:dyDescent="0.25">
      <c r="A32" s="82">
        <v>15</v>
      </c>
      <c r="B32" s="590" t="s">
        <v>265</v>
      </c>
      <c r="C32" s="28" t="s">
        <v>274</v>
      </c>
      <c r="D32" s="595"/>
      <c r="E32" s="595"/>
      <c r="F32" s="595"/>
      <c r="G32" s="595">
        <f>500</f>
        <v>500</v>
      </c>
      <c r="H32" s="595"/>
      <c r="I32" s="595"/>
      <c r="J32" s="595"/>
      <c r="K32" s="595"/>
      <c r="L32" s="595"/>
      <c r="M32" s="595"/>
      <c r="N32" s="595"/>
      <c r="O32" s="595"/>
      <c r="P32" s="595"/>
      <c r="Q32" s="595"/>
      <c r="R32" s="595">
        <f t="shared" si="1"/>
        <v>500</v>
      </c>
      <c r="S32" s="595"/>
      <c r="T32" s="595"/>
      <c r="U32" s="595"/>
      <c r="V32" s="595"/>
      <c r="W32" s="595"/>
      <c r="X32" s="597">
        <f t="shared" si="6"/>
        <v>0</v>
      </c>
      <c r="Y32" s="598">
        <f t="shared" si="7"/>
        <v>500</v>
      </c>
      <c r="Z32" s="599"/>
      <c r="AA32" s="345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70"/>
    </row>
    <row r="33" spans="1:42" ht="24.95" hidden="1" customHeight="1" x14ac:dyDescent="0.25">
      <c r="A33" s="82">
        <v>16</v>
      </c>
      <c r="B33" s="590" t="s">
        <v>266</v>
      </c>
      <c r="C33" s="28" t="s">
        <v>267</v>
      </c>
      <c r="D33" s="595"/>
      <c r="E33" s="595"/>
      <c r="F33" s="595"/>
      <c r="G33" s="595"/>
      <c r="H33" s="595"/>
      <c r="I33" s="595"/>
      <c r="J33" s="595"/>
      <c r="K33" s="595">
        <f>-12152</f>
        <v>-12152</v>
      </c>
      <c r="L33" s="595"/>
      <c r="M33" s="595"/>
      <c r="N33" s="595"/>
      <c r="O33" s="595"/>
      <c r="P33" s="595"/>
      <c r="Q33" s="595"/>
      <c r="R33" s="595">
        <f t="shared" si="1"/>
        <v>-12152</v>
      </c>
      <c r="S33" s="595"/>
      <c r="T33" s="595"/>
      <c r="U33" s="595"/>
      <c r="V33" s="595"/>
      <c r="W33" s="595"/>
      <c r="X33" s="597">
        <f t="shared" si="2"/>
        <v>0</v>
      </c>
      <c r="Y33" s="598">
        <f t="shared" si="3"/>
        <v>-12152</v>
      </c>
      <c r="Z33" s="599">
        <f>12152</f>
        <v>12152</v>
      </c>
      <c r="AA33" s="345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70"/>
    </row>
    <row r="34" spans="1:42" ht="24.95" hidden="1" customHeight="1" x14ac:dyDescent="0.25">
      <c r="A34" s="82">
        <v>17</v>
      </c>
      <c r="B34" s="137" t="s">
        <v>275</v>
      </c>
      <c r="C34" s="28" t="s">
        <v>276</v>
      </c>
      <c r="D34" s="595"/>
      <c r="E34" s="595"/>
      <c r="F34" s="595"/>
      <c r="G34" s="595"/>
      <c r="H34" s="595"/>
      <c r="I34" s="595"/>
      <c r="J34" s="595"/>
      <c r="K34" s="595"/>
      <c r="L34" s="595"/>
      <c r="M34" s="595"/>
      <c r="N34" s="595"/>
      <c r="O34" s="595"/>
      <c r="P34" s="595"/>
      <c r="Q34" s="595"/>
      <c r="R34" s="595">
        <f t="shared" si="1"/>
        <v>0</v>
      </c>
      <c r="S34" s="595"/>
      <c r="T34" s="595"/>
      <c r="U34" s="595"/>
      <c r="V34" s="595"/>
      <c r="W34" s="595"/>
      <c r="X34" s="597">
        <f t="shared" si="2"/>
        <v>0</v>
      </c>
      <c r="Y34" s="598">
        <f t="shared" si="3"/>
        <v>0</v>
      </c>
      <c r="Z34" s="599">
        <f>1712.309</f>
        <v>1712.309</v>
      </c>
      <c r="AA34" s="345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70"/>
    </row>
    <row r="35" spans="1:42" ht="24.95" hidden="1" customHeight="1" x14ac:dyDescent="0.25">
      <c r="A35" s="82">
        <v>18</v>
      </c>
      <c r="B35" s="137" t="s">
        <v>275</v>
      </c>
      <c r="C35" s="28" t="s">
        <v>279</v>
      </c>
      <c r="D35" s="595"/>
      <c r="E35" s="595"/>
      <c r="F35" s="595"/>
      <c r="G35" s="595"/>
      <c r="H35" s="595"/>
      <c r="I35" s="595"/>
      <c r="J35" s="595"/>
      <c r="K35" s="595"/>
      <c r="L35" s="595"/>
      <c r="M35" s="595"/>
      <c r="N35" s="595"/>
      <c r="O35" s="595"/>
      <c r="P35" s="595"/>
      <c r="Q35" s="595"/>
      <c r="R35" s="595">
        <f t="shared" si="1"/>
        <v>0</v>
      </c>
      <c r="S35" s="595"/>
      <c r="T35" s="595"/>
      <c r="U35" s="595"/>
      <c r="V35" s="595"/>
      <c r="W35" s="595"/>
      <c r="X35" s="597">
        <f t="shared" si="2"/>
        <v>0</v>
      </c>
      <c r="Y35" s="598">
        <f t="shared" si="3"/>
        <v>0</v>
      </c>
      <c r="Z35" s="599">
        <f>4438.98</f>
        <v>4438.9799999999996</v>
      </c>
      <c r="AA35" s="345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70"/>
    </row>
    <row r="36" spans="1:42" ht="24.95" hidden="1" customHeight="1" x14ac:dyDescent="0.25">
      <c r="A36" s="82">
        <v>19</v>
      </c>
      <c r="B36" s="137" t="s">
        <v>275</v>
      </c>
      <c r="C36" s="28" t="s">
        <v>280</v>
      </c>
      <c r="D36" s="595"/>
      <c r="E36" s="595"/>
      <c r="F36" s="595"/>
      <c r="G36" s="595"/>
      <c r="H36" s="595"/>
      <c r="I36" s="595"/>
      <c r="J36" s="595"/>
      <c r="K36" s="595"/>
      <c r="L36" s="595"/>
      <c r="M36" s="595"/>
      <c r="N36" s="595"/>
      <c r="O36" s="595"/>
      <c r="P36" s="595"/>
      <c r="Q36" s="595"/>
      <c r="R36" s="595">
        <f t="shared" si="1"/>
        <v>0</v>
      </c>
      <c r="S36" s="595"/>
      <c r="T36" s="595"/>
      <c r="U36" s="595"/>
      <c r="V36" s="595"/>
      <c r="W36" s="595"/>
      <c r="X36" s="597">
        <f t="shared" si="2"/>
        <v>0</v>
      </c>
      <c r="Y36" s="598">
        <f t="shared" si="3"/>
        <v>0</v>
      </c>
      <c r="Z36" s="599">
        <f>4156.817</f>
        <v>4156.817</v>
      </c>
      <c r="AA36" s="345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70"/>
    </row>
    <row r="37" spans="1:42" ht="24.95" hidden="1" customHeight="1" x14ac:dyDescent="0.25">
      <c r="A37" s="82">
        <v>20</v>
      </c>
      <c r="B37" s="137" t="s">
        <v>281</v>
      </c>
      <c r="C37" s="28" t="s">
        <v>282</v>
      </c>
      <c r="D37" s="595"/>
      <c r="E37" s="595"/>
      <c r="F37" s="595"/>
      <c r="G37" s="595"/>
      <c r="H37" s="595"/>
      <c r="I37" s="595"/>
      <c r="J37" s="595"/>
      <c r="K37" s="595"/>
      <c r="L37" s="595"/>
      <c r="M37" s="595"/>
      <c r="N37" s="595"/>
      <c r="O37" s="595"/>
      <c r="P37" s="595"/>
      <c r="Q37" s="595"/>
      <c r="R37" s="595">
        <f t="shared" si="1"/>
        <v>0</v>
      </c>
      <c r="S37" s="595"/>
      <c r="T37" s="595"/>
      <c r="U37" s="595"/>
      <c r="V37" s="595"/>
      <c r="W37" s="595"/>
      <c r="X37" s="597">
        <f>SUM(T37:W37)</f>
        <v>0</v>
      </c>
      <c r="Y37" s="598">
        <v>0</v>
      </c>
      <c r="Z37" s="599">
        <f>21666.502</f>
        <v>21666.502</v>
      </c>
      <c r="AA37" s="345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70"/>
    </row>
    <row r="38" spans="1:42" ht="24.95" hidden="1" customHeight="1" x14ac:dyDescent="0.25">
      <c r="A38" s="82">
        <v>21</v>
      </c>
      <c r="B38" s="137" t="s">
        <v>283</v>
      </c>
      <c r="C38" s="28" t="s">
        <v>288</v>
      </c>
      <c r="D38" s="595"/>
      <c r="E38" s="595"/>
      <c r="F38" s="595"/>
      <c r="G38" s="595"/>
      <c r="H38" s="595"/>
      <c r="I38" s="595"/>
      <c r="J38" s="595"/>
      <c r="K38" s="595"/>
      <c r="L38" s="595"/>
      <c r="M38" s="595"/>
      <c r="N38" s="595"/>
      <c r="O38" s="595"/>
      <c r="P38" s="595"/>
      <c r="Q38" s="595"/>
      <c r="R38" s="595">
        <f t="shared" si="1"/>
        <v>0</v>
      </c>
      <c r="S38" s="595"/>
      <c r="T38" s="595"/>
      <c r="U38" s="595"/>
      <c r="V38" s="595"/>
      <c r="W38" s="595"/>
      <c r="X38" s="597">
        <f t="shared" si="2"/>
        <v>0</v>
      </c>
      <c r="Y38" s="598">
        <f t="shared" si="3"/>
        <v>0</v>
      </c>
      <c r="Z38" s="599">
        <f>4597.889</f>
        <v>4597.8890000000001</v>
      </c>
      <c r="AA38" s="345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70"/>
    </row>
    <row r="39" spans="1:42" ht="24.95" hidden="1" customHeight="1" x14ac:dyDescent="0.25">
      <c r="A39" s="82">
        <v>22</v>
      </c>
      <c r="B39" s="226" t="s">
        <v>285</v>
      </c>
      <c r="C39" s="28" t="s">
        <v>286</v>
      </c>
      <c r="D39" s="595"/>
      <c r="E39" s="595"/>
      <c r="F39" s="595"/>
      <c r="G39" s="595"/>
      <c r="H39" s="595"/>
      <c r="I39" s="595"/>
      <c r="J39" s="595">
        <f>50</f>
        <v>50</v>
      </c>
      <c r="K39" s="595">
        <f>-50</f>
        <v>-50</v>
      </c>
      <c r="L39" s="595"/>
      <c r="M39" s="595"/>
      <c r="N39" s="595"/>
      <c r="O39" s="595"/>
      <c r="P39" s="595"/>
      <c r="Q39" s="595"/>
      <c r="R39" s="595">
        <f t="shared" si="1"/>
        <v>0</v>
      </c>
      <c r="S39" s="595"/>
      <c r="T39" s="595"/>
      <c r="U39" s="595"/>
      <c r="V39" s="595"/>
      <c r="W39" s="595"/>
      <c r="X39" s="597">
        <f t="shared" si="2"/>
        <v>0</v>
      </c>
      <c r="Y39" s="598">
        <f t="shared" si="3"/>
        <v>0</v>
      </c>
      <c r="Z39" s="599"/>
      <c r="AA39" s="345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70"/>
    </row>
    <row r="40" spans="1:42" ht="24.95" hidden="1" customHeight="1" x14ac:dyDescent="0.25">
      <c r="A40" s="82">
        <v>23</v>
      </c>
      <c r="B40" s="137" t="s">
        <v>292</v>
      </c>
      <c r="C40" s="28" t="s">
        <v>291</v>
      </c>
      <c r="D40" s="595"/>
      <c r="E40" s="595"/>
      <c r="F40" s="595"/>
      <c r="G40" s="595"/>
      <c r="H40" s="595"/>
      <c r="I40" s="595"/>
      <c r="J40" s="595"/>
      <c r="K40" s="595"/>
      <c r="L40" s="595">
        <f>162+44</f>
        <v>206</v>
      </c>
      <c r="M40" s="595"/>
      <c r="N40" s="595"/>
      <c r="O40" s="595"/>
      <c r="P40" s="595"/>
      <c r="Q40" s="595"/>
      <c r="R40" s="595">
        <f t="shared" si="1"/>
        <v>206</v>
      </c>
      <c r="S40" s="595"/>
      <c r="T40" s="595"/>
      <c r="U40" s="595"/>
      <c r="V40" s="595"/>
      <c r="W40" s="595"/>
      <c r="X40" s="597">
        <f t="shared" si="2"/>
        <v>0</v>
      </c>
      <c r="Y40" s="598">
        <f t="shared" si="3"/>
        <v>206</v>
      </c>
      <c r="Z40" s="599"/>
      <c r="AA40" s="345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70"/>
    </row>
    <row r="41" spans="1:42" ht="33" hidden="1" customHeight="1" x14ac:dyDescent="0.25">
      <c r="A41" s="82">
        <v>24</v>
      </c>
      <c r="B41" s="137" t="s">
        <v>294</v>
      </c>
      <c r="C41" s="28" t="s">
        <v>293</v>
      </c>
      <c r="D41" s="595"/>
      <c r="E41" s="595"/>
      <c r="F41" s="595"/>
      <c r="G41" s="595"/>
      <c r="H41" s="595"/>
      <c r="I41" s="595"/>
      <c r="J41" s="595"/>
      <c r="K41" s="595">
        <f>1187</f>
        <v>1187</v>
      </c>
      <c r="L41" s="595"/>
      <c r="M41" s="595"/>
      <c r="N41" s="595"/>
      <c r="O41" s="595"/>
      <c r="P41" s="595"/>
      <c r="Q41" s="595"/>
      <c r="R41" s="595">
        <f t="shared" si="1"/>
        <v>1187</v>
      </c>
      <c r="S41" s="595"/>
      <c r="T41" s="595"/>
      <c r="U41" s="595"/>
      <c r="V41" s="595"/>
      <c r="W41" s="595"/>
      <c r="X41" s="597">
        <f>SUM(T41:W41)</f>
        <v>0</v>
      </c>
      <c r="Y41" s="598">
        <f>R41+X41</f>
        <v>1187</v>
      </c>
      <c r="Z41" s="599"/>
      <c r="AA41" s="345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70"/>
    </row>
    <row r="42" spans="1:42" ht="24.95" hidden="1" customHeight="1" x14ac:dyDescent="0.25">
      <c r="A42" s="82">
        <v>25</v>
      </c>
      <c r="B42" s="137" t="s">
        <v>295</v>
      </c>
      <c r="C42" s="33" t="s">
        <v>297</v>
      </c>
      <c r="D42" s="595"/>
      <c r="E42" s="595"/>
      <c r="F42" s="595"/>
      <c r="G42" s="595"/>
      <c r="H42" s="595"/>
      <c r="I42" s="595"/>
      <c r="J42" s="595"/>
      <c r="K42" s="595"/>
      <c r="L42" s="595"/>
      <c r="M42" s="595"/>
      <c r="N42" s="595"/>
      <c r="O42" s="595"/>
      <c r="P42" s="595"/>
      <c r="Q42" s="595"/>
      <c r="R42" s="595">
        <f t="shared" si="1"/>
        <v>0</v>
      </c>
      <c r="S42" s="595"/>
      <c r="T42" s="595"/>
      <c r="U42" s="595">
        <f>2960000+780000</f>
        <v>3740000</v>
      </c>
      <c r="V42" s="595"/>
      <c r="W42" s="595"/>
      <c r="X42" s="597">
        <f t="shared" si="2"/>
        <v>3740000</v>
      </c>
      <c r="Y42" s="598">
        <f t="shared" si="3"/>
        <v>3740000</v>
      </c>
      <c r="Z42" s="599"/>
      <c r="AA42" s="345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70"/>
    </row>
    <row r="43" spans="1:42" ht="24.95" hidden="1" customHeight="1" x14ac:dyDescent="0.25">
      <c r="A43" s="82">
        <v>26</v>
      </c>
      <c r="B43" s="644" t="s">
        <v>298</v>
      </c>
      <c r="C43" s="28" t="s">
        <v>299</v>
      </c>
      <c r="D43" s="595"/>
      <c r="E43" s="595"/>
      <c r="F43" s="595">
        <v>-3.5000000000000003E-2</v>
      </c>
      <c r="G43" s="595"/>
      <c r="H43" s="595"/>
      <c r="I43" s="595"/>
      <c r="J43" s="595"/>
      <c r="K43" s="595"/>
      <c r="L43" s="595"/>
      <c r="M43" s="595"/>
      <c r="N43" s="595"/>
      <c r="O43" s="595"/>
      <c r="P43" s="595"/>
      <c r="Q43" s="595"/>
      <c r="R43" s="595">
        <f>SUM(D43:Q43)</f>
        <v>-3.5000000000000003E-2</v>
      </c>
      <c r="S43" s="595"/>
      <c r="T43" s="595"/>
      <c r="U43" s="595"/>
      <c r="V43" s="596">
        <v>3.5000000000000003E-2</v>
      </c>
      <c r="W43" s="595"/>
      <c r="X43" s="597">
        <f t="shared" si="2"/>
        <v>3.5000000000000003E-2</v>
      </c>
      <c r="Y43" s="598">
        <f>R43+X43</f>
        <v>0</v>
      </c>
      <c r="Z43" s="599"/>
      <c r="AA43" s="345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70"/>
    </row>
    <row r="44" spans="1:42" ht="24.95" hidden="1" customHeight="1" x14ac:dyDescent="0.25">
      <c r="A44" s="82">
        <v>27</v>
      </c>
      <c r="B44" s="647" t="s">
        <v>302</v>
      </c>
      <c r="C44" s="28" t="s">
        <v>303</v>
      </c>
      <c r="D44" s="595"/>
      <c r="E44" s="595"/>
      <c r="F44" s="595">
        <f>780+211</f>
        <v>991</v>
      </c>
      <c r="G44" s="595"/>
      <c r="H44" s="595"/>
      <c r="I44" s="595"/>
      <c r="J44" s="595"/>
      <c r="K44" s="595"/>
      <c r="L44" s="595">
        <f>-780-211</f>
        <v>-991</v>
      </c>
      <c r="M44" s="595"/>
      <c r="N44" s="595"/>
      <c r="O44" s="595"/>
      <c r="P44" s="595"/>
      <c r="Q44" s="595"/>
      <c r="R44" s="595">
        <f t="shared" ref="R44:R50" si="8">SUM(D44:Q44)</f>
        <v>0</v>
      </c>
      <c r="S44" s="595"/>
      <c r="T44" s="595"/>
      <c r="U44" s="595"/>
      <c r="V44" s="596"/>
      <c r="W44" s="595"/>
      <c r="X44" s="597">
        <f t="shared" si="2"/>
        <v>0</v>
      </c>
      <c r="Y44" s="598">
        <f t="shared" ref="Y44:Y50" si="9">R44+X44</f>
        <v>0</v>
      </c>
      <c r="Z44" s="599"/>
      <c r="AA44" s="345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70"/>
    </row>
    <row r="45" spans="1:42" ht="24.95" hidden="1" customHeight="1" x14ac:dyDescent="0.25">
      <c r="A45" s="82">
        <v>28</v>
      </c>
      <c r="B45" s="647" t="s">
        <v>304</v>
      </c>
      <c r="C45" s="28" t="s">
        <v>286</v>
      </c>
      <c r="D45" s="595"/>
      <c r="E45" s="595"/>
      <c r="F45" s="595"/>
      <c r="G45" s="595"/>
      <c r="H45" s="595"/>
      <c r="I45" s="595"/>
      <c r="J45" s="595">
        <f>150</f>
        <v>150</v>
      </c>
      <c r="K45" s="595">
        <f>-150</f>
        <v>-150</v>
      </c>
      <c r="L45" s="595"/>
      <c r="M45" s="595"/>
      <c r="N45" s="595"/>
      <c r="O45" s="595"/>
      <c r="P45" s="595"/>
      <c r="Q45" s="595"/>
      <c r="R45" s="595">
        <f t="shared" si="8"/>
        <v>0</v>
      </c>
      <c r="S45" s="595"/>
      <c r="T45" s="595"/>
      <c r="U45" s="595"/>
      <c r="V45" s="596"/>
      <c r="W45" s="595"/>
      <c r="X45" s="597">
        <f t="shared" si="2"/>
        <v>0</v>
      </c>
      <c r="Y45" s="598">
        <f t="shared" si="9"/>
        <v>0</v>
      </c>
      <c r="Z45" s="599"/>
      <c r="AA45" s="345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70"/>
    </row>
    <row r="46" spans="1:42" ht="24.95" hidden="1" customHeight="1" x14ac:dyDescent="0.25">
      <c r="A46" s="82">
        <v>29</v>
      </c>
      <c r="B46" s="647" t="s">
        <v>305</v>
      </c>
      <c r="C46" s="28" t="s">
        <v>306</v>
      </c>
      <c r="D46" s="595"/>
      <c r="E46" s="595"/>
      <c r="F46" s="595">
        <f>-2700-729</f>
        <v>-3429</v>
      </c>
      <c r="G46" s="595"/>
      <c r="H46" s="595"/>
      <c r="I46" s="595"/>
      <c r="J46" s="595"/>
      <c r="K46" s="595"/>
      <c r="L46" s="595">
        <f>2700+729</f>
        <v>3429</v>
      </c>
      <c r="M46" s="595"/>
      <c r="N46" s="595"/>
      <c r="O46" s="595"/>
      <c r="P46" s="595"/>
      <c r="Q46" s="595"/>
      <c r="R46" s="595">
        <f t="shared" si="8"/>
        <v>0</v>
      </c>
      <c r="S46" s="595"/>
      <c r="T46" s="595"/>
      <c r="U46" s="595"/>
      <c r="V46" s="596"/>
      <c r="W46" s="595"/>
      <c r="X46" s="597">
        <f t="shared" si="2"/>
        <v>0</v>
      </c>
      <c r="Y46" s="598">
        <f t="shared" si="9"/>
        <v>0</v>
      </c>
      <c r="Z46" s="599"/>
      <c r="AA46" s="345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70"/>
    </row>
    <row r="47" spans="1:42" ht="24.95" hidden="1" customHeight="1" x14ac:dyDescent="0.25">
      <c r="A47" s="82">
        <v>30</v>
      </c>
      <c r="B47" s="647" t="s">
        <v>307</v>
      </c>
      <c r="C47" s="28" t="s">
        <v>308</v>
      </c>
      <c r="D47" s="595"/>
      <c r="E47" s="595"/>
      <c r="F47" s="595"/>
      <c r="G47" s="595"/>
      <c r="H47" s="595"/>
      <c r="I47" s="595"/>
      <c r="J47" s="595"/>
      <c r="K47" s="595">
        <f>-3810</f>
        <v>-3810</v>
      </c>
      <c r="L47" s="595"/>
      <c r="M47" s="595"/>
      <c r="N47" s="595"/>
      <c r="O47" s="595"/>
      <c r="P47" s="595"/>
      <c r="Q47" s="595"/>
      <c r="R47" s="595">
        <f t="shared" si="8"/>
        <v>-3810</v>
      </c>
      <c r="S47" s="595"/>
      <c r="T47" s="595"/>
      <c r="U47" s="595"/>
      <c r="V47" s="596"/>
      <c r="W47" s="595"/>
      <c r="X47" s="597">
        <f t="shared" si="2"/>
        <v>0</v>
      </c>
      <c r="Y47" s="598">
        <f t="shared" si="9"/>
        <v>-3810</v>
      </c>
      <c r="Z47" s="599">
        <f>3810</f>
        <v>3810</v>
      </c>
      <c r="AA47" s="345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70"/>
    </row>
    <row r="48" spans="1:42" ht="24.95" hidden="1" customHeight="1" x14ac:dyDescent="0.25">
      <c r="A48" s="82">
        <v>31</v>
      </c>
      <c r="B48" s="647" t="s">
        <v>311</v>
      </c>
      <c r="C48" s="28" t="s">
        <v>312</v>
      </c>
      <c r="D48" s="595"/>
      <c r="E48" s="595"/>
      <c r="F48" s="595">
        <f>700+189</f>
        <v>889</v>
      </c>
      <c r="G48" s="595"/>
      <c r="H48" s="595"/>
      <c r="I48" s="595"/>
      <c r="J48" s="595"/>
      <c r="K48" s="595">
        <f>-889</f>
        <v>-889</v>
      </c>
      <c r="L48" s="595"/>
      <c r="M48" s="595"/>
      <c r="N48" s="595"/>
      <c r="O48" s="595"/>
      <c r="P48" s="595"/>
      <c r="Q48" s="595"/>
      <c r="R48" s="595">
        <f t="shared" si="8"/>
        <v>0</v>
      </c>
      <c r="S48" s="595"/>
      <c r="T48" s="595"/>
      <c r="U48" s="595"/>
      <c r="V48" s="596"/>
      <c r="W48" s="595"/>
      <c r="X48" s="597">
        <f t="shared" si="2"/>
        <v>0</v>
      </c>
      <c r="Y48" s="598">
        <f t="shared" si="9"/>
        <v>0</v>
      </c>
      <c r="Z48" s="599"/>
      <c r="AA48" s="345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70"/>
    </row>
    <row r="49" spans="1:42" ht="24.95" hidden="1" customHeight="1" x14ac:dyDescent="0.25">
      <c r="A49" s="82">
        <v>32</v>
      </c>
      <c r="B49" s="647" t="s">
        <v>313</v>
      </c>
      <c r="C49" s="28" t="s">
        <v>314</v>
      </c>
      <c r="D49" s="595"/>
      <c r="E49" s="595"/>
      <c r="F49" s="595"/>
      <c r="G49" s="595"/>
      <c r="H49" s="595"/>
      <c r="I49" s="595"/>
      <c r="J49" s="595"/>
      <c r="K49" s="595">
        <f>15184.594</f>
        <v>15184.593999999999</v>
      </c>
      <c r="L49" s="595"/>
      <c r="M49" s="595"/>
      <c r="N49" s="595"/>
      <c r="O49" s="595"/>
      <c r="P49" s="595"/>
      <c r="Q49" s="595"/>
      <c r="R49" s="595">
        <f t="shared" si="8"/>
        <v>15184.593999999999</v>
      </c>
      <c r="S49" s="595"/>
      <c r="T49" s="595"/>
      <c r="U49" s="595"/>
      <c r="V49" s="596"/>
      <c r="W49" s="595"/>
      <c r="X49" s="597">
        <f t="shared" si="2"/>
        <v>0</v>
      </c>
      <c r="Y49" s="598">
        <f t="shared" si="9"/>
        <v>15184.593999999999</v>
      </c>
      <c r="Z49" s="599"/>
      <c r="AA49" s="345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70"/>
    </row>
    <row r="50" spans="1:42" ht="24.95" hidden="1" customHeight="1" x14ac:dyDescent="0.25">
      <c r="A50" s="82">
        <v>33</v>
      </c>
      <c r="B50" s="647" t="s">
        <v>315</v>
      </c>
      <c r="C50" s="28" t="s">
        <v>286</v>
      </c>
      <c r="D50" s="595"/>
      <c r="E50" s="595"/>
      <c r="F50" s="595"/>
      <c r="G50" s="595"/>
      <c r="H50" s="595"/>
      <c r="I50" s="595"/>
      <c r="J50" s="595">
        <f>50</f>
        <v>50</v>
      </c>
      <c r="K50" s="595">
        <f>-50</f>
        <v>-50</v>
      </c>
      <c r="L50" s="595"/>
      <c r="M50" s="595"/>
      <c r="N50" s="595"/>
      <c r="O50" s="595"/>
      <c r="P50" s="595"/>
      <c r="Q50" s="595"/>
      <c r="R50" s="595">
        <f t="shared" si="8"/>
        <v>0</v>
      </c>
      <c r="S50" s="595"/>
      <c r="T50" s="595"/>
      <c r="U50" s="595"/>
      <c r="V50" s="596"/>
      <c r="W50" s="595"/>
      <c r="X50" s="597">
        <f t="shared" si="2"/>
        <v>0</v>
      </c>
      <c r="Y50" s="598">
        <f t="shared" si="9"/>
        <v>0</v>
      </c>
      <c r="Z50" s="599"/>
      <c r="AA50" s="345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70"/>
    </row>
    <row r="51" spans="1:42" ht="24.95" hidden="1" customHeight="1" x14ac:dyDescent="0.25">
      <c r="A51" s="82">
        <v>34</v>
      </c>
      <c r="B51" s="137" t="s">
        <v>300</v>
      </c>
      <c r="C51" s="28" t="s">
        <v>301</v>
      </c>
      <c r="D51" s="595"/>
      <c r="E51" s="595"/>
      <c r="F51" s="595"/>
      <c r="G51" s="595"/>
      <c r="H51" s="595"/>
      <c r="I51" s="595"/>
      <c r="J51" s="595"/>
      <c r="K51" s="595"/>
      <c r="L51" s="595">
        <f>-5669-1531</f>
        <v>-7200</v>
      </c>
      <c r="M51" s="595"/>
      <c r="N51" s="595"/>
      <c r="O51" s="595"/>
      <c r="P51" s="595"/>
      <c r="Q51" s="595"/>
      <c r="R51" s="595">
        <f t="shared" si="1"/>
        <v>-7200</v>
      </c>
      <c r="S51" s="595"/>
      <c r="T51" s="595"/>
      <c r="U51" s="595"/>
      <c r="V51" s="595"/>
      <c r="W51" s="595"/>
      <c r="X51" s="597">
        <f t="shared" si="2"/>
        <v>0</v>
      </c>
      <c r="Y51" s="598">
        <f t="shared" si="3"/>
        <v>-7200</v>
      </c>
      <c r="Z51" s="599">
        <f>7200</f>
        <v>7200</v>
      </c>
      <c r="AA51" s="345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70"/>
    </row>
    <row r="52" spans="1:42" ht="24.95" hidden="1" customHeight="1" x14ac:dyDescent="0.25">
      <c r="A52" s="82">
        <v>35</v>
      </c>
      <c r="B52" s="226" t="s">
        <v>316</v>
      </c>
      <c r="C52" s="33" t="s">
        <v>317</v>
      </c>
      <c r="D52" s="595">
        <f>146</f>
        <v>146</v>
      </c>
      <c r="E52" s="595">
        <f>39+26</f>
        <v>65</v>
      </c>
      <c r="F52" s="595">
        <f>-166-45</f>
        <v>-211</v>
      </c>
      <c r="G52" s="595"/>
      <c r="H52" s="595"/>
      <c r="I52" s="595"/>
      <c r="J52" s="595"/>
      <c r="K52" s="595"/>
      <c r="L52" s="595"/>
      <c r="M52" s="595"/>
      <c r="N52" s="595"/>
      <c r="O52" s="595"/>
      <c r="P52" s="595"/>
      <c r="Q52" s="595"/>
      <c r="R52" s="595">
        <f t="shared" si="1"/>
        <v>0</v>
      </c>
      <c r="S52" s="595"/>
      <c r="T52" s="595"/>
      <c r="U52" s="595"/>
      <c r="V52" s="595"/>
      <c r="W52" s="595"/>
      <c r="X52" s="597">
        <f t="shared" si="2"/>
        <v>0</v>
      </c>
      <c r="Y52" s="598">
        <f t="shared" si="3"/>
        <v>0</v>
      </c>
      <c r="Z52" s="599"/>
      <c r="AA52" s="345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70"/>
    </row>
    <row r="53" spans="1:42" ht="24.95" hidden="1" customHeight="1" x14ac:dyDescent="0.25">
      <c r="A53" s="82">
        <v>36</v>
      </c>
      <c r="B53" s="226" t="s">
        <v>318</v>
      </c>
      <c r="C53" s="28" t="s">
        <v>328</v>
      </c>
      <c r="D53" s="595"/>
      <c r="E53" s="595"/>
      <c r="F53" s="595"/>
      <c r="G53" s="595"/>
      <c r="H53" s="595"/>
      <c r="I53" s="595"/>
      <c r="J53" s="595"/>
      <c r="K53" s="595">
        <f>-4966</f>
        <v>-4966</v>
      </c>
      <c r="L53" s="595">
        <f>3910+1056</f>
        <v>4966</v>
      </c>
      <c r="M53" s="595"/>
      <c r="N53" s="595"/>
      <c r="O53" s="595"/>
      <c r="P53" s="595"/>
      <c r="Q53" s="595"/>
      <c r="R53" s="595">
        <f t="shared" si="1"/>
        <v>0</v>
      </c>
      <c r="S53" s="595"/>
      <c r="T53" s="595"/>
      <c r="U53" s="595"/>
      <c r="V53" s="595"/>
      <c r="W53" s="595"/>
      <c r="X53" s="597">
        <f>SUM(T53:W53)</f>
        <v>0</v>
      </c>
      <c r="Y53" s="598">
        <f>R53+X53</f>
        <v>0</v>
      </c>
      <c r="Z53" s="599"/>
      <c r="AA53" s="345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70"/>
    </row>
    <row r="54" spans="1:42" ht="24.95" hidden="1" customHeight="1" x14ac:dyDescent="0.25">
      <c r="A54" s="82">
        <v>37</v>
      </c>
      <c r="B54" s="226" t="s">
        <v>319</v>
      </c>
      <c r="C54" s="28" t="s">
        <v>320</v>
      </c>
      <c r="D54" s="595"/>
      <c r="E54" s="595"/>
      <c r="F54" s="595"/>
      <c r="G54" s="595"/>
      <c r="H54" s="595"/>
      <c r="I54" s="595"/>
      <c r="J54" s="595"/>
      <c r="K54" s="595">
        <f>-4275</f>
        <v>-4275</v>
      </c>
      <c r="L54" s="595"/>
      <c r="M54" s="595"/>
      <c r="N54" s="595"/>
      <c r="O54" s="595"/>
      <c r="P54" s="595"/>
      <c r="Q54" s="595"/>
      <c r="R54" s="595">
        <f t="shared" si="1"/>
        <v>-4275</v>
      </c>
      <c r="S54" s="595"/>
      <c r="T54" s="595"/>
      <c r="U54" s="595"/>
      <c r="V54" s="595"/>
      <c r="W54" s="595"/>
      <c r="X54" s="597">
        <f>SUM(T54:W54)</f>
        <v>0</v>
      </c>
      <c r="Y54" s="598">
        <f>R54+X54</f>
        <v>-4275</v>
      </c>
      <c r="Z54" s="599">
        <f>4275</f>
        <v>4275</v>
      </c>
      <c r="AA54" s="345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70"/>
    </row>
    <row r="55" spans="1:42" ht="24.95" hidden="1" customHeight="1" x14ac:dyDescent="0.25">
      <c r="A55" s="82">
        <v>38</v>
      </c>
      <c r="B55" s="226" t="s">
        <v>323</v>
      </c>
      <c r="C55" s="28" t="s">
        <v>286</v>
      </c>
      <c r="D55" s="595"/>
      <c r="E55" s="595"/>
      <c r="F55" s="595"/>
      <c r="G55" s="595"/>
      <c r="H55" s="595"/>
      <c r="I55" s="595"/>
      <c r="J55" s="595">
        <f>110+46</f>
        <v>156</v>
      </c>
      <c r="K55" s="595">
        <f>-156</f>
        <v>-156</v>
      </c>
      <c r="L55" s="595"/>
      <c r="M55" s="595"/>
      <c r="N55" s="595"/>
      <c r="O55" s="595"/>
      <c r="P55" s="595"/>
      <c r="Q55" s="595"/>
      <c r="R55" s="595">
        <f t="shared" si="1"/>
        <v>0</v>
      </c>
      <c r="S55" s="595"/>
      <c r="T55" s="595"/>
      <c r="U55" s="595"/>
      <c r="V55" s="595"/>
      <c r="W55" s="595"/>
      <c r="X55" s="597">
        <f t="shared" ref="X55:X78" si="10">SUM(T55:W55)</f>
        <v>0</v>
      </c>
      <c r="Y55" s="598">
        <f t="shared" ref="Y55:Y84" si="11">R55+X55</f>
        <v>0</v>
      </c>
      <c r="Z55" s="599"/>
      <c r="AA55" s="34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70"/>
    </row>
    <row r="56" spans="1:42" ht="24.95" hidden="1" customHeight="1" x14ac:dyDescent="0.25">
      <c r="A56" s="82">
        <v>39</v>
      </c>
      <c r="B56" s="226" t="s">
        <v>324</v>
      </c>
      <c r="C56" s="28" t="s">
        <v>325</v>
      </c>
      <c r="D56" s="595"/>
      <c r="E56" s="595"/>
      <c r="F56" s="595"/>
      <c r="G56" s="595"/>
      <c r="H56" s="595"/>
      <c r="I56" s="595"/>
      <c r="J56" s="595">
        <f>50</f>
        <v>50</v>
      </c>
      <c r="K56" s="595">
        <f>-50</f>
        <v>-50</v>
      </c>
      <c r="L56" s="595"/>
      <c r="M56" s="595"/>
      <c r="N56" s="595"/>
      <c r="O56" s="595"/>
      <c r="P56" s="595"/>
      <c r="Q56" s="595"/>
      <c r="R56" s="595">
        <f t="shared" si="1"/>
        <v>0</v>
      </c>
      <c r="S56" s="595"/>
      <c r="T56" s="595"/>
      <c r="U56" s="595"/>
      <c r="V56" s="595"/>
      <c r="W56" s="595"/>
      <c r="X56" s="597">
        <f t="shared" si="10"/>
        <v>0</v>
      </c>
      <c r="Y56" s="598">
        <f t="shared" si="11"/>
        <v>0</v>
      </c>
      <c r="Z56" s="599"/>
      <c r="AA56" s="345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70"/>
    </row>
    <row r="57" spans="1:42" ht="24.95" hidden="1" customHeight="1" x14ac:dyDescent="0.25">
      <c r="A57" s="82">
        <v>40</v>
      </c>
      <c r="B57" s="226" t="s">
        <v>326</v>
      </c>
      <c r="C57" s="39" t="s">
        <v>327</v>
      </c>
      <c r="D57" s="595"/>
      <c r="E57" s="595"/>
      <c r="F57" s="595"/>
      <c r="G57" s="595"/>
      <c r="H57" s="595"/>
      <c r="I57" s="595"/>
      <c r="J57" s="595"/>
      <c r="K57" s="595">
        <f>-2500</f>
        <v>-2500</v>
      </c>
      <c r="L57" s="595"/>
      <c r="M57" s="595"/>
      <c r="N57" s="595"/>
      <c r="O57" s="595"/>
      <c r="P57" s="595"/>
      <c r="Q57" s="595">
        <f>2500</f>
        <v>2500</v>
      </c>
      <c r="R57" s="595">
        <f t="shared" si="1"/>
        <v>0</v>
      </c>
      <c r="S57" s="595"/>
      <c r="T57" s="595"/>
      <c r="U57" s="595"/>
      <c r="V57" s="595"/>
      <c r="W57" s="595"/>
      <c r="X57" s="597">
        <f t="shared" si="10"/>
        <v>0</v>
      </c>
      <c r="Y57" s="598">
        <f t="shared" si="11"/>
        <v>0</v>
      </c>
      <c r="Z57" s="599"/>
      <c r="AA57" s="345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70"/>
    </row>
    <row r="58" spans="1:42" ht="24.95" hidden="1" customHeight="1" x14ac:dyDescent="0.25">
      <c r="A58" s="82">
        <v>41</v>
      </c>
      <c r="B58" s="226" t="s">
        <v>330</v>
      </c>
      <c r="C58" s="39" t="s">
        <v>331</v>
      </c>
      <c r="D58" s="595"/>
      <c r="E58" s="595"/>
      <c r="F58" s="595">
        <f>-340-92</f>
        <v>-432</v>
      </c>
      <c r="G58" s="595"/>
      <c r="H58" s="595"/>
      <c r="I58" s="595"/>
      <c r="J58" s="595"/>
      <c r="K58" s="595"/>
      <c r="L58" s="595">
        <f>340+92</f>
        <v>432</v>
      </c>
      <c r="M58" s="595"/>
      <c r="N58" s="595"/>
      <c r="O58" s="595"/>
      <c r="P58" s="595"/>
      <c r="Q58" s="595"/>
      <c r="R58" s="595">
        <f t="shared" si="1"/>
        <v>0</v>
      </c>
      <c r="S58" s="595"/>
      <c r="T58" s="595"/>
      <c r="U58" s="595"/>
      <c r="V58" s="595"/>
      <c r="W58" s="595"/>
      <c r="X58" s="597">
        <f t="shared" si="10"/>
        <v>0</v>
      </c>
      <c r="Y58" s="598">
        <f t="shared" si="11"/>
        <v>0</v>
      </c>
      <c r="Z58" s="599"/>
      <c r="AA58" s="345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70"/>
    </row>
    <row r="59" spans="1:42" ht="24.95" hidden="1" customHeight="1" x14ac:dyDescent="0.25">
      <c r="A59" s="82">
        <v>42</v>
      </c>
      <c r="B59" s="226" t="s">
        <v>332</v>
      </c>
      <c r="C59" s="28" t="s">
        <v>325</v>
      </c>
      <c r="D59" s="595"/>
      <c r="E59" s="595"/>
      <c r="F59" s="595"/>
      <c r="G59" s="595"/>
      <c r="H59" s="595"/>
      <c r="I59" s="595"/>
      <c r="J59" s="595">
        <f>350</f>
        <v>350</v>
      </c>
      <c r="K59" s="595">
        <f>-350</f>
        <v>-350</v>
      </c>
      <c r="L59" s="595"/>
      <c r="M59" s="595"/>
      <c r="N59" s="595"/>
      <c r="O59" s="595"/>
      <c r="P59" s="595"/>
      <c r="Q59" s="595"/>
      <c r="R59" s="595">
        <f t="shared" si="1"/>
        <v>0</v>
      </c>
      <c r="S59" s="595"/>
      <c r="T59" s="595"/>
      <c r="U59" s="595"/>
      <c r="V59" s="595"/>
      <c r="W59" s="595"/>
      <c r="X59" s="597">
        <f t="shared" si="10"/>
        <v>0</v>
      </c>
      <c r="Y59" s="598">
        <f t="shared" si="11"/>
        <v>0</v>
      </c>
      <c r="Z59" s="599"/>
      <c r="AA59" s="345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70"/>
    </row>
    <row r="60" spans="1:42" ht="24.95" hidden="1" customHeight="1" x14ac:dyDescent="0.25">
      <c r="A60" s="82">
        <v>43</v>
      </c>
      <c r="B60" s="649" t="s">
        <v>334</v>
      </c>
      <c r="C60" s="39" t="s">
        <v>333</v>
      </c>
      <c r="D60" s="595"/>
      <c r="E60" s="595"/>
      <c r="F60" s="595">
        <f>200</f>
        <v>200</v>
      </c>
      <c r="G60" s="595"/>
      <c r="H60" s="595"/>
      <c r="I60" s="595"/>
      <c r="J60" s="595">
        <f>-200</f>
        <v>-200</v>
      </c>
      <c r="K60" s="595"/>
      <c r="L60" s="595"/>
      <c r="M60" s="595"/>
      <c r="N60" s="595"/>
      <c r="O60" s="595"/>
      <c r="P60" s="595"/>
      <c r="Q60" s="595"/>
      <c r="R60" s="595">
        <f t="shared" si="1"/>
        <v>0</v>
      </c>
      <c r="S60" s="595"/>
      <c r="T60" s="595"/>
      <c r="U60" s="595"/>
      <c r="V60" s="595"/>
      <c r="W60" s="595"/>
      <c r="X60" s="597">
        <f t="shared" si="10"/>
        <v>0</v>
      </c>
      <c r="Y60" s="598">
        <f t="shared" si="11"/>
        <v>0</v>
      </c>
      <c r="Z60" s="599"/>
      <c r="AA60" s="345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70"/>
    </row>
    <row r="61" spans="1:42" ht="24.95" hidden="1" customHeight="1" x14ac:dyDescent="0.25">
      <c r="A61" s="82"/>
      <c r="B61" s="226"/>
      <c r="C61" s="39"/>
      <c r="D61" s="595"/>
      <c r="E61" s="595"/>
      <c r="F61" s="595"/>
      <c r="G61" s="595"/>
      <c r="H61" s="595"/>
      <c r="I61" s="595"/>
      <c r="J61" s="595"/>
      <c r="K61" s="595"/>
      <c r="L61" s="595"/>
      <c r="M61" s="595"/>
      <c r="N61" s="595"/>
      <c r="O61" s="595"/>
      <c r="P61" s="595"/>
      <c r="Q61" s="595"/>
      <c r="R61" s="595">
        <f t="shared" si="1"/>
        <v>0</v>
      </c>
      <c r="S61" s="595"/>
      <c r="T61" s="595"/>
      <c r="U61" s="595"/>
      <c r="V61" s="595"/>
      <c r="W61" s="595"/>
      <c r="X61" s="597">
        <f t="shared" si="10"/>
        <v>0</v>
      </c>
      <c r="Y61" s="598">
        <f t="shared" si="11"/>
        <v>0</v>
      </c>
      <c r="Z61" s="599"/>
      <c r="AA61" s="345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70"/>
    </row>
    <row r="62" spans="1:42" ht="24.95" hidden="1" customHeight="1" x14ac:dyDescent="0.25">
      <c r="A62" s="82"/>
      <c r="B62" s="226"/>
      <c r="C62" s="39"/>
      <c r="D62" s="595"/>
      <c r="E62" s="595"/>
      <c r="F62" s="595"/>
      <c r="G62" s="595"/>
      <c r="H62" s="595"/>
      <c r="I62" s="595"/>
      <c r="J62" s="595"/>
      <c r="K62" s="595"/>
      <c r="L62" s="595"/>
      <c r="M62" s="595"/>
      <c r="N62" s="595"/>
      <c r="O62" s="595"/>
      <c r="P62" s="595"/>
      <c r="Q62" s="595"/>
      <c r="R62" s="595">
        <f t="shared" si="1"/>
        <v>0</v>
      </c>
      <c r="S62" s="595"/>
      <c r="T62" s="595"/>
      <c r="U62" s="595"/>
      <c r="V62" s="595"/>
      <c r="W62" s="595"/>
      <c r="X62" s="597">
        <f t="shared" si="10"/>
        <v>0</v>
      </c>
      <c r="Y62" s="598">
        <f t="shared" si="11"/>
        <v>0</v>
      </c>
      <c r="Z62" s="599"/>
      <c r="AA62" s="345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70"/>
    </row>
    <row r="63" spans="1:42" ht="24.95" hidden="1" customHeight="1" x14ac:dyDescent="0.25">
      <c r="A63" s="82"/>
      <c r="B63" s="226"/>
      <c r="C63" s="39"/>
      <c r="D63" s="595"/>
      <c r="E63" s="595"/>
      <c r="F63" s="595"/>
      <c r="G63" s="595"/>
      <c r="H63" s="595"/>
      <c r="I63" s="595"/>
      <c r="J63" s="595"/>
      <c r="K63" s="595"/>
      <c r="L63" s="595"/>
      <c r="M63" s="595"/>
      <c r="N63" s="595"/>
      <c r="O63" s="595"/>
      <c r="P63" s="595"/>
      <c r="Q63" s="595"/>
      <c r="R63" s="595">
        <f t="shared" si="1"/>
        <v>0</v>
      </c>
      <c r="S63" s="595"/>
      <c r="T63" s="595"/>
      <c r="U63" s="595"/>
      <c r="V63" s="595"/>
      <c r="W63" s="595"/>
      <c r="X63" s="597">
        <f t="shared" si="10"/>
        <v>0</v>
      </c>
      <c r="Y63" s="598">
        <f t="shared" si="11"/>
        <v>0</v>
      </c>
      <c r="Z63" s="599"/>
      <c r="AA63" s="345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70"/>
    </row>
    <row r="64" spans="1:42" ht="24.95" hidden="1" customHeight="1" x14ac:dyDescent="0.25">
      <c r="A64" s="82"/>
      <c r="B64" s="226"/>
      <c r="C64" s="39"/>
      <c r="D64" s="595"/>
      <c r="E64" s="595"/>
      <c r="F64" s="595"/>
      <c r="G64" s="595"/>
      <c r="H64" s="595"/>
      <c r="I64" s="595"/>
      <c r="J64" s="595"/>
      <c r="K64" s="595"/>
      <c r="L64" s="595"/>
      <c r="M64" s="595"/>
      <c r="N64" s="595"/>
      <c r="O64" s="595"/>
      <c r="P64" s="595"/>
      <c r="Q64" s="595"/>
      <c r="R64" s="595">
        <f t="shared" si="1"/>
        <v>0</v>
      </c>
      <c r="S64" s="595"/>
      <c r="T64" s="595"/>
      <c r="U64" s="595"/>
      <c r="V64" s="595"/>
      <c r="W64" s="595"/>
      <c r="X64" s="597">
        <f t="shared" si="10"/>
        <v>0</v>
      </c>
      <c r="Y64" s="598">
        <f t="shared" si="11"/>
        <v>0</v>
      </c>
      <c r="Z64" s="599"/>
      <c r="AA64" s="345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70"/>
    </row>
    <row r="65" spans="1:42" ht="24.95" hidden="1" customHeight="1" x14ac:dyDescent="0.25">
      <c r="A65" s="82"/>
      <c r="B65" s="226"/>
      <c r="C65" s="39"/>
      <c r="D65" s="595"/>
      <c r="E65" s="595"/>
      <c r="F65" s="595"/>
      <c r="G65" s="595"/>
      <c r="H65" s="595"/>
      <c r="I65" s="595"/>
      <c r="J65" s="595"/>
      <c r="K65" s="595"/>
      <c r="L65" s="595"/>
      <c r="M65" s="595"/>
      <c r="N65" s="595"/>
      <c r="O65" s="595"/>
      <c r="P65" s="595"/>
      <c r="Q65" s="595"/>
      <c r="R65" s="595">
        <f t="shared" si="1"/>
        <v>0</v>
      </c>
      <c r="S65" s="595"/>
      <c r="T65" s="595"/>
      <c r="U65" s="595"/>
      <c r="V65" s="595"/>
      <c r="W65" s="595"/>
      <c r="X65" s="597">
        <f t="shared" si="10"/>
        <v>0</v>
      </c>
      <c r="Y65" s="598">
        <f t="shared" si="11"/>
        <v>0</v>
      </c>
      <c r="Z65" s="599"/>
      <c r="AA65" s="345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70"/>
    </row>
    <row r="66" spans="1:42" ht="24.95" hidden="1" customHeight="1" x14ac:dyDescent="0.25">
      <c r="A66" s="82"/>
      <c r="B66" s="226"/>
      <c r="C66" s="39"/>
      <c r="D66" s="595"/>
      <c r="E66" s="595"/>
      <c r="F66" s="595"/>
      <c r="G66" s="595"/>
      <c r="H66" s="595"/>
      <c r="I66" s="595"/>
      <c r="J66" s="595"/>
      <c r="K66" s="595"/>
      <c r="L66" s="595"/>
      <c r="M66" s="595"/>
      <c r="N66" s="595"/>
      <c r="O66" s="595"/>
      <c r="P66" s="595"/>
      <c r="Q66" s="595"/>
      <c r="R66" s="595">
        <f t="shared" si="1"/>
        <v>0</v>
      </c>
      <c r="S66" s="595"/>
      <c r="T66" s="595"/>
      <c r="U66" s="595"/>
      <c r="V66" s="595"/>
      <c r="W66" s="595"/>
      <c r="X66" s="597">
        <f t="shared" ref="X66:X74" si="12">SUM(T66:W66)</f>
        <v>0</v>
      </c>
      <c r="Y66" s="598">
        <f t="shared" ref="Y66:Y74" si="13">R66+X66</f>
        <v>0</v>
      </c>
      <c r="Z66" s="599"/>
      <c r="AA66" s="345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70"/>
    </row>
    <row r="67" spans="1:42" ht="24.95" hidden="1" customHeight="1" x14ac:dyDescent="0.25">
      <c r="A67" s="82"/>
      <c r="B67" s="226"/>
      <c r="C67" s="39"/>
      <c r="D67" s="595"/>
      <c r="E67" s="595"/>
      <c r="F67" s="595"/>
      <c r="G67" s="595"/>
      <c r="H67" s="595"/>
      <c r="I67" s="595"/>
      <c r="J67" s="595"/>
      <c r="K67" s="595"/>
      <c r="L67" s="595"/>
      <c r="M67" s="595"/>
      <c r="N67" s="595"/>
      <c r="O67" s="595"/>
      <c r="P67" s="595"/>
      <c r="Q67" s="595"/>
      <c r="R67" s="595">
        <f t="shared" si="1"/>
        <v>0</v>
      </c>
      <c r="S67" s="595"/>
      <c r="T67" s="595"/>
      <c r="U67" s="595"/>
      <c r="V67" s="595"/>
      <c r="W67" s="595"/>
      <c r="X67" s="597">
        <f t="shared" si="12"/>
        <v>0</v>
      </c>
      <c r="Y67" s="598">
        <f t="shared" si="13"/>
        <v>0</v>
      </c>
      <c r="Z67" s="599"/>
      <c r="AA67" s="345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70"/>
    </row>
    <row r="68" spans="1:42" ht="24.95" hidden="1" customHeight="1" x14ac:dyDescent="0.25">
      <c r="A68" s="82"/>
      <c r="B68" s="226"/>
      <c r="C68" s="39"/>
      <c r="D68" s="595"/>
      <c r="E68" s="595"/>
      <c r="F68" s="595"/>
      <c r="G68" s="595"/>
      <c r="H68" s="595"/>
      <c r="I68" s="595"/>
      <c r="J68" s="595"/>
      <c r="K68" s="595"/>
      <c r="L68" s="595"/>
      <c r="M68" s="595"/>
      <c r="N68" s="595"/>
      <c r="O68" s="595"/>
      <c r="P68" s="595"/>
      <c r="Q68" s="595"/>
      <c r="R68" s="595">
        <f t="shared" si="1"/>
        <v>0</v>
      </c>
      <c r="S68" s="595"/>
      <c r="T68" s="595"/>
      <c r="U68" s="595"/>
      <c r="V68" s="595"/>
      <c r="W68" s="595"/>
      <c r="X68" s="597">
        <f t="shared" si="12"/>
        <v>0</v>
      </c>
      <c r="Y68" s="598">
        <f t="shared" si="13"/>
        <v>0</v>
      </c>
      <c r="Z68" s="599"/>
      <c r="AA68" s="345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70"/>
    </row>
    <row r="69" spans="1:42" ht="24.95" hidden="1" customHeight="1" x14ac:dyDescent="0.25">
      <c r="A69" s="82"/>
      <c r="B69" s="226"/>
      <c r="C69" s="39"/>
      <c r="D69" s="595"/>
      <c r="E69" s="595"/>
      <c r="F69" s="595"/>
      <c r="G69" s="595"/>
      <c r="H69" s="595"/>
      <c r="I69" s="595"/>
      <c r="J69" s="595"/>
      <c r="K69" s="595"/>
      <c r="L69" s="595"/>
      <c r="M69" s="595"/>
      <c r="N69" s="595"/>
      <c r="O69" s="595"/>
      <c r="P69" s="595"/>
      <c r="Q69" s="595"/>
      <c r="R69" s="595">
        <f t="shared" si="1"/>
        <v>0</v>
      </c>
      <c r="S69" s="595"/>
      <c r="T69" s="595"/>
      <c r="U69" s="595"/>
      <c r="V69" s="595"/>
      <c r="W69" s="595"/>
      <c r="X69" s="597">
        <f t="shared" si="12"/>
        <v>0</v>
      </c>
      <c r="Y69" s="598">
        <f t="shared" si="13"/>
        <v>0</v>
      </c>
      <c r="Z69" s="599"/>
      <c r="AA69" s="345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0"/>
    </row>
    <row r="70" spans="1:42" ht="24.95" hidden="1" customHeight="1" x14ac:dyDescent="0.25">
      <c r="A70" s="82"/>
      <c r="B70" s="226"/>
      <c r="C70" s="39"/>
      <c r="D70" s="595"/>
      <c r="E70" s="595"/>
      <c r="F70" s="595"/>
      <c r="G70" s="595"/>
      <c r="H70" s="595"/>
      <c r="I70" s="595"/>
      <c r="J70" s="595"/>
      <c r="K70" s="595"/>
      <c r="L70" s="595"/>
      <c r="M70" s="595"/>
      <c r="N70" s="595"/>
      <c r="O70" s="595"/>
      <c r="P70" s="595"/>
      <c r="Q70" s="595"/>
      <c r="R70" s="595">
        <f t="shared" si="1"/>
        <v>0</v>
      </c>
      <c r="S70" s="595"/>
      <c r="T70" s="595"/>
      <c r="U70" s="595"/>
      <c r="V70" s="595"/>
      <c r="W70" s="595"/>
      <c r="X70" s="597">
        <f t="shared" si="12"/>
        <v>0</v>
      </c>
      <c r="Y70" s="598">
        <f t="shared" si="13"/>
        <v>0</v>
      </c>
      <c r="Z70" s="599"/>
      <c r="AA70" s="345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70"/>
    </row>
    <row r="71" spans="1:42" ht="24.95" hidden="1" customHeight="1" x14ac:dyDescent="0.25">
      <c r="A71" s="82"/>
      <c r="B71" s="616"/>
      <c r="C71" s="39"/>
      <c r="D71" s="595"/>
      <c r="E71" s="595"/>
      <c r="F71" s="595"/>
      <c r="G71" s="595"/>
      <c r="H71" s="595"/>
      <c r="I71" s="595"/>
      <c r="J71" s="595"/>
      <c r="K71" s="595"/>
      <c r="L71" s="595"/>
      <c r="M71" s="595"/>
      <c r="N71" s="595"/>
      <c r="O71" s="595"/>
      <c r="P71" s="595"/>
      <c r="Q71" s="595"/>
      <c r="R71" s="595">
        <f t="shared" si="1"/>
        <v>0</v>
      </c>
      <c r="S71" s="595"/>
      <c r="T71" s="595"/>
      <c r="U71" s="595"/>
      <c r="V71" s="595"/>
      <c r="W71" s="595"/>
      <c r="X71" s="597">
        <f t="shared" si="12"/>
        <v>0</v>
      </c>
      <c r="Y71" s="598">
        <f t="shared" si="13"/>
        <v>0</v>
      </c>
      <c r="Z71" s="599"/>
      <c r="AA71" s="345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70"/>
    </row>
    <row r="72" spans="1:42" ht="24.95" hidden="1" customHeight="1" x14ac:dyDescent="0.25">
      <c r="A72" s="82"/>
      <c r="B72" s="226"/>
      <c r="C72" s="39"/>
      <c r="D72" s="595"/>
      <c r="E72" s="595"/>
      <c r="F72" s="595"/>
      <c r="G72" s="595"/>
      <c r="H72" s="595"/>
      <c r="I72" s="595"/>
      <c r="J72" s="595"/>
      <c r="K72" s="595"/>
      <c r="L72" s="595"/>
      <c r="M72" s="595"/>
      <c r="N72" s="595"/>
      <c r="O72" s="595"/>
      <c r="P72" s="595"/>
      <c r="Q72" s="595"/>
      <c r="R72" s="595">
        <f t="shared" si="1"/>
        <v>0</v>
      </c>
      <c r="S72" s="595"/>
      <c r="T72" s="595"/>
      <c r="U72" s="595"/>
      <c r="V72" s="595"/>
      <c r="W72" s="595"/>
      <c r="X72" s="597">
        <f t="shared" si="12"/>
        <v>0</v>
      </c>
      <c r="Y72" s="598">
        <f t="shared" si="13"/>
        <v>0</v>
      </c>
      <c r="Z72" s="599"/>
      <c r="AA72" s="345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70"/>
    </row>
    <row r="73" spans="1:42" ht="24.95" hidden="1" customHeight="1" x14ac:dyDescent="0.25">
      <c r="A73" s="82"/>
      <c r="B73" s="226"/>
      <c r="C73" s="39"/>
      <c r="D73" s="595"/>
      <c r="E73" s="595"/>
      <c r="F73" s="595"/>
      <c r="G73" s="595"/>
      <c r="H73" s="595"/>
      <c r="I73" s="595"/>
      <c r="J73" s="595"/>
      <c r="K73" s="595"/>
      <c r="L73" s="595"/>
      <c r="M73" s="595"/>
      <c r="N73" s="595"/>
      <c r="O73" s="595"/>
      <c r="P73" s="595"/>
      <c r="Q73" s="595"/>
      <c r="R73" s="595">
        <f t="shared" si="1"/>
        <v>0</v>
      </c>
      <c r="S73" s="595"/>
      <c r="T73" s="595"/>
      <c r="U73" s="595"/>
      <c r="V73" s="595"/>
      <c r="W73" s="595"/>
      <c r="X73" s="597">
        <f t="shared" si="12"/>
        <v>0</v>
      </c>
      <c r="Y73" s="598">
        <f t="shared" si="13"/>
        <v>0</v>
      </c>
      <c r="Z73" s="599"/>
      <c r="AA73" s="345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70"/>
    </row>
    <row r="74" spans="1:42" ht="24.95" hidden="1" customHeight="1" x14ac:dyDescent="0.25">
      <c r="A74" s="82"/>
      <c r="B74" s="226"/>
      <c r="C74" s="39"/>
      <c r="D74" s="595"/>
      <c r="E74" s="595"/>
      <c r="F74" s="595"/>
      <c r="G74" s="595"/>
      <c r="H74" s="595"/>
      <c r="I74" s="595"/>
      <c r="J74" s="595"/>
      <c r="K74" s="595"/>
      <c r="L74" s="595"/>
      <c r="M74" s="595"/>
      <c r="N74" s="595"/>
      <c r="O74" s="595"/>
      <c r="P74" s="595"/>
      <c r="Q74" s="595"/>
      <c r="R74" s="595">
        <f t="shared" si="1"/>
        <v>0</v>
      </c>
      <c r="S74" s="595"/>
      <c r="T74" s="595"/>
      <c r="U74" s="595"/>
      <c r="V74" s="595"/>
      <c r="W74" s="595"/>
      <c r="X74" s="597">
        <f t="shared" si="12"/>
        <v>0</v>
      </c>
      <c r="Y74" s="598">
        <f t="shared" si="13"/>
        <v>0</v>
      </c>
      <c r="Z74" s="599"/>
      <c r="AA74" s="345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70"/>
    </row>
    <row r="75" spans="1:42" ht="24.95" hidden="1" customHeight="1" x14ac:dyDescent="0.25">
      <c r="A75" s="82"/>
      <c r="B75" s="226"/>
      <c r="C75" s="39"/>
      <c r="D75" s="595"/>
      <c r="E75" s="595"/>
      <c r="F75" s="595"/>
      <c r="G75" s="595"/>
      <c r="H75" s="595"/>
      <c r="I75" s="595"/>
      <c r="J75" s="595"/>
      <c r="K75" s="595"/>
      <c r="L75" s="595"/>
      <c r="M75" s="595"/>
      <c r="N75" s="595"/>
      <c r="O75" s="595"/>
      <c r="P75" s="595"/>
      <c r="Q75" s="595"/>
      <c r="R75" s="595">
        <f t="shared" si="1"/>
        <v>0</v>
      </c>
      <c r="S75" s="595"/>
      <c r="T75" s="595"/>
      <c r="U75" s="595"/>
      <c r="V75" s="595"/>
      <c r="W75" s="595"/>
      <c r="X75" s="597">
        <f t="shared" si="10"/>
        <v>0</v>
      </c>
      <c r="Y75" s="598">
        <f t="shared" si="11"/>
        <v>0</v>
      </c>
      <c r="Z75" s="599"/>
      <c r="AA75" s="345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70"/>
    </row>
    <row r="76" spans="1:42" ht="24.95" hidden="1" customHeight="1" x14ac:dyDescent="0.25">
      <c r="A76" s="82"/>
      <c r="B76" s="226"/>
      <c r="C76" s="39"/>
      <c r="D76" s="595"/>
      <c r="E76" s="595"/>
      <c r="F76" s="595"/>
      <c r="G76" s="595"/>
      <c r="H76" s="595"/>
      <c r="I76" s="595"/>
      <c r="J76" s="595"/>
      <c r="K76" s="595"/>
      <c r="L76" s="595"/>
      <c r="M76" s="595"/>
      <c r="N76" s="595"/>
      <c r="O76" s="595"/>
      <c r="P76" s="595"/>
      <c r="Q76" s="595"/>
      <c r="R76" s="595">
        <f t="shared" si="1"/>
        <v>0</v>
      </c>
      <c r="S76" s="595"/>
      <c r="T76" s="595"/>
      <c r="U76" s="595"/>
      <c r="V76" s="595"/>
      <c r="W76" s="595"/>
      <c r="X76" s="597">
        <f t="shared" si="10"/>
        <v>0</v>
      </c>
      <c r="Y76" s="598">
        <f t="shared" si="11"/>
        <v>0</v>
      </c>
      <c r="Z76" s="599"/>
      <c r="AA76" s="345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70"/>
    </row>
    <row r="77" spans="1:42" ht="24.95" hidden="1" customHeight="1" x14ac:dyDescent="0.25">
      <c r="A77" s="82"/>
      <c r="B77" s="226"/>
      <c r="C77" s="39"/>
      <c r="D77" s="595"/>
      <c r="E77" s="595"/>
      <c r="F77" s="595"/>
      <c r="G77" s="595"/>
      <c r="H77" s="595"/>
      <c r="I77" s="595"/>
      <c r="J77" s="595"/>
      <c r="K77" s="595"/>
      <c r="L77" s="595"/>
      <c r="M77" s="595"/>
      <c r="N77" s="595"/>
      <c r="O77" s="595"/>
      <c r="P77" s="595"/>
      <c r="Q77" s="595"/>
      <c r="R77" s="595">
        <f t="shared" si="1"/>
        <v>0</v>
      </c>
      <c r="S77" s="595"/>
      <c r="T77" s="595"/>
      <c r="U77" s="595"/>
      <c r="V77" s="595"/>
      <c r="W77" s="595"/>
      <c r="X77" s="597">
        <f t="shared" si="10"/>
        <v>0</v>
      </c>
      <c r="Y77" s="598">
        <f t="shared" si="11"/>
        <v>0</v>
      </c>
      <c r="Z77" s="599"/>
      <c r="AA77" s="345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70"/>
    </row>
    <row r="78" spans="1:42" ht="24.95" hidden="1" customHeight="1" x14ac:dyDescent="0.25">
      <c r="A78" s="82"/>
      <c r="B78" s="226"/>
      <c r="C78" s="39"/>
      <c r="D78" s="595"/>
      <c r="E78" s="595"/>
      <c r="F78" s="595"/>
      <c r="G78" s="595"/>
      <c r="H78" s="595"/>
      <c r="I78" s="595"/>
      <c r="J78" s="595"/>
      <c r="K78" s="595"/>
      <c r="L78" s="595"/>
      <c r="M78" s="595"/>
      <c r="N78" s="595"/>
      <c r="O78" s="595"/>
      <c r="P78" s="595"/>
      <c r="Q78" s="595"/>
      <c r="R78" s="595">
        <f t="shared" si="1"/>
        <v>0</v>
      </c>
      <c r="S78" s="595"/>
      <c r="T78" s="595"/>
      <c r="U78" s="595"/>
      <c r="V78" s="595"/>
      <c r="W78" s="595"/>
      <c r="X78" s="597">
        <f t="shared" si="10"/>
        <v>0</v>
      </c>
      <c r="Y78" s="598">
        <f t="shared" si="11"/>
        <v>0</v>
      </c>
      <c r="Z78" s="599"/>
      <c r="AA78" s="345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70"/>
    </row>
    <row r="79" spans="1:42" ht="24.95" hidden="1" customHeight="1" x14ac:dyDescent="0.25">
      <c r="A79" s="82"/>
      <c r="B79" s="226"/>
      <c r="C79" s="39"/>
      <c r="D79" s="595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>
        <f t="shared" si="1"/>
        <v>0</v>
      </c>
      <c r="S79" s="595"/>
      <c r="T79" s="595"/>
      <c r="U79" s="595"/>
      <c r="V79" s="595"/>
      <c r="W79" s="595"/>
      <c r="X79" s="597">
        <f t="shared" si="2"/>
        <v>0</v>
      </c>
      <c r="Y79" s="598">
        <f t="shared" si="11"/>
        <v>0</v>
      </c>
      <c r="Z79" s="599"/>
      <c r="AA79" s="345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70"/>
    </row>
    <row r="80" spans="1:42" ht="29.45" hidden="1" customHeight="1" x14ac:dyDescent="0.25">
      <c r="A80" s="82"/>
      <c r="B80" s="226"/>
      <c r="C80" s="39"/>
      <c r="D80" s="595"/>
      <c r="E80" s="595"/>
      <c r="F80" s="595"/>
      <c r="G80" s="595"/>
      <c r="H80" s="595"/>
      <c r="I80" s="595"/>
      <c r="J80" s="595"/>
      <c r="K80" s="595"/>
      <c r="L80" s="595"/>
      <c r="M80" s="595"/>
      <c r="N80" s="595"/>
      <c r="O80" s="595"/>
      <c r="P80" s="595"/>
      <c r="Q80" s="595"/>
      <c r="R80" s="595">
        <f t="shared" si="1"/>
        <v>0</v>
      </c>
      <c r="S80" s="595"/>
      <c r="T80" s="595"/>
      <c r="U80" s="595"/>
      <c r="V80" s="595"/>
      <c r="W80" s="595"/>
      <c r="X80" s="597">
        <f t="shared" ref="X80:X93" si="14">SUM(T80:W80)</f>
        <v>0</v>
      </c>
      <c r="Y80" s="598">
        <f t="shared" si="11"/>
        <v>0</v>
      </c>
      <c r="Z80" s="599"/>
      <c r="AA80" s="345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70"/>
    </row>
    <row r="81" spans="1:42" ht="24.95" hidden="1" customHeight="1" x14ac:dyDescent="0.25">
      <c r="A81" s="82"/>
      <c r="B81" s="226"/>
      <c r="C81" s="39"/>
      <c r="D81" s="595"/>
      <c r="E81" s="595"/>
      <c r="F81" s="595"/>
      <c r="G81" s="595"/>
      <c r="H81" s="595"/>
      <c r="I81" s="595"/>
      <c r="J81" s="595"/>
      <c r="K81" s="595"/>
      <c r="L81" s="595"/>
      <c r="M81" s="595"/>
      <c r="N81" s="595"/>
      <c r="O81" s="595"/>
      <c r="P81" s="595"/>
      <c r="Q81" s="595"/>
      <c r="R81" s="595">
        <f t="shared" si="1"/>
        <v>0</v>
      </c>
      <c r="S81" s="595"/>
      <c r="T81" s="595"/>
      <c r="U81" s="595"/>
      <c r="V81" s="595"/>
      <c r="W81" s="595"/>
      <c r="X81" s="597">
        <f t="shared" si="14"/>
        <v>0</v>
      </c>
      <c r="Y81" s="598">
        <f t="shared" si="11"/>
        <v>0</v>
      </c>
      <c r="Z81" s="599"/>
      <c r="AA81" s="345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70"/>
    </row>
    <row r="82" spans="1:42" ht="24.95" hidden="1" customHeight="1" x14ac:dyDescent="0.25">
      <c r="A82" s="82"/>
      <c r="B82" s="226"/>
      <c r="C82" s="39"/>
      <c r="D82" s="595"/>
      <c r="E82" s="595"/>
      <c r="F82" s="595"/>
      <c r="G82" s="595"/>
      <c r="H82" s="595"/>
      <c r="I82" s="595"/>
      <c r="J82" s="595"/>
      <c r="K82" s="595"/>
      <c r="L82" s="595"/>
      <c r="M82" s="595"/>
      <c r="N82" s="595"/>
      <c r="O82" s="595"/>
      <c r="P82" s="595"/>
      <c r="Q82" s="595"/>
      <c r="R82" s="595">
        <f t="shared" si="1"/>
        <v>0</v>
      </c>
      <c r="S82" s="595"/>
      <c r="T82" s="595"/>
      <c r="U82" s="595"/>
      <c r="V82" s="595"/>
      <c r="W82" s="595"/>
      <c r="X82" s="597">
        <f t="shared" si="14"/>
        <v>0</v>
      </c>
      <c r="Y82" s="598">
        <f t="shared" si="11"/>
        <v>0</v>
      </c>
      <c r="Z82" s="599"/>
      <c r="AA82" s="345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70"/>
    </row>
    <row r="83" spans="1:42" ht="24.95" hidden="1" customHeight="1" x14ac:dyDescent="0.25">
      <c r="A83" s="82"/>
      <c r="B83" s="226"/>
      <c r="C83" s="39"/>
      <c r="D83" s="595"/>
      <c r="E83" s="595"/>
      <c r="F83" s="595"/>
      <c r="G83" s="595"/>
      <c r="H83" s="595"/>
      <c r="I83" s="595"/>
      <c r="J83" s="595"/>
      <c r="K83" s="595"/>
      <c r="L83" s="595"/>
      <c r="M83" s="595"/>
      <c r="N83" s="595"/>
      <c r="O83" s="595"/>
      <c r="P83" s="595"/>
      <c r="Q83" s="595"/>
      <c r="R83" s="595">
        <f t="shared" si="1"/>
        <v>0</v>
      </c>
      <c r="S83" s="595"/>
      <c r="T83" s="595"/>
      <c r="U83" s="595"/>
      <c r="V83" s="595"/>
      <c r="W83" s="595"/>
      <c r="X83" s="597">
        <f>SUM(T83:W83)</f>
        <v>0</v>
      </c>
      <c r="Y83" s="598">
        <f>R83+X83</f>
        <v>0</v>
      </c>
      <c r="Z83" s="599"/>
      <c r="AA83" s="345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70"/>
    </row>
    <row r="84" spans="1:42" ht="24.95" hidden="1" customHeight="1" x14ac:dyDescent="0.25">
      <c r="A84" s="82"/>
      <c r="B84" s="226"/>
      <c r="C84" s="39"/>
      <c r="D84" s="595"/>
      <c r="E84" s="595"/>
      <c r="F84" s="595"/>
      <c r="G84" s="595"/>
      <c r="H84" s="595"/>
      <c r="I84" s="595"/>
      <c r="J84" s="595"/>
      <c r="K84" s="595"/>
      <c r="L84" s="595"/>
      <c r="M84" s="595"/>
      <c r="N84" s="595"/>
      <c r="O84" s="595"/>
      <c r="P84" s="595"/>
      <c r="Q84" s="595"/>
      <c r="R84" s="595">
        <f t="shared" si="1"/>
        <v>0</v>
      </c>
      <c r="S84" s="595"/>
      <c r="T84" s="595"/>
      <c r="U84" s="595"/>
      <c r="V84" s="595"/>
      <c r="W84" s="595"/>
      <c r="X84" s="597">
        <f t="shared" si="14"/>
        <v>0</v>
      </c>
      <c r="Y84" s="598">
        <f t="shared" si="11"/>
        <v>0</v>
      </c>
      <c r="Z84" s="599"/>
      <c r="AA84" s="345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70"/>
    </row>
    <row r="85" spans="1:42" ht="24.95" hidden="1" customHeight="1" x14ac:dyDescent="0.25">
      <c r="A85" s="82"/>
      <c r="B85" s="226"/>
      <c r="C85" s="39"/>
      <c r="D85" s="595"/>
      <c r="E85" s="595"/>
      <c r="F85" s="595"/>
      <c r="G85" s="595"/>
      <c r="H85" s="595"/>
      <c r="I85" s="595"/>
      <c r="J85" s="595"/>
      <c r="K85" s="595"/>
      <c r="L85" s="595"/>
      <c r="M85" s="595"/>
      <c r="N85" s="595"/>
      <c r="O85" s="595"/>
      <c r="P85" s="595"/>
      <c r="Q85" s="595"/>
      <c r="R85" s="595">
        <f t="shared" si="1"/>
        <v>0</v>
      </c>
      <c r="S85" s="595"/>
      <c r="T85" s="595"/>
      <c r="U85" s="595"/>
      <c r="V85" s="595"/>
      <c r="W85" s="595"/>
      <c r="X85" s="597">
        <f t="shared" si="14"/>
        <v>0</v>
      </c>
      <c r="Y85" s="598">
        <f t="shared" ref="Y85:Y93" si="15">R85+X85</f>
        <v>0</v>
      </c>
      <c r="Z85" s="599"/>
      <c r="AA85" s="345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70"/>
    </row>
    <row r="86" spans="1:42" ht="24.95" hidden="1" customHeight="1" x14ac:dyDescent="0.25">
      <c r="A86" s="82"/>
      <c r="B86" s="226"/>
      <c r="C86" s="39"/>
      <c r="D86" s="595"/>
      <c r="E86" s="595"/>
      <c r="F86" s="595"/>
      <c r="G86" s="595"/>
      <c r="H86" s="595"/>
      <c r="I86" s="595"/>
      <c r="J86" s="595"/>
      <c r="K86" s="595"/>
      <c r="L86" s="595"/>
      <c r="M86" s="595"/>
      <c r="N86" s="595"/>
      <c r="O86" s="595"/>
      <c r="P86" s="595"/>
      <c r="Q86" s="595"/>
      <c r="R86" s="595">
        <f t="shared" si="1"/>
        <v>0</v>
      </c>
      <c r="S86" s="595"/>
      <c r="T86" s="595"/>
      <c r="U86" s="595"/>
      <c r="V86" s="595"/>
      <c r="W86" s="595"/>
      <c r="X86" s="597">
        <f t="shared" si="14"/>
        <v>0</v>
      </c>
      <c r="Y86" s="598">
        <f t="shared" si="15"/>
        <v>0</v>
      </c>
      <c r="Z86" s="599"/>
      <c r="AA86" s="345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70"/>
    </row>
    <row r="87" spans="1:42" ht="24.95" hidden="1" customHeight="1" x14ac:dyDescent="0.25">
      <c r="A87" s="225"/>
      <c r="B87" s="226"/>
      <c r="C87" s="39"/>
      <c r="D87" s="595"/>
      <c r="E87" s="595"/>
      <c r="F87" s="595"/>
      <c r="G87" s="595"/>
      <c r="H87" s="595"/>
      <c r="I87" s="595"/>
      <c r="J87" s="595"/>
      <c r="K87" s="595"/>
      <c r="L87" s="595"/>
      <c r="M87" s="595"/>
      <c r="N87" s="595"/>
      <c r="O87" s="595"/>
      <c r="P87" s="595"/>
      <c r="Q87" s="595"/>
      <c r="R87" s="595">
        <f t="shared" si="1"/>
        <v>0</v>
      </c>
      <c r="S87" s="595"/>
      <c r="T87" s="595"/>
      <c r="U87" s="595"/>
      <c r="V87" s="595"/>
      <c r="W87" s="595"/>
      <c r="X87" s="597">
        <f t="shared" si="14"/>
        <v>0</v>
      </c>
      <c r="Y87" s="598">
        <f t="shared" si="15"/>
        <v>0</v>
      </c>
      <c r="Z87" s="599"/>
      <c r="AA87" s="345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70"/>
    </row>
    <row r="88" spans="1:42" ht="24.95" hidden="1" customHeight="1" x14ac:dyDescent="0.25">
      <c r="A88" s="82"/>
      <c r="C88" s="39"/>
      <c r="D88" s="595"/>
      <c r="E88" s="595"/>
      <c r="F88" s="595"/>
      <c r="G88" s="595"/>
      <c r="H88" s="595"/>
      <c r="I88" s="595"/>
      <c r="J88" s="595"/>
      <c r="K88" s="595"/>
      <c r="L88" s="595"/>
      <c r="M88" s="595"/>
      <c r="N88" s="595"/>
      <c r="O88" s="595"/>
      <c r="P88" s="595"/>
      <c r="Q88" s="595"/>
      <c r="R88" s="595">
        <f t="shared" si="1"/>
        <v>0</v>
      </c>
      <c r="S88" s="595"/>
      <c r="T88" s="595"/>
      <c r="U88" s="595"/>
      <c r="V88" s="595"/>
      <c r="W88" s="595"/>
      <c r="X88" s="597">
        <f t="shared" si="14"/>
        <v>0</v>
      </c>
      <c r="Y88" s="598">
        <f t="shared" si="15"/>
        <v>0</v>
      </c>
      <c r="Z88" s="599"/>
      <c r="AA88" s="345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70"/>
    </row>
    <row r="89" spans="1:42" ht="24.95" hidden="1" customHeight="1" x14ac:dyDescent="0.25">
      <c r="A89" s="82"/>
      <c r="C89" s="137"/>
      <c r="D89" s="595"/>
      <c r="E89" s="595"/>
      <c r="F89" s="595"/>
      <c r="G89" s="595"/>
      <c r="H89" s="595"/>
      <c r="I89" s="595"/>
      <c r="J89" s="595"/>
      <c r="K89" s="595"/>
      <c r="L89" s="595"/>
      <c r="M89" s="595"/>
      <c r="N89" s="595"/>
      <c r="O89" s="595"/>
      <c r="P89" s="595"/>
      <c r="Q89" s="595"/>
      <c r="R89" s="595">
        <f t="shared" si="1"/>
        <v>0</v>
      </c>
      <c r="S89" s="595"/>
      <c r="T89" s="595"/>
      <c r="U89" s="595"/>
      <c r="V89" s="595"/>
      <c r="W89" s="595"/>
      <c r="X89" s="597">
        <f t="shared" si="14"/>
        <v>0</v>
      </c>
      <c r="Y89" s="598">
        <f t="shared" si="15"/>
        <v>0</v>
      </c>
      <c r="Z89" s="599"/>
      <c r="AA89" s="345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70"/>
    </row>
    <row r="90" spans="1:42" ht="24.95" hidden="1" customHeight="1" x14ac:dyDescent="0.25">
      <c r="A90" s="82"/>
      <c r="B90" s="137"/>
      <c r="C90" s="39"/>
      <c r="D90" s="595"/>
      <c r="E90" s="595"/>
      <c r="F90" s="595"/>
      <c r="G90" s="595"/>
      <c r="H90" s="595"/>
      <c r="I90" s="595"/>
      <c r="J90" s="595"/>
      <c r="K90" s="595"/>
      <c r="L90" s="595"/>
      <c r="M90" s="595"/>
      <c r="N90" s="595"/>
      <c r="O90" s="595"/>
      <c r="P90" s="595"/>
      <c r="Q90" s="595"/>
      <c r="R90" s="595">
        <f t="shared" si="1"/>
        <v>0</v>
      </c>
      <c r="S90" s="595"/>
      <c r="T90" s="595"/>
      <c r="U90" s="595"/>
      <c r="V90" s="595"/>
      <c r="W90" s="595"/>
      <c r="X90" s="597">
        <f t="shared" si="14"/>
        <v>0</v>
      </c>
      <c r="Y90" s="598">
        <f t="shared" si="15"/>
        <v>0</v>
      </c>
      <c r="Z90" s="599"/>
      <c r="AA90" s="345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70"/>
    </row>
    <row r="91" spans="1:42" ht="24.95" hidden="1" customHeight="1" x14ac:dyDescent="0.25">
      <c r="A91" s="82"/>
      <c r="B91" s="137"/>
      <c r="C91" s="39"/>
      <c r="D91" s="595"/>
      <c r="E91" s="595"/>
      <c r="F91" s="595"/>
      <c r="G91" s="595"/>
      <c r="H91" s="595"/>
      <c r="I91" s="595"/>
      <c r="J91" s="595"/>
      <c r="K91" s="595"/>
      <c r="L91" s="595"/>
      <c r="M91" s="595"/>
      <c r="N91" s="595"/>
      <c r="O91" s="595"/>
      <c r="P91" s="595"/>
      <c r="Q91" s="595"/>
      <c r="R91" s="595">
        <f t="shared" si="1"/>
        <v>0</v>
      </c>
      <c r="S91" s="595"/>
      <c r="T91" s="595"/>
      <c r="U91" s="595"/>
      <c r="V91" s="595"/>
      <c r="W91" s="595"/>
      <c r="X91" s="597">
        <f t="shared" si="14"/>
        <v>0</v>
      </c>
      <c r="Y91" s="598">
        <f t="shared" si="15"/>
        <v>0</v>
      </c>
      <c r="Z91" s="599"/>
      <c r="AA91" s="345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70"/>
    </row>
    <row r="92" spans="1:42" ht="24.95" hidden="1" customHeight="1" x14ac:dyDescent="0.25">
      <c r="A92" s="82"/>
      <c r="B92" s="137"/>
      <c r="C92" s="39"/>
      <c r="D92" s="595"/>
      <c r="E92" s="595"/>
      <c r="F92" s="595"/>
      <c r="G92" s="595"/>
      <c r="H92" s="595"/>
      <c r="I92" s="595"/>
      <c r="J92" s="595"/>
      <c r="K92" s="595"/>
      <c r="L92" s="595"/>
      <c r="M92" s="595"/>
      <c r="N92" s="595"/>
      <c r="O92" s="595"/>
      <c r="P92" s="595"/>
      <c r="Q92" s="595"/>
      <c r="R92" s="595">
        <f t="shared" si="1"/>
        <v>0</v>
      </c>
      <c r="S92" s="595"/>
      <c r="T92" s="595"/>
      <c r="U92" s="595"/>
      <c r="V92" s="595"/>
      <c r="W92" s="595"/>
      <c r="X92" s="597">
        <f t="shared" si="14"/>
        <v>0</v>
      </c>
      <c r="Y92" s="598">
        <f t="shared" si="15"/>
        <v>0</v>
      </c>
      <c r="Z92" s="599"/>
      <c r="AA92" s="345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70"/>
    </row>
    <row r="93" spans="1:42" ht="24.95" hidden="1" customHeight="1" x14ac:dyDescent="0.25">
      <c r="A93" s="82"/>
      <c r="B93" s="137"/>
      <c r="C93" s="39"/>
      <c r="D93" s="595"/>
      <c r="E93" s="595"/>
      <c r="F93" s="595"/>
      <c r="G93" s="595"/>
      <c r="H93" s="595"/>
      <c r="I93" s="595"/>
      <c r="J93" s="595"/>
      <c r="K93" s="595"/>
      <c r="L93" s="595"/>
      <c r="M93" s="595"/>
      <c r="N93" s="595"/>
      <c r="O93" s="595"/>
      <c r="P93" s="595"/>
      <c r="Q93" s="595"/>
      <c r="R93" s="595">
        <f t="shared" si="1"/>
        <v>0</v>
      </c>
      <c r="S93" s="595"/>
      <c r="T93" s="595"/>
      <c r="U93" s="595"/>
      <c r="V93" s="595"/>
      <c r="W93" s="595"/>
      <c r="X93" s="597">
        <f t="shared" si="14"/>
        <v>0</v>
      </c>
      <c r="Y93" s="598">
        <f t="shared" si="15"/>
        <v>0</v>
      </c>
      <c r="Z93" s="599"/>
      <c r="AA93" s="345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70"/>
    </row>
    <row r="94" spans="1:42" ht="30" hidden="1" customHeight="1" x14ac:dyDescent="0.25">
      <c r="A94" s="82"/>
      <c r="B94" s="137"/>
      <c r="C94" s="28"/>
      <c r="D94" s="595"/>
      <c r="E94" s="595"/>
      <c r="F94" s="595"/>
      <c r="G94" s="595"/>
      <c r="H94" s="595"/>
      <c r="I94" s="595"/>
      <c r="J94" s="595"/>
      <c r="K94" s="595"/>
      <c r="L94" s="595"/>
      <c r="M94" s="595"/>
      <c r="N94" s="595"/>
      <c r="O94" s="595"/>
      <c r="P94" s="595"/>
      <c r="Q94" s="595"/>
      <c r="R94" s="595">
        <f t="shared" si="1"/>
        <v>0</v>
      </c>
      <c r="S94" s="595"/>
      <c r="T94" s="595"/>
      <c r="U94" s="595"/>
      <c r="V94" s="595"/>
      <c r="W94" s="595"/>
      <c r="X94" s="597">
        <f t="shared" si="2"/>
        <v>0</v>
      </c>
      <c r="Y94" s="598">
        <f t="shared" si="3"/>
        <v>0</v>
      </c>
      <c r="Z94" s="599"/>
      <c r="AA94" s="345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70"/>
    </row>
    <row r="95" spans="1:42" ht="17.25" hidden="1" customHeight="1" thickBot="1" x14ac:dyDescent="0.25">
      <c r="A95" s="82"/>
      <c r="B95" s="126"/>
      <c r="C95" s="159"/>
      <c r="D95" s="600"/>
      <c r="E95" s="600"/>
      <c r="F95" s="600"/>
      <c r="G95" s="600"/>
      <c r="H95" s="600"/>
      <c r="I95" s="600"/>
      <c r="J95" s="600"/>
      <c r="K95" s="600"/>
      <c r="L95" s="600"/>
      <c r="M95" s="600"/>
      <c r="N95" s="600"/>
      <c r="O95" s="600"/>
      <c r="P95" s="600"/>
      <c r="Q95" s="600"/>
      <c r="R95" s="600"/>
      <c r="S95" s="600"/>
      <c r="T95" s="600"/>
      <c r="U95" s="600"/>
      <c r="V95" s="600"/>
      <c r="W95" s="600"/>
      <c r="X95" s="601"/>
      <c r="Y95" s="617"/>
      <c r="Z95" s="602"/>
      <c r="AA95" s="345"/>
    </row>
    <row r="96" spans="1:42" ht="35.1" hidden="1" customHeight="1" thickTop="1" thickBot="1" x14ac:dyDescent="0.25">
      <c r="A96" s="134"/>
      <c r="B96" s="90"/>
      <c r="C96" s="44" t="s">
        <v>19</v>
      </c>
      <c r="D96" s="483">
        <f t="shared" ref="D96:Q96" si="16">SUM(D18:D95)</f>
        <v>4059</v>
      </c>
      <c r="E96" s="483">
        <f t="shared" si="16"/>
        <v>1058</v>
      </c>
      <c r="F96" s="483">
        <f t="shared" si="16"/>
        <v>11268.936999999998</v>
      </c>
      <c r="G96" s="483">
        <f t="shared" si="16"/>
        <v>500</v>
      </c>
      <c r="H96" s="483">
        <f t="shared" si="16"/>
        <v>0</v>
      </c>
      <c r="I96" s="483">
        <f t="shared" si="16"/>
        <v>-2400</v>
      </c>
      <c r="J96" s="483">
        <f t="shared" si="16"/>
        <v>2306</v>
      </c>
      <c r="K96" s="483">
        <f t="shared" si="16"/>
        <v>-78923.406000000003</v>
      </c>
      <c r="L96" s="483">
        <f t="shared" si="16"/>
        <v>20800</v>
      </c>
      <c r="M96" s="483">
        <f t="shared" si="16"/>
        <v>-1000</v>
      </c>
      <c r="N96" s="483">
        <f t="shared" si="16"/>
        <v>0</v>
      </c>
      <c r="O96" s="483">
        <f t="shared" si="16"/>
        <v>0</v>
      </c>
      <c r="P96" s="483">
        <f t="shared" si="16"/>
        <v>0</v>
      </c>
      <c r="Q96" s="483">
        <f t="shared" si="16"/>
        <v>2500</v>
      </c>
      <c r="R96" s="483">
        <f>SUM(D96:Q96)</f>
        <v>-39831.469000000005</v>
      </c>
      <c r="S96" s="483"/>
      <c r="T96" s="483">
        <f>SUM(T18:T95)</f>
        <v>0</v>
      </c>
      <c r="U96" s="483">
        <f>SUM(U18:U95)</f>
        <v>3740000</v>
      </c>
      <c r="V96" s="483">
        <f>SUM(V18:V95)</f>
        <v>3.5000000000000003E-2</v>
      </c>
      <c r="W96" s="483">
        <f>SUM(W18:W95)</f>
        <v>0</v>
      </c>
      <c r="X96" s="483">
        <f>SUM(X18:X95)</f>
        <v>3740000.0350000001</v>
      </c>
      <c r="Y96" s="484">
        <f t="shared" si="3"/>
        <v>3700168.5660000001</v>
      </c>
      <c r="Z96" s="485">
        <f>SUM(Z18:Z95)</f>
        <v>95005.524999999994</v>
      </c>
      <c r="AA96" s="346"/>
    </row>
    <row r="97" spans="1:74" ht="9.9499999999999993" hidden="1" customHeight="1" thickTop="1" x14ac:dyDescent="0.2">
      <c r="A97" s="619"/>
      <c r="B97" s="187"/>
      <c r="C97" s="188"/>
      <c r="D97" s="620"/>
      <c r="E97" s="620"/>
      <c r="F97" s="620"/>
      <c r="G97" s="620"/>
      <c r="H97" s="620"/>
      <c r="I97" s="620"/>
      <c r="J97" s="620"/>
      <c r="K97" s="620"/>
      <c r="L97" s="620"/>
      <c r="M97" s="620"/>
      <c r="N97" s="620"/>
      <c r="O97" s="620"/>
      <c r="P97" s="620"/>
      <c r="Q97" s="620"/>
      <c r="R97" s="620"/>
      <c r="S97" s="620"/>
      <c r="T97" s="620"/>
      <c r="U97" s="620"/>
      <c r="V97" s="620"/>
      <c r="W97" s="620"/>
      <c r="X97" s="621"/>
      <c r="Y97" s="621"/>
      <c r="Z97" s="622"/>
      <c r="AA97" s="346"/>
    </row>
    <row r="98" spans="1:74" ht="24.95" hidden="1" customHeight="1" x14ac:dyDescent="0.2">
      <c r="A98" s="623"/>
      <c r="B98" s="228"/>
      <c r="C98" s="624"/>
      <c r="D98" s="625"/>
      <c r="E98" s="625"/>
      <c r="F98" s="625"/>
      <c r="G98" s="625"/>
      <c r="H98" s="625"/>
      <c r="I98" s="625"/>
      <c r="J98" s="625"/>
      <c r="K98" s="625"/>
      <c r="L98" s="625"/>
      <c r="M98" s="625"/>
      <c r="N98" s="625"/>
      <c r="O98" s="625"/>
      <c r="P98" s="625"/>
      <c r="Q98" s="625"/>
      <c r="R98" s="625">
        <f>SUM(D98:Q98)</f>
        <v>0</v>
      </c>
      <c r="S98" s="625"/>
      <c r="T98" s="625"/>
      <c r="U98" s="625"/>
      <c r="V98" s="625"/>
      <c r="W98" s="625"/>
      <c r="X98" s="626">
        <f>SUM(T98:W98)</f>
        <v>0</v>
      </c>
      <c r="Y98" s="627">
        <f>R98+X98</f>
        <v>0</v>
      </c>
      <c r="Z98" s="628"/>
      <c r="AA98" s="346"/>
    </row>
    <row r="99" spans="1:74" ht="9.9499999999999993" hidden="1" customHeight="1" thickBot="1" x14ac:dyDescent="0.25">
      <c r="A99" s="629"/>
      <c r="B99" s="196"/>
      <c r="C99" s="197"/>
      <c r="D99" s="630"/>
      <c r="E99" s="630"/>
      <c r="F99" s="630"/>
      <c r="G99" s="630"/>
      <c r="H99" s="630"/>
      <c r="I99" s="630"/>
      <c r="J99" s="630"/>
      <c r="K99" s="630"/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0"/>
      <c r="X99" s="631"/>
      <c r="Y99" s="631"/>
      <c r="Z99" s="632"/>
      <c r="AA99" s="346"/>
    </row>
    <row r="100" spans="1:74" ht="35.1" hidden="1" customHeight="1" thickTop="1" thickBot="1" x14ac:dyDescent="0.25">
      <c r="A100" s="134"/>
      <c r="B100" s="90"/>
      <c r="C100" s="44" t="s">
        <v>154</v>
      </c>
      <c r="D100" s="592">
        <f t="shared" ref="D100:K100" si="17">D17+D96</f>
        <v>149232</v>
      </c>
      <c r="E100" s="592">
        <f t="shared" si="17"/>
        <v>35229</v>
      </c>
      <c r="F100" s="656">
        <f t="shared" si="17"/>
        <v>4375205.4410000006</v>
      </c>
      <c r="G100" s="592">
        <f t="shared" si="17"/>
        <v>172665</v>
      </c>
      <c r="H100" s="592">
        <f t="shared" si="17"/>
        <v>150591.49600000001</v>
      </c>
      <c r="I100" s="592">
        <f t="shared" si="17"/>
        <v>52112</v>
      </c>
      <c r="J100" s="592">
        <f t="shared" si="17"/>
        <v>671638</v>
      </c>
      <c r="K100" s="592">
        <f t="shared" si="17"/>
        <v>2242890.594</v>
      </c>
      <c r="L100" s="592">
        <f>L17+L96+L98</f>
        <v>1899199</v>
      </c>
      <c r="M100" s="592">
        <f>M17+M96</f>
        <v>24420</v>
      </c>
      <c r="N100" s="592">
        <f>N17+N96</f>
        <v>600</v>
      </c>
      <c r="O100" s="592">
        <f>O17+O96</f>
        <v>10000</v>
      </c>
      <c r="P100" s="592">
        <f>P17+P96</f>
        <v>0</v>
      </c>
      <c r="Q100" s="592">
        <f>Q17+Q96</f>
        <v>443128</v>
      </c>
      <c r="R100" s="592">
        <f>SUM(D100:Q100)</f>
        <v>10226910.531000001</v>
      </c>
      <c r="S100" s="592"/>
      <c r="T100" s="592">
        <f>T17+T96</f>
        <v>0</v>
      </c>
      <c r="U100" s="592">
        <f>U17+U96</f>
        <v>3740000</v>
      </c>
      <c r="V100" s="592">
        <f>V17+V96</f>
        <v>66267.035000000003</v>
      </c>
      <c r="W100" s="592">
        <f>W17+W96</f>
        <v>0</v>
      </c>
      <c r="X100" s="593">
        <f t="shared" si="2"/>
        <v>3806267.0350000001</v>
      </c>
      <c r="Y100" s="593">
        <f>R100+X100</f>
        <v>14033177.566000002</v>
      </c>
      <c r="Z100" s="594">
        <f>Z17+Z96+Z98</f>
        <v>6390963.5250000004</v>
      </c>
      <c r="AA100" s="347"/>
      <c r="AB100" s="85">
        <f>Y100+Z100</f>
        <v>20424141.091000002</v>
      </c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</row>
    <row r="101" spans="1:74" ht="17.25" hidden="1" customHeight="1" thickTop="1" x14ac:dyDescent="0.2">
      <c r="A101" s="26"/>
      <c r="B101" s="135" t="s">
        <v>21</v>
      </c>
      <c r="C101" s="94" t="s">
        <v>147</v>
      </c>
      <c r="D101" s="95"/>
      <c r="E101" s="95"/>
      <c r="F101" s="95"/>
      <c r="G101" s="95"/>
      <c r="H101" s="95"/>
      <c r="I101" s="95"/>
      <c r="J101" s="95"/>
      <c r="K101" s="95">
        <f>845+70000+200000+338894</f>
        <v>609739</v>
      </c>
      <c r="L101" s="95"/>
      <c r="M101" s="95"/>
      <c r="N101" s="95"/>
      <c r="O101" s="95"/>
      <c r="P101" s="95"/>
      <c r="Q101" s="95"/>
      <c r="R101" s="95">
        <f t="shared" ref="R101:R144" si="18">SUM(D101:Q101)</f>
        <v>609739</v>
      </c>
      <c r="S101" s="95"/>
      <c r="T101" s="95"/>
      <c r="U101" s="95"/>
      <c r="V101" s="95"/>
      <c r="W101" s="95"/>
      <c r="X101" s="99">
        <f t="shared" si="2"/>
        <v>0</v>
      </c>
      <c r="Y101" s="364">
        <f t="shared" si="3"/>
        <v>609739</v>
      </c>
      <c r="Z101" s="372">
        <v>1048</v>
      </c>
      <c r="AA101" s="348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</row>
    <row r="102" spans="1:74" ht="16.5" hidden="1" customHeight="1" x14ac:dyDescent="0.2">
      <c r="A102" s="26"/>
      <c r="B102" s="74" t="s">
        <v>65</v>
      </c>
      <c r="C102" s="96" t="s">
        <v>147</v>
      </c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>
        <f t="shared" si="18"/>
        <v>0</v>
      </c>
      <c r="S102" s="129"/>
      <c r="T102" s="129"/>
      <c r="U102" s="129"/>
      <c r="V102" s="129"/>
      <c r="W102" s="129"/>
      <c r="X102" s="462">
        <f t="shared" si="2"/>
        <v>0</v>
      </c>
      <c r="Y102" s="365">
        <f t="shared" si="3"/>
        <v>0</v>
      </c>
      <c r="Z102" s="373"/>
      <c r="AA102" s="348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</row>
    <row r="103" spans="1:74" ht="16.5" hidden="1" customHeight="1" x14ac:dyDescent="0.2">
      <c r="A103" s="26"/>
      <c r="B103" s="74" t="s">
        <v>23</v>
      </c>
      <c r="C103" s="96" t="s">
        <v>147</v>
      </c>
      <c r="D103" s="97"/>
      <c r="E103" s="97"/>
      <c r="F103" s="650">
        <f>0.468+52952</f>
        <v>52952.468000000001</v>
      </c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>
        <f t="shared" si="18"/>
        <v>52952.468000000001</v>
      </c>
      <c r="S103" s="97"/>
      <c r="T103" s="97"/>
      <c r="U103" s="97"/>
      <c r="V103" s="97"/>
      <c r="W103" s="97"/>
      <c r="X103" s="100">
        <f t="shared" si="2"/>
        <v>0</v>
      </c>
      <c r="Y103" s="365">
        <f t="shared" si="3"/>
        <v>52952.468000000001</v>
      </c>
      <c r="Z103" s="374"/>
      <c r="AA103" s="348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</row>
    <row r="104" spans="1:74" ht="16.5" hidden="1" customHeight="1" x14ac:dyDescent="0.2">
      <c r="A104" s="26"/>
      <c r="B104" s="74" t="s">
        <v>63</v>
      </c>
      <c r="C104" s="96" t="s">
        <v>147</v>
      </c>
      <c r="D104" s="97"/>
      <c r="E104" s="97"/>
      <c r="F104" s="97">
        <v>885</v>
      </c>
      <c r="G104" s="97"/>
      <c r="H104" s="97"/>
      <c r="I104" s="97"/>
      <c r="J104" s="97"/>
      <c r="K104" s="97"/>
      <c r="L104" s="97"/>
      <c r="M104" s="97"/>
      <c r="O104" s="97"/>
      <c r="P104" s="97"/>
      <c r="Q104" s="97"/>
      <c r="R104" s="97">
        <f t="shared" si="18"/>
        <v>885</v>
      </c>
      <c r="S104" s="97"/>
      <c r="T104" s="97"/>
      <c r="U104" s="97"/>
      <c r="V104" s="97"/>
      <c r="W104" s="97"/>
      <c r="X104" s="100">
        <f t="shared" si="2"/>
        <v>0</v>
      </c>
      <c r="Y104" s="365">
        <f t="shared" si="3"/>
        <v>885</v>
      </c>
      <c r="Z104" s="374"/>
      <c r="AA104" s="348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</row>
    <row r="105" spans="1:74" ht="16.5" hidden="1" customHeight="1" x14ac:dyDescent="0.2">
      <c r="A105" s="26"/>
      <c r="B105" s="74" t="s">
        <v>80</v>
      </c>
      <c r="C105" s="96" t="s">
        <v>147</v>
      </c>
      <c r="D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>
        <f t="shared" si="18"/>
        <v>0</v>
      </c>
      <c r="S105" s="97"/>
      <c r="T105" s="97"/>
      <c r="U105" s="97"/>
      <c r="V105" s="97"/>
      <c r="W105" s="97"/>
      <c r="X105" s="100">
        <f t="shared" si="2"/>
        <v>0</v>
      </c>
      <c r="Y105" s="365">
        <f t="shared" si="3"/>
        <v>0</v>
      </c>
      <c r="Z105" s="374"/>
      <c r="AA105" s="348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</row>
    <row r="106" spans="1:74" ht="16.5" hidden="1" customHeight="1" x14ac:dyDescent="0.2">
      <c r="A106" s="26"/>
      <c r="B106" s="74" t="s">
        <v>53</v>
      </c>
      <c r="C106" s="96" t="s">
        <v>147</v>
      </c>
      <c r="D106" s="97"/>
      <c r="E106" s="97"/>
      <c r="F106" s="97"/>
      <c r="G106" s="97"/>
      <c r="H106" s="97"/>
      <c r="I106" s="97"/>
      <c r="J106" s="97">
        <v>884</v>
      </c>
      <c r="K106" s="97">
        <v>2000</v>
      </c>
      <c r="L106" s="97"/>
      <c r="M106" s="97"/>
      <c r="N106" s="97"/>
      <c r="O106" s="97"/>
      <c r="P106" s="97"/>
      <c r="Q106" s="97"/>
      <c r="R106" s="97">
        <f t="shared" si="18"/>
        <v>2884</v>
      </c>
      <c r="S106" s="97"/>
      <c r="T106" s="97"/>
      <c r="U106" s="97"/>
      <c r="V106" s="97"/>
      <c r="W106" s="97"/>
      <c r="X106" s="100">
        <f t="shared" si="2"/>
        <v>0</v>
      </c>
      <c r="Y106" s="365">
        <f t="shared" si="3"/>
        <v>2884</v>
      </c>
      <c r="Z106" s="374"/>
      <c r="AA106" s="348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</row>
    <row r="107" spans="1:74" ht="16.5" hidden="1" customHeight="1" x14ac:dyDescent="0.2">
      <c r="A107" s="26"/>
      <c r="B107" s="74" t="s">
        <v>54</v>
      </c>
      <c r="C107" s="96" t="s">
        <v>147</v>
      </c>
      <c r="D107" s="97"/>
      <c r="E107" s="97"/>
      <c r="F107" s="97"/>
      <c r="G107" s="97"/>
      <c r="H107" s="97"/>
      <c r="I107" s="97"/>
      <c r="J107" s="97"/>
      <c r="K107" s="97">
        <v>600</v>
      </c>
      <c r="L107" s="97"/>
      <c r="M107" s="97"/>
      <c r="N107" s="97"/>
      <c r="O107" s="97"/>
      <c r="P107" s="97"/>
      <c r="Q107" s="97">
        <v>1000</v>
      </c>
      <c r="R107" s="97">
        <f t="shared" si="18"/>
        <v>1600</v>
      </c>
      <c r="S107" s="97"/>
      <c r="T107" s="97"/>
      <c r="U107" s="97"/>
      <c r="V107" s="97"/>
      <c r="W107" s="97"/>
      <c r="X107" s="100">
        <f t="shared" si="2"/>
        <v>0</v>
      </c>
      <c r="Y107" s="365">
        <f t="shared" si="3"/>
        <v>1600</v>
      </c>
      <c r="Z107" s="374"/>
      <c r="AA107" s="348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</row>
    <row r="108" spans="1:74" ht="16.5" hidden="1" customHeight="1" x14ac:dyDescent="0.2">
      <c r="A108" s="26"/>
      <c r="B108" s="74" t="s">
        <v>55</v>
      </c>
      <c r="C108" s="96" t="s">
        <v>147</v>
      </c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>
        <f t="shared" si="18"/>
        <v>0</v>
      </c>
      <c r="S108" s="97"/>
      <c r="T108" s="97"/>
      <c r="U108" s="97"/>
      <c r="V108" s="97"/>
      <c r="W108" s="97"/>
      <c r="X108" s="100">
        <f t="shared" si="2"/>
        <v>0</v>
      </c>
      <c r="Y108" s="365">
        <f t="shared" si="3"/>
        <v>0</v>
      </c>
      <c r="Z108" s="374"/>
      <c r="AA108" s="348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</row>
    <row r="109" spans="1:74" ht="16.5" hidden="1" customHeight="1" x14ac:dyDescent="0.2">
      <c r="A109" s="26"/>
      <c r="B109" s="74" t="s">
        <v>56</v>
      </c>
      <c r="C109" s="96" t="s">
        <v>147</v>
      </c>
      <c r="D109" s="97">
        <v>675</v>
      </c>
      <c r="E109" s="97">
        <v>166</v>
      </c>
      <c r="F109" s="97">
        <f>255+69</f>
        <v>324</v>
      </c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>
        <f t="shared" si="18"/>
        <v>1165</v>
      </c>
      <c r="S109" s="97"/>
      <c r="T109" s="97"/>
      <c r="U109" s="97"/>
      <c r="V109" s="97"/>
      <c r="W109" s="97"/>
      <c r="X109" s="100">
        <f t="shared" si="2"/>
        <v>0</v>
      </c>
      <c r="Y109" s="365">
        <f t="shared" si="3"/>
        <v>1165</v>
      </c>
      <c r="Z109" s="374"/>
      <c r="AA109" s="348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</row>
    <row r="110" spans="1:74" ht="16.5" hidden="1" customHeight="1" x14ac:dyDescent="0.2">
      <c r="A110" s="26"/>
      <c r="B110" s="74" t="s">
        <v>57</v>
      </c>
      <c r="C110" s="96" t="s">
        <v>147</v>
      </c>
      <c r="D110" s="97"/>
      <c r="E110" s="97"/>
      <c r="F110" s="97">
        <f>24+7</f>
        <v>31</v>
      </c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>
        <f t="shared" si="18"/>
        <v>31</v>
      </c>
      <c r="S110" s="97"/>
      <c r="T110" s="97"/>
      <c r="U110" s="97"/>
      <c r="V110" s="97"/>
      <c r="W110" s="97"/>
      <c r="X110" s="100">
        <f t="shared" si="2"/>
        <v>0</v>
      </c>
      <c r="Y110" s="365">
        <f t="shared" si="3"/>
        <v>31</v>
      </c>
      <c r="Z110" s="374"/>
      <c r="AA110" s="348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</row>
    <row r="111" spans="1:74" ht="16.5" hidden="1" customHeight="1" x14ac:dyDescent="0.2">
      <c r="A111" s="26"/>
      <c r="B111" s="74" t="s">
        <v>189</v>
      </c>
      <c r="C111" s="96" t="s">
        <v>147</v>
      </c>
      <c r="D111" s="97"/>
      <c r="E111" s="97"/>
      <c r="F111" s="97">
        <f>319+86</f>
        <v>405</v>
      </c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>
        <f t="shared" si="18"/>
        <v>405</v>
      </c>
      <c r="S111" s="97"/>
      <c r="T111" s="97"/>
      <c r="U111" s="97"/>
      <c r="V111" s="97"/>
      <c r="W111" s="97"/>
      <c r="X111" s="100">
        <f t="shared" si="2"/>
        <v>0</v>
      </c>
      <c r="Y111" s="365">
        <f t="shared" si="3"/>
        <v>405</v>
      </c>
      <c r="Z111" s="374"/>
      <c r="AA111" s="348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</row>
    <row r="112" spans="1:74" ht="16.5" hidden="1" customHeight="1" x14ac:dyDescent="0.2">
      <c r="A112" s="26"/>
      <c r="B112" s="74" t="s">
        <v>59</v>
      </c>
      <c r="C112" s="96" t="s">
        <v>147</v>
      </c>
      <c r="D112" s="97"/>
      <c r="E112" s="97"/>
      <c r="F112" s="97">
        <f>470+30100+8120</f>
        <v>38690</v>
      </c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>
        <f t="shared" si="18"/>
        <v>38690</v>
      </c>
      <c r="S112" s="97"/>
      <c r="T112" s="97"/>
      <c r="U112" s="97"/>
      <c r="V112" s="97"/>
      <c r="W112" s="97"/>
      <c r="X112" s="100">
        <f t="shared" si="2"/>
        <v>0</v>
      </c>
      <c r="Y112" s="365">
        <f t="shared" si="3"/>
        <v>38690</v>
      </c>
      <c r="Z112" s="374"/>
      <c r="AA112" s="348"/>
      <c r="AB112" s="85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</row>
    <row r="113" spans="1:74" ht="16.5" hidden="1" customHeight="1" x14ac:dyDescent="0.2">
      <c r="A113" s="26"/>
      <c r="B113" s="74" t="s">
        <v>81</v>
      </c>
      <c r="C113" s="96" t="s">
        <v>147</v>
      </c>
      <c r="D113" s="97"/>
      <c r="E113" s="97"/>
      <c r="F113" s="97">
        <f>6984+1886+950+257+3200+864+780+7500+2025+1500+405+1563+422+393+107+1000+270</f>
        <v>30106</v>
      </c>
      <c r="G113" s="97"/>
      <c r="H113" s="97"/>
      <c r="I113" s="97"/>
      <c r="J113" s="97"/>
      <c r="K113" s="97"/>
      <c r="L113" s="97">
        <f>58075+15680</f>
        <v>73755</v>
      </c>
      <c r="M113" s="97"/>
      <c r="N113" s="97"/>
      <c r="O113" s="97"/>
      <c r="P113" s="97"/>
      <c r="Q113" s="97"/>
      <c r="R113" s="97">
        <f t="shared" si="18"/>
        <v>103861</v>
      </c>
      <c r="S113" s="97"/>
      <c r="T113" s="97"/>
      <c r="U113" s="97"/>
      <c r="V113" s="97"/>
      <c r="W113" s="97"/>
      <c r="X113" s="100">
        <f t="shared" si="2"/>
        <v>0</v>
      </c>
      <c r="Y113" s="365">
        <f t="shared" si="3"/>
        <v>103861</v>
      </c>
      <c r="Z113" s="374"/>
      <c r="AA113" s="348"/>
      <c r="AB113" s="85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</row>
    <row r="114" spans="1:74" ht="16.5" hidden="1" customHeight="1" x14ac:dyDescent="0.2">
      <c r="A114" s="26"/>
      <c r="B114" s="74" t="s">
        <v>226</v>
      </c>
      <c r="C114" s="96" t="s">
        <v>147</v>
      </c>
      <c r="D114" s="97">
        <v>4000</v>
      </c>
      <c r="E114" s="97">
        <v>880</v>
      </c>
      <c r="F114" s="97">
        <v>917</v>
      </c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>
        <f t="shared" si="18"/>
        <v>5797</v>
      </c>
      <c r="S114" s="97"/>
      <c r="T114" s="97"/>
      <c r="U114" s="97"/>
      <c r="V114" s="97"/>
      <c r="W114" s="97"/>
      <c r="X114" s="100">
        <f>SUM(T114:W114)</f>
        <v>0</v>
      </c>
      <c r="Y114" s="365">
        <f>R114+X114</f>
        <v>5797</v>
      </c>
      <c r="Z114" s="374"/>
      <c r="AA114" s="348"/>
      <c r="AB114" s="85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</row>
    <row r="115" spans="1:74" ht="16.5" hidden="1" customHeight="1" x14ac:dyDescent="0.2">
      <c r="A115" s="26"/>
      <c r="B115" s="74" t="s">
        <v>60</v>
      </c>
      <c r="C115" s="96" t="s">
        <v>147</v>
      </c>
      <c r="D115" s="97">
        <v>111</v>
      </c>
      <c r="E115" s="97">
        <v>121</v>
      </c>
      <c r="F115" s="97">
        <f>298+52000+14040+760+205+1600+421</f>
        <v>69324</v>
      </c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>
        <f t="shared" si="18"/>
        <v>69556</v>
      </c>
      <c r="S115" s="97"/>
      <c r="T115" s="97"/>
      <c r="U115" s="97"/>
      <c r="V115" s="97"/>
      <c r="W115" s="97"/>
      <c r="X115" s="100">
        <f t="shared" si="2"/>
        <v>0</v>
      </c>
      <c r="Y115" s="365">
        <f t="shared" si="3"/>
        <v>69556</v>
      </c>
      <c r="Z115" s="374"/>
      <c r="AA115" s="348"/>
      <c r="AB115" s="85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</row>
    <row r="116" spans="1:74" ht="16.5" hidden="1" customHeight="1" x14ac:dyDescent="0.2">
      <c r="A116" s="26"/>
      <c r="B116" s="75" t="s">
        <v>25</v>
      </c>
      <c r="C116" s="98" t="s">
        <v>147</v>
      </c>
      <c r="D116" s="97"/>
      <c r="E116" s="97"/>
      <c r="F116" s="97">
        <f>512+138+1291+1625+249+227+61+165+45+195+53</f>
        <v>4561</v>
      </c>
      <c r="G116" s="97">
        <v>3275</v>
      </c>
      <c r="H116" s="97"/>
      <c r="I116" s="97"/>
      <c r="J116" s="97">
        <f>526+2330+3980</f>
        <v>6836</v>
      </c>
      <c r="K116" s="97"/>
      <c r="L116" s="97"/>
      <c r="M116" s="97"/>
      <c r="N116" s="97"/>
      <c r="O116" s="97"/>
      <c r="P116" s="97"/>
      <c r="Q116" s="97"/>
      <c r="R116" s="97">
        <f t="shared" si="18"/>
        <v>14672</v>
      </c>
      <c r="S116" s="97"/>
      <c r="T116" s="97"/>
      <c r="U116" s="97"/>
      <c r="V116" s="97"/>
      <c r="W116" s="97"/>
      <c r="X116" s="100">
        <f t="shared" si="2"/>
        <v>0</v>
      </c>
      <c r="Y116" s="365">
        <f t="shared" si="3"/>
        <v>14672</v>
      </c>
      <c r="Z116" s="374"/>
      <c r="AA116" s="348"/>
      <c r="AB116" s="85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</row>
    <row r="117" spans="1:74" ht="16.5" hidden="1" customHeight="1" x14ac:dyDescent="0.2">
      <c r="A117" s="26"/>
      <c r="B117" s="75" t="s">
        <v>71</v>
      </c>
      <c r="C117" s="98" t="s">
        <v>147</v>
      </c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>
        <f t="shared" si="18"/>
        <v>0</v>
      </c>
      <c r="S117" s="97"/>
      <c r="T117" s="97"/>
      <c r="U117" s="97"/>
      <c r="V117" s="97"/>
      <c r="W117" s="97"/>
      <c r="X117" s="100">
        <f t="shared" si="2"/>
        <v>0</v>
      </c>
      <c r="Y117" s="365">
        <f t="shared" si="3"/>
        <v>0</v>
      </c>
      <c r="Z117" s="374">
        <f>13710+30661</f>
        <v>44371</v>
      </c>
      <c r="AA117" s="348"/>
      <c r="AB117" s="85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</row>
    <row r="118" spans="1:74" ht="16.5" hidden="1" customHeight="1" x14ac:dyDescent="0.2">
      <c r="A118" s="26"/>
      <c r="B118" s="75" t="s">
        <v>26</v>
      </c>
      <c r="C118" s="98" t="s">
        <v>147</v>
      </c>
      <c r="D118" s="97"/>
      <c r="E118" s="97"/>
      <c r="F118" s="97">
        <f>1055+1000+270</f>
        <v>2325</v>
      </c>
      <c r="G118" s="97">
        <f>10000+500+6600+800+2100+1000+500</f>
        <v>21500</v>
      </c>
      <c r="H118" s="97"/>
      <c r="I118" s="97"/>
      <c r="J118" s="97">
        <f>2170+770+2247</f>
        <v>5187</v>
      </c>
      <c r="K118" s="97"/>
      <c r="L118" s="97"/>
      <c r="M118" s="97"/>
      <c r="N118" s="97"/>
      <c r="O118" s="97"/>
      <c r="P118" s="97"/>
      <c r="Q118" s="97">
        <v>600</v>
      </c>
      <c r="R118" s="97">
        <f t="shared" si="18"/>
        <v>29612</v>
      </c>
      <c r="S118" s="97"/>
      <c r="T118" s="97"/>
      <c r="U118" s="97"/>
      <c r="V118" s="97"/>
      <c r="W118" s="97"/>
      <c r="X118" s="100">
        <f t="shared" si="2"/>
        <v>0</v>
      </c>
      <c r="Y118" s="365">
        <f t="shared" si="3"/>
        <v>29612</v>
      </c>
      <c r="Z118" s="374"/>
      <c r="AA118" s="348"/>
      <c r="AB118" s="85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</row>
    <row r="119" spans="1:74" ht="16.5" hidden="1" customHeight="1" x14ac:dyDescent="0.2">
      <c r="A119" s="26"/>
      <c r="B119" s="75" t="s">
        <v>335</v>
      </c>
      <c r="C119" s="98" t="s">
        <v>147</v>
      </c>
      <c r="D119" s="97"/>
      <c r="E119" s="97"/>
      <c r="F119" s="97"/>
      <c r="G119" s="97"/>
      <c r="H119" s="97"/>
      <c r="I119" s="97"/>
      <c r="J119" s="97"/>
      <c r="K119" s="97"/>
      <c r="L119" s="97"/>
      <c r="M119" s="97">
        <f>4892+1321</f>
        <v>6213</v>
      </c>
      <c r="N119" s="97"/>
      <c r="O119" s="97"/>
      <c r="P119" s="97"/>
      <c r="Q119" s="97"/>
      <c r="R119" s="97">
        <f t="shared" si="18"/>
        <v>6213</v>
      </c>
      <c r="S119" s="97"/>
      <c r="T119" s="97"/>
      <c r="U119" s="97"/>
      <c r="V119" s="97"/>
      <c r="W119" s="97"/>
      <c r="X119" s="100">
        <f t="shared" si="2"/>
        <v>0</v>
      </c>
      <c r="Y119" s="365">
        <f t="shared" si="3"/>
        <v>6213</v>
      </c>
      <c r="Z119" s="374"/>
      <c r="AA119" s="348"/>
      <c r="AB119" s="85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</row>
    <row r="120" spans="1:74" ht="16.5" hidden="1" customHeight="1" x14ac:dyDescent="0.2">
      <c r="A120" s="26"/>
      <c r="B120" s="32">
        <v>103</v>
      </c>
      <c r="C120" s="98" t="s">
        <v>147</v>
      </c>
      <c r="D120" s="97"/>
      <c r="E120" s="97"/>
      <c r="F120" s="97">
        <f>85+23</f>
        <v>108</v>
      </c>
      <c r="G120" s="97"/>
      <c r="H120" s="97"/>
      <c r="I120" s="97"/>
      <c r="J120" s="97"/>
      <c r="K120" s="97"/>
      <c r="L120" s="97"/>
      <c r="M120" s="97">
        <f>3151+851</f>
        <v>4002</v>
      </c>
      <c r="N120" s="97"/>
      <c r="O120" s="97"/>
      <c r="P120" s="97"/>
      <c r="Q120" s="97"/>
      <c r="R120" s="97">
        <f t="shared" si="18"/>
        <v>4110</v>
      </c>
      <c r="S120" s="97"/>
      <c r="T120" s="97"/>
      <c r="U120" s="97"/>
      <c r="V120" s="97"/>
      <c r="W120" s="97"/>
      <c r="X120" s="100">
        <f t="shared" si="2"/>
        <v>0</v>
      </c>
      <c r="Y120" s="365">
        <f t="shared" si="3"/>
        <v>4110</v>
      </c>
      <c r="Z120" s="374"/>
      <c r="AA120" s="348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</row>
    <row r="121" spans="1:74" ht="16.5" hidden="1" customHeight="1" x14ac:dyDescent="0.2">
      <c r="A121" s="26"/>
      <c r="B121" s="32">
        <v>105</v>
      </c>
      <c r="C121" s="98" t="s">
        <v>147</v>
      </c>
      <c r="D121" s="97"/>
      <c r="E121" s="97"/>
      <c r="F121" s="97">
        <f>3008+812+925+250+1233+333+487+132+855+231+676+183+2904+784+282+76</f>
        <v>13171</v>
      </c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>
        <f t="shared" si="18"/>
        <v>13171</v>
      </c>
      <c r="S121" s="97"/>
      <c r="T121" s="97"/>
      <c r="U121" s="97"/>
      <c r="V121" s="97"/>
      <c r="W121" s="97"/>
      <c r="X121" s="100">
        <f t="shared" si="2"/>
        <v>0</v>
      </c>
      <c r="Y121" s="365">
        <f t="shared" si="3"/>
        <v>13171</v>
      </c>
      <c r="Z121" s="374"/>
      <c r="AA121" s="348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</row>
    <row r="122" spans="1:74" ht="16.5" hidden="1" customHeight="1" x14ac:dyDescent="0.2">
      <c r="A122" s="26"/>
      <c r="B122" s="32">
        <v>106</v>
      </c>
      <c r="C122" s="98" t="s">
        <v>147</v>
      </c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>
        <f t="shared" si="18"/>
        <v>0</v>
      </c>
      <c r="S122" s="97"/>
      <c r="T122" s="97"/>
      <c r="U122" s="97"/>
      <c r="V122" s="97"/>
      <c r="W122" s="97"/>
      <c r="X122" s="100">
        <f t="shared" si="2"/>
        <v>0</v>
      </c>
      <c r="Y122" s="365">
        <f t="shared" si="3"/>
        <v>0</v>
      </c>
      <c r="Z122" s="374"/>
      <c r="AA122" s="348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</row>
    <row r="123" spans="1:74" ht="16.5" hidden="1" customHeight="1" x14ac:dyDescent="0.2">
      <c r="A123" s="26"/>
      <c r="B123" s="32">
        <v>111</v>
      </c>
      <c r="C123" s="98" t="s">
        <v>147</v>
      </c>
      <c r="D123" s="97"/>
      <c r="E123" s="97"/>
      <c r="F123" s="97">
        <f>450+122+80+15135+4088</f>
        <v>19875</v>
      </c>
      <c r="G123" s="97"/>
      <c r="H123" s="97"/>
      <c r="I123" s="97"/>
      <c r="J123" s="97"/>
      <c r="K123" s="97"/>
      <c r="L123" s="97"/>
      <c r="M123" s="97">
        <f>136+36+1891+510</f>
        <v>2573</v>
      </c>
      <c r="N123" s="97"/>
      <c r="O123" s="97"/>
      <c r="P123" s="97"/>
      <c r="Q123" s="97">
        <f>6230+20089+2881+86230</f>
        <v>115430</v>
      </c>
      <c r="R123" s="97">
        <f t="shared" si="18"/>
        <v>137878</v>
      </c>
      <c r="S123" s="97"/>
      <c r="T123" s="97"/>
      <c r="U123" s="97"/>
      <c r="V123" s="97"/>
      <c r="W123" s="97"/>
      <c r="X123" s="100">
        <f t="shared" si="2"/>
        <v>0</v>
      </c>
      <c r="Y123" s="365">
        <f t="shared" si="3"/>
        <v>137878</v>
      </c>
      <c r="Z123" s="374"/>
      <c r="AA123" s="348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</row>
    <row r="124" spans="1:74" ht="16.5" hidden="1" customHeight="1" x14ac:dyDescent="0.2">
      <c r="A124" s="26"/>
      <c r="B124" s="32">
        <v>112</v>
      </c>
      <c r="C124" s="98" t="s">
        <v>147</v>
      </c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>
        <f t="shared" si="18"/>
        <v>0</v>
      </c>
      <c r="S124" s="97"/>
      <c r="T124" s="97"/>
      <c r="U124" s="97"/>
      <c r="V124" s="97"/>
      <c r="W124" s="97"/>
      <c r="X124" s="100">
        <f t="shared" si="2"/>
        <v>0</v>
      </c>
      <c r="Y124" s="365">
        <f t="shared" si="3"/>
        <v>0</v>
      </c>
      <c r="Z124" s="374"/>
      <c r="AA124" s="348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</row>
    <row r="125" spans="1:74" ht="16.5" hidden="1" customHeight="1" x14ac:dyDescent="0.2">
      <c r="A125" s="26"/>
      <c r="B125" s="32">
        <v>120</v>
      </c>
      <c r="C125" s="76" t="s">
        <v>147</v>
      </c>
      <c r="D125" s="77"/>
      <c r="E125" s="77"/>
      <c r="F125" s="77">
        <f>90+24+90+24+3359+901+3310+12290+3315+3692+996+672</f>
        <v>28763</v>
      </c>
      <c r="G125" s="77"/>
      <c r="H125" s="77"/>
      <c r="I125" s="78"/>
      <c r="J125" s="78"/>
      <c r="K125" s="78"/>
      <c r="L125" s="78">
        <f>4268+1152+451+122+14989+4046+533+144+113000+30510+8409+2269+1984+536</f>
        <v>182413</v>
      </c>
      <c r="M125" s="78"/>
      <c r="N125" s="78"/>
      <c r="O125" s="78"/>
      <c r="P125" s="78"/>
      <c r="Q125" s="78"/>
      <c r="R125" s="78">
        <f t="shared" si="18"/>
        <v>211176</v>
      </c>
      <c r="S125" s="78"/>
      <c r="T125" s="78"/>
      <c r="U125" s="78"/>
      <c r="V125" s="78"/>
      <c r="W125" s="78"/>
      <c r="X125" s="463">
        <f t="shared" si="2"/>
        <v>0</v>
      </c>
      <c r="Y125" s="365">
        <f t="shared" si="3"/>
        <v>211176</v>
      </c>
      <c r="Z125" s="375"/>
      <c r="AA125" s="349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</row>
    <row r="126" spans="1:74" ht="16.5" hidden="1" customHeight="1" x14ac:dyDescent="0.2">
      <c r="A126" s="26"/>
      <c r="B126" s="32">
        <v>121</v>
      </c>
      <c r="C126" s="76" t="s">
        <v>147</v>
      </c>
      <c r="D126" s="77"/>
      <c r="E126" s="77"/>
      <c r="F126" s="97">
        <f>450+122+80+450+122+80+712+233+61+17+35953+9708+2574+695+1308+353+500+135+2378+643+700+189+484+131+300+81+2086+563+699+180+1388+385+8998+2430</f>
        <v>75188</v>
      </c>
      <c r="G126" s="77"/>
      <c r="H126" s="77"/>
      <c r="I126" s="78"/>
      <c r="J126" s="78">
        <f>785</f>
        <v>785</v>
      </c>
      <c r="K126" s="78"/>
      <c r="L126" s="97">
        <f>2743+741+78894+21301+92109+20867+58420+15773+45079+12172+12937+3497+10218+2759+11014+2974+9449+2551+20920+5649+3000+810+24975+6744+2843+768+1544+417+108236+29224</f>
        <v>608628</v>
      </c>
      <c r="M126" s="78"/>
      <c r="N126" s="78">
        <v>57243</v>
      </c>
      <c r="O126" s="78"/>
      <c r="P126" s="78"/>
      <c r="Q126" s="78"/>
      <c r="R126" s="78">
        <f t="shared" si="18"/>
        <v>741844</v>
      </c>
      <c r="S126" s="78"/>
      <c r="T126" s="78"/>
      <c r="U126" s="78"/>
      <c r="V126" s="78"/>
      <c r="W126" s="78"/>
      <c r="X126" s="463">
        <f t="shared" si="2"/>
        <v>0</v>
      </c>
      <c r="Y126" s="365">
        <f t="shared" si="3"/>
        <v>741844</v>
      </c>
      <c r="Z126" s="375"/>
      <c r="AA126" s="350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</row>
    <row r="127" spans="1:74" ht="16.5" hidden="1" customHeight="1" x14ac:dyDescent="0.2">
      <c r="A127" s="26"/>
      <c r="B127" s="32">
        <v>150</v>
      </c>
      <c r="C127" s="76" t="s">
        <v>147</v>
      </c>
      <c r="D127" s="77"/>
      <c r="E127" s="77"/>
      <c r="F127" s="97">
        <f>6806+197+53+35+345+93</f>
        <v>7529</v>
      </c>
      <c r="G127" s="77"/>
      <c r="H127" s="77"/>
      <c r="I127" s="78"/>
      <c r="J127" s="78"/>
      <c r="K127" s="78"/>
      <c r="L127" s="78">
        <f>2050+554</f>
        <v>2604</v>
      </c>
      <c r="M127" s="78"/>
      <c r="N127" s="78"/>
      <c r="O127" s="78"/>
      <c r="P127" s="78"/>
      <c r="Q127" s="78"/>
      <c r="R127" s="78">
        <f t="shared" si="18"/>
        <v>10133</v>
      </c>
      <c r="S127" s="78"/>
      <c r="T127" s="78"/>
      <c r="U127" s="78"/>
      <c r="V127" s="78"/>
      <c r="W127" s="78"/>
      <c r="X127" s="463">
        <f t="shared" si="2"/>
        <v>0</v>
      </c>
      <c r="Y127" s="365">
        <f t="shared" si="3"/>
        <v>10133</v>
      </c>
      <c r="Z127" s="375"/>
      <c r="AA127" s="350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</row>
    <row r="128" spans="1:74" ht="16.5" hidden="1" customHeight="1" x14ac:dyDescent="0.2">
      <c r="A128" s="26"/>
      <c r="B128" s="32">
        <v>152</v>
      </c>
      <c r="C128" s="76" t="s">
        <v>147</v>
      </c>
      <c r="D128" s="77"/>
      <c r="E128" s="77"/>
      <c r="F128" s="97">
        <f>253+68+45</f>
        <v>366</v>
      </c>
      <c r="G128" s="77"/>
      <c r="H128" s="77"/>
      <c r="I128" s="78"/>
      <c r="J128" s="78"/>
      <c r="K128" s="78"/>
      <c r="L128" s="78"/>
      <c r="M128" s="78"/>
      <c r="N128" s="78"/>
      <c r="O128" s="78"/>
      <c r="P128" s="78"/>
      <c r="Q128" s="78"/>
      <c r="R128" s="78">
        <f t="shared" si="18"/>
        <v>366</v>
      </c>
      <c r="S128" s="78"/>
      <c r="T128" s="78"/>
      <c r="U128" s="78"/>
      <c r="V128" s="78"/>
      <c r="W128" s="78"/>
      <c r="X128" s="463">
        <f t="shared" ref="X128" si="19">SUM(T128:W128)</f>
        <v>0</v>
      </c>
      <c r="Y128" s="365">
        <f t="shared" ref="Y128" si="20">R128+X128</f>
        <v>366</v>
      </c>
      <c r="Z128" s="375"/>
      <c r="AA128" s="350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</row>
    <row r="129" spans="1:74" ht="16.5" hidden="1" customHeight="1" x14ac:dyDescent="0.2">
      <c r="A129" s="26"/>
      <c r="B129" s="32">
        <v>180</v>
      </c>
      <c r="C129" s="76" t="s">
        <v>147</v>
      </c>
      <c r="D129" s="77"/>
      <c r="E129" s="77"/>
      <c r="F129" s="97">
        <f>5953+1607+2000</f>
        <v>9560</v>
      </c>
      <c r="G129" s="77"/>
      <c r="H129" s="77"/>
      <c r="I129" s="78"/>
      <c r="J129" s="78"/>
      <c r="K129" s="78"/>
      <c r="L129" s="78">
        <f>7850+175000+47250</f>
        <v>230100</v>
      </c>
      <c r="M129" s="78"/>
      <c r="N129" s="78"/>
      <c r="O129" s="78"/>
      <c r="P129" s="78"/>
      <c r="Q129" s="78"/>
      <c r="R129" s="78">
        <f t="shared" si="18"/>
        <v>239660</v>
      </c>
      <c r="S129" s="78"/>
      <c r="T129" s="78"/>
      <c r="U129" s="78"/>
      <c r="V129" s="78"/>
      <c r="W129" s="78"/>
      <c r="X129" s="463">
        <f t="shared" si="2"/>
        <v>0</v>
      </c>
      <c r="Y129" s="365">
        <f t="shared" si="3"/>
        <v>239660</v>
      </c>
      <c r="Z129" s="375"/>
      <c r="AA129" s="350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</row>
    <row r="130" spans="1:74" ht="16.5" hidden="1" customHeight="1" x14ac:dyDescent="0.2">
      <c r="A130" s="26"/>
      <c r="B130" s="32">
        <v>190</v>
      </c>
      <c r="C130" s="76" t="s">
        <v>147</v>
      </c>
      <c r="D130" s="77"/>
      <c r="E130" s="77"/>
      <c r="F130" s="77"/>
      <c r="G130" s="77"/>
      <c r="H130" s="77"/>
      <c r="I130" s="78"/>
      <c r="J130" s="78"/>
      <c r="K130" s="78"/>
      <c r="L130" s="78"/>
      <c r="M130" s="78"/>
      <c r="N130" s="78"/>
      <c r="O130" s="78"/>
      <c r="P130" s="78"/>
      <c r="Q130" s="78"/>
      <c r="R130" s="78">
        <f t="shared" si="18"/>
        <v>0</v>
      </c>
      <c r="S130" s="78"/>
      <c r="T130" s="78"/>
      <c r="U130" s="78"/>
      <c r="V130" s="78"/>
      <c r="W130" s="78"/>
      <c r="X130" s="463">
        <f t="shared" si="2"/>
        <v>0</v>
      </c>
      <c r="Y130" s="365">
        <f t="shared" si="3"/>
        <v>0</v>
      </c>
      <c r="Z130" s="375"/>
      <c r="AA130" s="350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</row>
    <row r="131" spans="1:74" ht="16.5" hidden="1" customHeight="1" x14ac:dyDescent="0.2">
      <c r="A131" s="26"/>
      <c r="B131" s="32">
        <v>200</v>
      </c>
      <c r="C131" s="76" t="s">
        <v>147</v>
      </c>
      <c r="D131" s="77"/>
      <c r="E131" s="77"/>
      <c r="F131" s="77"/>
      <c r="G131" s="77"/>
      <c r="H131" s="77"/>
      <c r="I131" s="78"/>
      <c r="J131" s="78"/>
      <c r="K131" s="78"/>
      <c r="L131" s="78"/>
      <c r="M131" s="78"/>
      <c r="N131" s="78"/>
      <c r="O131" s="78"/>
      <c r="P131" s="78"/>
      <c r="Q131" s="78">
        <v>3135</v>
      </c>
      <c r="R131" s="78">
        <f t="shared" si="18"/>
        <v>3135</v>
      </c>
      <c r="S131" s="78"/>
      <c r="T131" s="78"/>
      <c r="U131" s="78"/>
      <c r="V131" s="78"/>
      <c r="W131" s="78"/>
      <c r="X131" s="463">
        <f t="shared" si="2"/>
        <v>0</v>
      </c>
      <c r="Y131" s="365">
        <f t="shared" si="3"/>
        <v>3135</v>
      </c>
      <c r="Z131" s="375"/>
      <c r="AA131" s="350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</row>
    <row r="132" spans="1:74" ht="16.5" hidden="1" customHeight="1" x14ac:dyDescent="0.2">
      <c r="A132" s="26"/>
      <c r="B132" s="32">
        <v>220</v>
      </c>
      <c r="C132" s="76" t="s">
        <v>147</v>
      </c>
      <c r="D132" s="77"/>
      <c r="E132" s="77"/>
      <c r="F132" s="77"/>
      <c r="G132" s="77"/>
      <c r="H132" s="77"/>
      <c r="I132" s="78"/>
      <c r="J132" s="78"/>
      <c r="K132" s="78"/>
      <c r="L132" s="78"/>
      <c r="M132" s="78"/>
      <c r="N132" s="79"/>
      <c r="O132" s="78"/>
      <c r="P132" s="78"/>
      <c r="Q132" s="78"/>
      <c r="R132" s="78">
        <f t="shared" si="18"/>
        <v>0</v>
      </c>
      <c r="S132" s="78"/>
      <c r="T132" s="78"/>
      <c r="U132" s="78"/>
      <c r="V132" s="78"/>
      <c r="W132" s="78"/>
      <c r="X132" s="463">
        <f t="shared" si="2"/>
        <v>0</v>
      </c>
      <c r="Y132" s="365">
        <f t="shared" si="3"/>
        <v>0</v>
      </c>
      <c r="Z132" s="375"/>
      <c r="AA132" s="350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</row>
    <row r="133" spans="1:74" ht="16.5" hidden="1" customHeight="1" x14ac:dyDescent="0.2">
      <c r="A133" s="26"/>
      <c r="B133" s="32">
        <v>407</v>
      </c>
      <c r="C133" s="76" t="s">
        <v>147</v>
      </c>
      <c r="D133" s="77"/>
      <c r="E133" s="77"/>
      <c r="F133" s="77"/>
      <c r="G133" s="77"/>
      <c r="H133" s="77"/>
      <c r="I133" s="78"/>
      <c r="J133" s="78"/>
      <c r="K133" s="78"/>
      <c r="L133" s="78"/>
      <c r="M133" s="78"/>
      <c r="N133" s="78"/>
      <c r="O133" s="78"/>
      <c r="P133" s="78"/>
      <c r="Q133" s="78"/>
      <c r="R133" s="78">
        <f t="shared" si="18"/>
        <v>0</v>
      </c>
      <c r="S133" s="78"/>
      <c r="T133" s="78"/>
      <c r="U133" s="78"/>
      <c r="V133" s="78"/>
      <c r="W133" s="78"/>
      <c r="X133" s="463">
        <f t="shared" si="2"/>
        <v>0</v>
      </c>
      <c r="Y133" s="365">
        <f t="shared" si="3"/>
        <v>0</v>
      </c>
      <c r="Z133" s="375"/>
      <c r="AA133" s="350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</row>
    <row r="134" spans="1:74" ht="16.5" hidden="1" customHeight="1" x14ac:dyDescent="0.2">
      <c r="A134" s="26"/>
      <c r="B134" s="32">
        <v>418</v>
      </c>
      <c r="C134" s="76" t="s">
        <v>147</v>
      </c>
      <c r="D134" s="77"/>
      <c r="E134" s="77"/>
      <c r="F134" s="77"/>
      <c r="G134" s="77"/>
      <c r="H134" s="77"/>
      <c r="I134" s="78"/>
      <c r="J134" s="78"/>
      <c r="K134" s="78"/>
      <c r="L134" s="78"/>
      <c r="M134" s="78"/>
      <c r="N134" s="78"/>
      <c r="O134" s="78"/>
      <c r="P134" s="78"/>
      <c r="Q134" s="78"/>
      <c r="R134" s="78">
        <f t="shared" si="18"/>
        <v>0</v>
      </c>
      <c r="S134" s="78"/>
      <c r="T134" s="78"/>
      <c r="U134" s="78"/>
      <c r="V134" s="78"/>
      <c r="W134" s="78"/>
      <c r="X134" s="463">
        <f t="shared" si="2"/>
        <v>0</v>
      </c>
      <c r="Y134" s="365">
        <f t="shared" si="3"/>
        <v>0</v>
      </c>
      <c r="Z134" s="375"/>
      <c r="AA134" s="350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</row>
    <row r="135" spans="1:74" ht="16.5" hidden="1" customHeight="1" x14ac:dyDescent="0.2">
      <c r="A135" s="26"/>
      <c r="B135" s="32">
        <v>419</v>
      </c>
      <c r="C135" s="76" t="s">
        <v>147</v>
      </c>
      <c r="D135" s="77"/>
      <c r="E135" s="77"/>
      <c r="F135" s="77"/>
      <c r="G135" s="77"/>
      <c r="H135" s="77"/>
      <c r="I135" s="78"/>
      <c r="J135" s="78"/>
      <c r="K135" s="78"/>
      <c r="L135" s="78"/>
      <c r="M135" s="78"/>
      <c r="N135" s="78"/>
      <c r="O135" s="78"/>
      <c r="P135" s="78"/>
      <c r="Q135" s="78"/>
      <c r="R135" s="78">
        <f t="shared" si="18"/>
        <v>0</v>
      </c>
      <c r="S135" s="78"/>
      <c r="T135" s="78"/>
      <c r="U135" s="78"/>
      <c r="V135" s="78"/>
      <c r="W135" s="78"/>
      <c r="X135" s="463">
        <f t="shared" si="2"/>
        <v>0</v>
      </c>
      <c r="Y135" s="365">
        <f t="shared" si="3"/>
        <v>0</v>
      </c>
      <c r="Z135" s="375"/>
      <c r="AA135" s="350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</row>
    <row r="136" spans="1:74" ht="16.5" hidden="1" customHeight="1" x14ac:dyDescent="0.2">
      <c r="A136" s="26"/>
      <c r="B136" s="32">
        <v>420</v>
      </c>
      <c r="C136" s="76" t="s">
        <v>147</v>
      </c>
      <c r="D136" s="77"/>
      <c r="E136" s="77"/>
      <c r="F136" s="77"/>
      <c r="G136" s="77"/>
      <c r="H136" s="77"/>
      <c r="I136" s="78"/>
      <c r="J136" s="78"/>
      <c r="K136" s="78"/>
      <c r="L136" s="78">
        <f>2950+797</f>
        <v>3747</v>
      </c>
      <c r="M136" s="78"/>
      <c r="N136" s="78"/>
      <c r="O136" s="78"/>
      <c r="P136" s="78"/>
      <c r="Q136" s="78"/>
      <c r="R136" s="78">
        <f t="shared" si="18"/>
        <v>3747</v>
      </c>
      <c r="S136" s="78"/>
      <c r="T136" s="78"/>
      <c r="U136" s="78"/>
      <c r="V136" s="78"/>
      <c r="W136" s="78"/>
      <c r="X136" s="463">
        <f t="shared" si="2"/>
        <v>0</v>
      </c>
      <c r="Y136" s="365">
        <f t="shared" si="3"/>
        <v>3747</v>
      </c>
      <c r="Z136" s="375"/>
      <c r="AA136" s="350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</row>
    <row r="137" spans="1:74" ht="16.5" hidden="1" customHeight="1" x14ac:dyDescent="0.2">
      <c r="A137" s="26"/>
      <c r="B137" s="32">
        <v>423</v>
      </c>
      <c r="C137" s="76" t="s">
        <v>147</v>
      </c>
      <c r="D137" s="77"/>
      <c r="E137" s="77"/>
      <c r="F137" s="77"/>
      <c r="G137" s="77"/>
      <c r="H137" s="77"/>
      <c r="I137" s="78"/>
      <c r="J137" s="78"/>
      <c r="K137" s="78"/>
      <c r="L137" s="78"/>
      <c r="M137" s="78"/>
      <c r="N137" s="78"/>
      <c r="O137" s="78"/>
      <c r="P137" s="78"/>
      <c r="Q137" s="78"/>
      <c r="R137" s="78">
        <f t="shared" si="18"/>
        <v>0</v>
      </c>
      <c r="S137" s="78"/>
      <c r="T137" s="78"/>
      <c r="U137" s="78"/>
      <c r="V137" s="78"/>
      <c r="W137" s="78"/>
      <c r="X137" s="463">
        <f t="shared" si="2"/>
        <v>0</v>
      </c>
      <c r="Y137" s="365">
        <f t="shared" si="3"/>
        <v>0</v>
      </c>
      <c r="Z137" s="375"/>
      <c r="AA137" s="350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</row>
    <row r="138" spans="1:74" ht="16.5" hidden="1" customHeight="1" x14ac:dyDescent="0.2">
      <c r="A138" s="26"/>
      <c r="B138" s="32">
        <v>424</v>
      </c>
      <c r="C138" s="76" t="s">
        <v>147</v>
      </c>
      <c r="D138" s="77"/>
      <c r="E138" s="77"/>
      <c r="F138" s="77"/>
      <c r="G138" s="77"/>
      <c r="H138" s="77"/>
      <c r="I138" s="78"/>
      <c r="J138" s="78"/>
      <c r="K138" s="78"/>
      <c r="L138" s="78">
        <f>750+203+7950+2147</f>
        <v>11050</v>
      </c>
      <c r="M138" s="78"/>
      <c r="N138" s="78"/>
      <c r="O138" s="78"/>
      <c r="P138" s="78"/>
      <c r="Q138" s="78"/>
      <c r="R138" s="78">
        <f t="shared" si="18"/>
        <v>11050</v>
      </c>
      <c r="S138" s="78"/>
      <c r="T138" s="78"/>
      <c r="U138" s="78"/>
      <c r="V138" s="78"/>
      <c r="W138" s="78"/>
      <c r="X138" s="463">
        <f t="shared" si="2"/>
        <v>0</v>
      </c>
      <c r="Y138" s="365">
        <f t="shared" si="3"/>
        <v>11050</v>
      </c>
      <c r="Z138" s="375"/>
      <c r="AA138" s="350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</row>
    <row r="139" spans="1:74" ht="16.5" hidden="1" customHeight="1" x14ac:dyDescent="0.2">
      <c r="A139" s="26"/>
      <c r="B139" s="32"/>
      <c r="C139" s="76" t="s">
        <v>147</v>
      </c>
      <c r="D139" s="77"/>
      <c r="E139" s="77"/>
      <c r="F139" s="77"/>
      <c r="G139" s="77"/>
      <c r="H139" s="77"/>
      <c r="I139" s="78"/>
      <c r="J139" s="78"/>
      <c r="K139" s="78"/>
      <c r="L139" s="78"/>
      <c r="M139" s="78"/>
      <c r="N139" s="78"/>
      <c r="O139" s="78"/>
      <c r="P139" s="78"/>
      <c r="Q139" s="78"/>
      <c r="R139" s="78">
        <f t="shared" si="18"/>
        <v>0</v>
      </c>
      <c r="S139" s="78"/>
      <c r="T139" s="78"/>
      <c r="U139" s="78"/>
      <c r="V139" s="78"/>
      <c r="W139" s="78"/>
      <c r="X139" s="463">
        <f t="shared" ref="X139:X232" si="21">SUM(T139:W139)</f>
        <v>0</v>
      </c>
      <c r="Y139" s="365">
        <f t="shared" ref="Y139:Y232" si="22">R139+X139</f>
        <v>0</v>
      </c>
      <c r="Z139" s="375"/>
      <c r="AA139" s="350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</row>
    <row r="140" spans="1:74" ht="16.5" hidden="1" customHeight="1" x14ac:dyDescent="0.2">
      <c r="A140" s="26"/>
      <c r="B140" s="32"/>
      <c r="C140" s="76" t="s">
        <v>147</v>
      </c>
      <c r="D140" s="77"/>
      <c r="E140" s="77"/>
      <c r="F140" s="77"/>
      <c r="G140" s="77"/>
      <c r="H140" s="77"/>
      <c r="I140" s="78"/>
      <c r="J140" s="78"/>
      <c r="K140" s="78"/>
      <c r="L140" s="78"/>
      <c r="M140" s="78"/>
      <c r="N140" s="78"/>
      <c r="O140" s="78"/>
      <c r="P140" s="78"/>
      <c r="Q140" s="78"/>
      <c r="R140" s="78">
        <f t="shared" si="18"/>
        <v>0</v>
      </c>
      <c r="S140" s="78"/>
      <c r="T140" s="78"/>
      <c r="U140" s="78"/>
      <c r="V140" s="78"/>
      <c r="W140" s="78"/>
      <c r="X140" s="463">
        <f t="shared" si="21"/>
        <v>0</v>
      </c>
      <c r="Y140" s="365">
        <f t="shared" si="22"/>
        <v>0</v>
      </c>
      <c r="Z140" s="375"/>
      <c r="AA140" s="350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</row>
    <row r="141" spans="1:74" ht="16.5" hidden="1" customHeight="1" x14ac:dyDescent="0.2">
      <c r="A141" s="26"/>
      <c r="B141" s="32"/>
      <c r="C141" s="76" t="s">
        <v>147</v>
      </c>
      <c r="D141" s="77"/>
      <c r="E141" s="77"/>
      <c r="F141" s="77"/>
      <c r="G141" s="77"/>
      <c r="H141" s="77"/>
      <c r="I141" s="78"/>
      <c r="J141" s="78"/>
      <c r="K141" s="78"/>
      <c r="L141" s="78"/>
      <c r="M141" s="78"/>
      <c r="N141" s="78"/>
      <c r="O141" s="78"/>
      <c r="P141" s="78"/>
      <c r="Q141" s="78"/>
      <c r="R141" s="78">
        <f t="shared" si="18"/>
        <v>0</v>
      </c>
      <c r="S141" s="78"/>
      <c r="T141" s="78"/>
      <c r="U141" s="78"/>
      <c r="V141" s="78"/>
      <c r="W141" s="78"/>
      <c r="X141" s="463">
        <f t="shared" si="21"/>
        <v>0</v>
      </c>
      <c r="Y141" s="365">
        <f t="shared" si="22"/>
        <v>0</v>
      </c>
      <c r="Z141" s="375"/>
      <c r="AA141" s="350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</row>
    <row r="142" spans="1:74" ht="16.5" hidden="1" customHeight="1" x14ac:dyDescent="0.2">
      <c r="A142" s="26"/>
      <c r="B142" s="32"/>
      <c r="C142" s="76" t="s">
        <v>147</v>
      </c>
      <c r="D142" s="77"/>
      <c r="E142" s="77"/>
      <c r="F142" s="77"/>
      <c r="G142" s="77"/>
      <c r="H142" s="77"/>
      <c r="I142" s="78"/>
      <c r="J142" s="78"/>
      <c r="K142" s="78"/>
      <c r="L142" s="78"/>
      <c r="M142" s="78"/>
      <c r="N142" s="78"/>
      <c r="O142" s="78"/>
      <c r="P142" s="78"/>
      <c r="Q142" s="78"/>
      <c r="R142" s="78">
        <f t="shared" si="18"/>
        <v>0</v>
      </c>
      <c r="S142" s="78"/>
      <c r="T142" s="78"/>
      <c r="U142" s="78"/>
      <c r="V142" s="78"/>
      <c r="W142" s="78"/>
      <c r="X142" s="463">
        <f t="shared" si="21"/>
        <v>0</v>
      </c>
      <c r="Y142" s="365">
        <f t="shared" si="22"/>
        <v>0</v>
      </c>
      <c r="Z142" s="375"/>
      <c r="AA142" s="350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</row>
    <row r="143" spans="1:74" ht="16.5" hidden="1" customHeight="1" x14ac:dyDescent="0.2">
      <c r="A143" s="26"/>
      <c r="B143" s="315"/>
      <c r="C143" s="76" t="s">
        <v>147</v>
      </c>
      <c r="D143" s="313"/>
      <c r="E143" s="313"/>
      <c r="F143" s="313"/>
      <c r="G143" s="313"/>
      <c r="H143" s="313"/>
      <c r="I143" s="314"/>
      <c r="J143" s="314"/>
      <c r="K143" s="314"/>
      <c r="L143" s="314"/>
      <c r="M143" s="314"/>
      <c r="N143" s="314"/>
      <c r="O143" s="314"/>
      <c r="P143" s="314"/>
      <c r="Q143" s="314"/>
      <c r="R143" s="78">
        <f t="shared" si="18"/>
        <v>0</v>
      </c>
      <c r="S143" s="314"/>
      <c r="T143" s="314"/>
      <c r="U143" s="314"/>
      <c r="V143" s="314"/>
      <c r="W143" s="314"/>
      <c r="X143" s="464">
        <f t="shared" si="21"/>
        <v>0</v>
      </c>
      <c r="Y143" s="365">
        <f t="shared" si="22"/>
        <v>0</v>
      </c>
      <c r="Z143" s="376"/>
      <c r="AA143" s="350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</row>
    <row r="144" spans="1:74" ht="16.5" hidden="1" customHeight="1" x14ac:dyDescent="0.2">
      <c r="A144" s="26"/>
      <c r="B144" s="317"/>
      <c r="C144" s="76" t="s">
        <v>147</v>
      </c>
      <c r="D144" s="313"/>
      <c r="E144" s="313"/>
      <c r="F144" s="313"/>
      <c r="G144" s="313"/>
      <c r="H144" s="313"/>
      <c r="I144" s="314"/>
      <c r="J144" s="314"/>
      <c r="K144" s="314"/>
      <c r="L144" s="314"/>
      <c r="M144" s="314"/>
      <c r="N144" s="314"/>
      <c r="O144" s="314"/>
      <c r="P144" s="314"/>
      <c r="Q144" s="314"/>
      <c r="R144" s="78">
        <f t="shared" si="18"/>
        <v>0</v>
      </c>
      <c r="S144" s="314"/>
      <c r="T144" s="314"/>
      <c r="U144" s="314"/>
      <c r="V144" s="314"/>
      <c r="W144" s="314"/>
      <c r="X144" s="464">
        <f t="shared" si="21"/>
        <v>0</v>
      </c>
      <c r="Y144" s="365">
        <f t="shared" si="22"/>
        <v>0</v>
      </c>
      <c r="Z144" s="376"/>
      <c r="AA144" s="350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</row>
    <row r="145" spans="1:74" ht="17.25" hidden="1" customHeight="1" thickBot="1" x14ac:dyDescent="0.25">
      <c r="A145" s="149"/>
      <c r="B145" s="316"/>
      <c r="C145" s="144"/>
      <c r="D145" s="145"/>
      <c r="E145" s="145"/>
      <c r="F145" s="145"/>
      <c r="G145" s="145"/>
      <c r="H145" s="145"/>
      <c r="I145" s="146"/>
      <c r="J145" s="146"/>
      <c r="K145" s="146"/>
      <c r="L145" s="146"/>
      <c r="M145" s="146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465"/>
      <c r="Y145" s="366"/>
      <c r="Z145" s="377"/>
      <c r="AA145" s="351"/>
      <c r="AB145" s="130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</row>
    <row r="146" spans="1:74" s="81" customFormat="1" ht="30" hidden="1" customHeight="1" thickTop="1" thickBot="1" x14ac:dyDescent="0.25">
      <c r="A146" s="148"/>
      <c r="B146" s="143"/>
      <c r="C146" s="39" t="s">
        <v>227</v>
      </c>
      <c r="D146" s="52">
        <f t="shared" ref="D146:Q146" si="23">SUM(D101:D145)</f>
        <v>4786</v>
      </c>
      <c r="E146" s="52">
        <f t="shared" si="23"/>
        <v>1167</v>
      </c>
      <c r="F146" s="52">
        <f t="shared" si="23"/>
        <v>355080.46799999999</v>
      </c>
      <c r="G146" s="52">
        <f t="shared" si="23"/>
        <v>24775</v>
      </c>
      <c r="H146" s="52">
        <f t="shared" si="23"/>
        <v>0</v>
      </c>
      <c r="I146" s="52">
        <f t="shared" si="23"/>
        <v>0</v>
      </c>
      <c r="J146" s="52">
        <f t="shared" si="23"/>
        <v>13692</v>
      </c>
      <c r="K146" s="52">
        <f t="shared" si="23"/>
        <v>612339</v>
      </c>
      <c r="L146" s="52">
        <f t="shared" si="23"/>
        <v>1112297</v>
      </c>
      <c r="M146" s="52">
        <f t="shared" si="23"/>
        <v>12788</v>
      </c>
      <c r="N146" s="52">
        <f t="shared" si="23"/>
        <v>57243</v>
      </c>
      <c r="O146" s="52">
        <f t="shared" si="23"/>
        <v>0</v>
      </c>
      <c r="P146" s="52">
        <f t="shared" si="23"/>
        <v>0</v>
      </c>
      <c r="Q146" s="52">
        <f t="shared" si="23"/>
        <v>120165</v>
      </c>
      <c r="R146" s="52">
        <f t="shared" ref="R146:R279" si="24">SUM(D146:Q146)</f>
        <v>2314332.4679999999</v>
      </c>
      <c r="S146" s="52"/>
      <c r="T146" s="52">
        <f>SUM(T101:T145)</f>
        <v>0</v>
      </c>
      <c r="U146" s="52">
        <f>SUM(U101:U145)</f>
        <v>0</v>
      </c>
      <c r="V146" s="52">
        <f>SUM(V101:V145)</f>
        <v>0</v>
      </c>
      <c r="W146" s="52">
        <f>SUM(W101:W145)</f>
        <v>0</v>
      </c>
      <c r="X146" s="466">
        <f t="shared" si="21"/>
        <v>0</v>
      </c>
      <c r="Y146" s="367">
        <f t="shared" si="22"/>
        <v>2314332.4679999999</v>
      </c>
      <c r="Z146" s="378">
        <f>SUM(Z101:Z145)</f>
        <v>45419</v>
      </c>
      <c r="AA146" s="346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</row>
    <row r="147" spans="1:74" ht="35.1" hidden="1" customHeight="1" thickTop="1" thickBot="1" x14ac:dyDescent="0.35">
      <c r="A147" s="133"/>
      <c r="B147" s="585" t="s">
        <v>174</v>
      </c>
      <c r="C147" s="44" t="s">
        <v>229</v>
      </c>
      <c r="D147" s="86">
        <f t="shared" ref="D147:Q147" si="25">D100+D146</f>
        <v>154018</v>
      </c>
      <c r="E147" s="86">
        <f t="shared" si="25"/>
        <v>36396</v>
      </c>
      <c r="F147" s="127">
        <f t="shared" si="25"/>
        <v>4730285.9090000009</v>
      </c>
      <c r="G147" s="127">
        <f t="shared" si="25"/>
        <v>197440</v>
      </c>
      <c r="H147" s="127">
        <f t="shared" si="25"/>
        <v>150591.49600000001</v>
      </c>
      <c r="I147" s="127">
        <f t="shared" si="25"/>
        <v>52112</v>
      </c>
      <c r="J147" s="86">
        <f t="shared" si="25"/>
        <v>685330</v>
      </c>
      <c r="K147" s="86">
        <f t="shared" si="25"/>
        <v>2855229.594</v>
      </c>
      <c r="L147" s="86">
        <f t="shared" si="25"/>
        <v>3011496</v>
      </c>
      <c r="M147" s="86">
        <f t="shared" si="25"/>
        <v>37208</v>
      </c>
      <c r="N147" s="86">
        <f t="shared" si="25"/>
        <v>57843</v>
      </c>
      <c r="O147" s="127">
        <f t="shared" si="25"/>
        <v>10000</v>
      </c>
      <c r="P147" s="86">
        <f t="shared" si="25"/>
        <v>0</v>
      </c>
      <c r="Q147" s="86">
        <f t="shared" si="25"/>
        <v>563293</v>
      </c>
      <c r="R147" s="86">
        <f t="shared" si="24"/>
        <v>12541242.999000002</v>
      </c>
      <c r="S147" s="86"/>
      <c r="T147" s="86">
        <f>T100+T146</f>
        <v>0</v>
      </c>
      <c r="U147" s="86">
        <f>U100+U146</f>
        <v>3740000</v>
      </c>
      <c r="V147" s="86">
        <f>V100+V146</f>
        <v>66267.035000000003</v>
      </c>
      <c r="W147" s="86">
        <f>W100+W146</f>
        <v>0</v>
      </c>
      <c r="X147" s="87">
        <f t="shared" si="21"/>
        <v>3806267.0350000001</v>
      </c>
      <c r="Y147" s="87">
        <f t="shared" si="22"/>
        <v>16347510.034000002</v>
      </c>
      <c r="Z147" s="266">
        <f>Z100+Z146</f>
        <v>6436382.5250000004</v>
      </c>
      <c r="AA147" s="346"/>
      <c r="AB147" s="85">
        <f>Y147+Z147</f>
        <v>22783892.559</v>
      </c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</row>
    <row r="148" spans="1:74" ht="24.95" hidden="1" customHeight="1" thickTop="1" thickBot="1" x14ac:dyDescent="0.3">
      <c r="A148" s="212"/>
      <c r="B148" s="213"/>
      <c r="C148" s="214" t="s">
        <v>18</v>
      </c>
      <c r="D148" s="319">
        <f t="shared" ref="D148:W148" si="26">D147</f>
        <v>154018</v>
      </c>
      <c r="E148" s="319">
        <f>E147</f>
        <v>36396</v>
      </c>
      <c r="F148" s="319">
        <f>F147</f>
        <v>4730285.9090000009</v>
      </c>
      <c r="G148" s="319">
        <f>G147</f>
        <v>197440</v>
      </c>
      <c r="H148" s="319">
        <f t="shared" si="26"/>
        <v>150591.49600000001</v>
      </c>
      <c r="I148" s="319">
        <f t="shared" si="26"/>
        <v>52112</v>
      </c>
      <c r="J148" s="319">
        <f t="shared" si="26"/>
        <v>685330</v>
      </c>
      <c r="K148" s="319">
        <f>K147</f>
        <v>2855229.594</v>
      </c>
      <c r="L148" s="319">
        <f>L147</f>
        <v>3011496</v>
      </c>
      <c r="M148" s="319">
        <f t="shared" si="26"/>
        <v>37208</v>
      </c>
      <c r="N148" s="319">
        <f t="shared" si="26"/>
        <v>57843</v>
      </c>
      <c r="O148" s="319">
        <f t="shared" si="26"/>
        <v>10000</v>
      </c>
      <c r="P148" s="319">
        <f t="shared" si="26"/>
        <v>0</v>
      </c>
      <c r="Q148" s="319">
        <f t="shared" si="26"/>
        <v>563293</v>
      </c>
      <c r="R148" s="319">
        <f t="shared" si="24"/>
        <v>12541242.999000002</v>
      </c>
      <c r="S148" s="319"/>
      <c r="T148" s="319">
        <f t="shared" si="26"/>
        <v>0</v>
      </c>
      <c r="U148" s="319">
        <f>U147</f>
        <v>3740000</v>
      </c>
      <c r="V148" s="319">
        <f>V147</f>
        <v>66267.035000000003</v>
      </c>
      <c r="W148" s="319">
        <f t="shared" si="26"/>
        <v>0</v>
      </c>
      <c r="X148" s="467">
        <f t="shared" si="21"/>
        <v>3806267.0350000001</v>
      </c>
      <c r="Y148" s="368">
        <f t="shared" si="22"/>
        <v>16347510.034000002</v>
      </c>
      <c r="Z148" s="379">
        <f>Z147</f>
        <v>6436382.5250000004</v>
      </c>
      <c r="AA148" s="352"/>
    </row>
    <row r="149" spans="1:74" ht="24.95" hidden="1" customHeight="1" x14ac:dyDescent="0.25">
      <c r="A149" s="18">
        <v>1</v>
      </c>
      <c r="B149" s="666" t="s">
        <v>348</v>
      </c>
      <c r="C149" s="28" t="s">
        <v>325</v>
      </c>
      <c r="D149" s="155"/>
      <c r="E149" s="155"/>
      <c r="F149" s="155"/>
      <c r="G149" s="155"/>
      <c r="H149" s="155"/>
      <c r="I149" s="155"/>
      <c r="J149" s="155">
        <f>85</f>
        <v>85</v>
      </c>
      <c r="K149" s="155">
        <f>-85</f>
        <v>-85</v>
      </c>
      <c r="L149" s="155"/>
      <c r="M149" s="155"/>
      <c r="N149" s="155"/>
      <c r="O149" s="155"/>
      <c r="P149" s="155"/>
      <c r="Q149" s="155"/>
      <c r="R149" s="155">
        <f>SUM(D149:Q149)</f>
        <v>0</v>
      </c>
      <c r="S149" s="155"/>
      <c r="T149" s="155"/>
      <c r="U149" s="155"/>
      <c r="V149" s="155"/>
      <c r="W149" s="155"/>
      <c r="X149" s="161">
        <f>SUM(T149:W149)</f>
        <v>0</v>
      </c>
      <c r="Y149" s="237">
        <f>R149+X149</f>
        <v>0</v>
      </c>
      <c r="Z149" s="155"/>
      <c r="AA149" s="352"/>
    </row>
    <row r="150" spans="1:74" ht="24" hidden="1" customHeight="1" x14ac:dyDescent="0.2">
      <c r="A150" s="82">
        <v>2</v>
      </c>
      <c r="B150" s="667" t="s">
        <v>336</v>
      </c>
      <c r="C150" s="28" t="s">
        <v>340</v>
      </c>
      <c r="D150" s="160"/>
      <c r="E150" s="160"/>
      <c r="F150" s="155"/>
      <c r="G150" s="155"/>
      <c r="H150" s="155"/>
      <c r="I150" s="155"/>
      <c r="J150" s="155">
        <f>-500-400-1500</f>
        <v>-2400</v>
      </c>
      <c r="K150" s="155"/>
      <c r="L150" s="155"/>
      <c r="M150" s="155"/>
      <c r="N150" s="155"/>
      <c r="O150" s="155"/>
      <c r="P150" s="155"/>
      <c r="Q150" s="155"/>
      <c r="R150" s="155">
        <f>SUM(D150:Q150)</f>
        <v>-2400</v>
      </c>
      <c r="S150" s="155"/>
      <c r="T150" s="155"/>
      <c r="U150" s="155"/>
      <c r="W150" s="155"/>
      <c r="X150" s="161">
        <f>SUM(T150:W150)</f>
        <v>0</v>
      </c>
      <c r="Y150" s="237">
        <f>R150+X150</f>
        <v>-2400</v>
      </c>
      <c r="Z150" s="155">
        <f>2400</f>
        <v>2400</v>
      </c>
      <c r="AA150" s="353"/>
    </row>
    <row r="151" spans="1:74" ht="24" hidden="1" customHeight="1" x14ac:dyDescent="0.25">
      <c r="A151" s="18">
        <v>3</v>
      </c>
      <c r="B151" s="667" t="s">
        <v>337</v>
      </c>
      <c r="C151" s="28" t="s">
        <v>341</v>
      </c>
      <c r="D151" s="160"/>
      <c r="E151" s="160"/>
      <c r="F151" s="155">
        <f>-378.9</f>
        <v>-378.9</v>
      </c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>
        <f>SUM(D151:Q151)</f>
        <v>-378.9</v>
      </c>
      <c r="S151" s="155"/>
      <c r="T151" s="160"/>
      <c r="U151" s="160"/>
      <c r="W151" s="155"/>
      <c r="X151" s="161">
        <f>SUM(T151:W151)</f>
        <v>0</v>
      </c>
      <c r="Y151" s="237">
        <f>R151+X151</f>
        <v>-378.9</v>
      </c>
      <c r="Z151" s="160">
        <f>378.9</f>
        <v>378.9</v>
      </c>
      <c r="AA151" s="353"/>
    </row>
    <row r="152" spans="1:74" ht="24" hidden="1" customHeight="1" x14ac:dyDescent="0.2">
      <c r="A152" s="82">
        <v>4</v>
      </c>
      <c r="B152" s="667" t="s">
        <v>338</v>
      </c>
      <c r="C152" s="28" t="s">
        <v>342</v>
      </c>
      <c r="D152" s="160"/>
      <c r="E152" s="160"/>
      <c r="F152" s="155">
        <f>-2500</f>
        <v>-2500</v>
      </c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>
        <f>SUM(D152:Q152)</f>
        <v>-2500</v>
      </c>
      <c r="S152" s="155"/>
      <c r="T152" s="160"/>
      <c r="U152" s="160"/>
      <c r="W152" s="155"/>
      <c r="X152" s="161">
        <f>SUM(T152:W152)</f>
        <v>0</v>
      </c>
      <c r="Y152" s="237">
        <f>R152+X152</f>
        <v>-2500</v>
      </c>
      <c r="Z152" s="160">
        <f>2500</f>
        <v>2500</v>
      </c>
      <c r="AA152" s="353"/>
    </row>
    <row r="153" spans="1:74" ht="24" hidden="1" customHeight="1" x14ac:dyDescent="0.25">
      <c r="A153" s="18">
        <v>5</v>
      </c>
      <c r="B153" s="667" t="s">
        <v>339</v>
      </c>
      <c r="C153" s="28" t="s">
        <v>343</v>
      </c>
      <c r="D153" s="160"/>
      <c r="E153" s="160"/>
      <c r="F153" s="155">
        <f>-702.648</f>
        <v>-702.64800000000002</v>
      </c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>
        <f>SUM(D153:Q153)</f>
        <v>-702.64800000000002</v>
      </c>
      <c r="S153" s="155"/>
      <c r="T153" s="160"/>
      <c r="U153" s="160"/>
      <c r="W153" s="155"/>
      <c r="X153" s="161">
        <f>SUM(T153:W153)</f>
        <v>0</v>
      </c>
      <c r="Y153" s="237">
        <f>R153+X153</f>
        <v>-702.64800000000002</v>
      </c>
      <c r="Z153" s="160">
        <f>702.648</f>
        <v>702.64800000000002</v>
      </c>
      <c r="AA153" s="353"/>
    </row>
    <row r="154" spans="1:74" ht="24" hidden="1" customHeight="1" x14ac:dyDescent="0.2">
      <c r="A154" s="82">
        <v>6</v>
      </c>
      <c r="B154" s="667" t="s">
        <v>349</v>
      </c>
      <c r="C154" s="28" t="s">
        <v>286</v>
      </c>
      <c r="D154" s="160"/>
      <c r="E154" s="160"/>
      <c r="F154" s="155"/>
      <c r="G154" s="155"/>
      <c r="H154" s="155"/>
      <c r="I154" s="155"/>
      <c r="J154" s="155">
        <f>747</f>
        <v>747</v>
      </c>
      <c r="K154" s="155">
        <f>-747</f>
        <v>-747</v>
      </c>
      <c r="L154" s="155"/>
      <c r="M154" s="155"/>
      <c r="N154" s="155"/>
      <c r="O154" s="155"/>
      <c r="P154" s="155"/>
      <c r="Q154" s="155"/>
      <c r="R154" s="155">
        <f t="shared" si="24"/>
        <v>0</v>
      </c>
      <c r="S154" s="155"/>
      <c r="T154" s="160"/>
      <c r="U154" s="160"/>
      <c r="W154" s="155"/>
      <c r="X154" s="161">
        <f t="shared" si="21"/>
        <v>0</v>
      </c>
      <c r="Y154" s="237">
        <f t="shared" si="22"/>
        <v>0</v>
      </c>
      <c r="Z154" s="160"/>
      <c r="AA154" s="353"/>
    </row>
    <row r="155" spans="1:74" ht="24" hidden="1" customHeight="1" x14ac:dyDescent="0.25">
      <c r="A155" s="18">
        <v>7</v>
      </c>
      <c r="B155" s="668" t="s">
        <v>350</v>
      </c>
      <c r="C155" s="28" t="s">
        <v>286</v>
      </c>
      <c r="D155" s="160"/>
      <c r="E155" s="160"/>
      <c r="F155" s="155"/>
      <c r="G155" s="155"/>
      <c r="H155" s="155"/>
      <c r="I155" s="155">
        <f>50</f>
        <v>50</v>
      </c>
      <c r="J155" s="155"/>
      <c r="K155" s="155">
        <f>-50</f>
        <v>-50</v>
      </c>
      <c r="L155" s="155"/>
      <c r="M155" s="155"/>
      <c r="N155" s="155"/>
      <c r="O155" s="155"/>
      <c r="P155" s="155"/>
      <c r="Q155" s="155"/>
      <c r="R155" s="155">
        <f t="shared" si="24"/>
        <v>0</v>
      </c>
      <c r="S155" s="155"/>
      <c r="T155" s="160"/>
      <c r="U155" s="160"/>
      <c r="W155" s="155"/>
      <c r="X155" s="161">
        <f t="shared" si="21"/>
        <v>0</v>
      </c>
      <c r="Y155" s="237">
        <f t="shared" si="22"/>
        <v>0</v>
      </c>
      <c r="Z155" s="160"/>
      <c r="AA155" s="353"/>
    </row>
    <row r="156" spans="1:74" ht="24" hidden="1" customHeight="1" x14ac:dyDescent="0.2">
      <c r="A156" s="82">
        <v>8</v>
      </c>
      <c r="B156" s="668" t="s">
        <v>351</v>
      </c>
      <c r="C156" s="41" t="s">
        <v>352</v>
      </c>
      <c r="D156" s="160">
        <f>-596+198</f>
        <v>-398</v>
      </c>
      <c r="E156" s="160">
        <f>-132-87+52+35</f>
        <v>-132</v>
      </c>
      <c r="F156" s="155">
        <f>375+155</f>
        <v>530</v>
      </c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55">
        <f t="shared" si="24"/>
        <v>0</v>
      </c>
      <c r="S156" s="155"/>
      <c r="T156" s="160"/>
      <c r="U156" s="160"/>
      <c r="W156" s="155"/>
      <c r="X156" s="161">
        <f t="shared" si="21"/>
        <v>0</v>
      </c>
      <c r="Y156" s="237">
        <f t="shared" si="22"/>
        <v>0</v>
      </c>
      <c r="Z156" s="160"/>
      <c r="AA156" s="353"/>
    </row>
    <row r="157" spans="1:74" ht="24" hidden="1" customHeight="1" x14ac:dyDescent="0.25">
      <c r="A157" s="18">
        <v>9</v>
      </c>
      <c r="B157" s="668" t="s">
        <v>353</v>
      </c>
      <c r="C157" s="41" t="s">
        <v>354</v>
      </c>
      <c r="D157" s="160"/>
      <c r="E157" s="160"/>
      <c r="F157" s="155"/>
      <c r="G157" s="155"/>
      <c r="H157" s="155"/>
      <c r="I157" s="155"/>
      <c r="J157" s="155"/>
      <c r="K157" s="155"/>
      <c r="L157" s="155">
        <f>30158.597+8142.821+26079.68+7041.513</f>
        <v>71422.611000000004</v>
      </c>
      <c r="M157" s="155"/>
      <c r="N157" s="155"/>
      <c r="O157" s="155"/>
      <c r="P157" s="155"/>
      <c r="Q157" s="155"/>
      <c r="R157" s="155">
        <f t="shared" si="24"/>
        <v>71422.611000000004</v>
      </c>
      <c r="S157" s="155"/>
      <c r="T157" s="160"/>
      <c r="U157" s="160"/>
      <c r="W157" s="155"/>
      <c r="X157" s="161">
        <f t="shared" si="21"/>
        <v>0</v>
      </c>
      <c r="Y157" s="237">
        <f t="shared" si="22"/>
        <v>71422.611000000004</v>
      </c>
      <c r="Z157" s="160"/>
      <c r="AA157" s="353"/>
    </row>
    <row r="158" spans="1:74" ht="24" hidden="1" customHeight="1" x14ac:dyDescent="0.2">
      <c r="A158" s="82">
        <v>10</v>
      </c>
      <c r="B158" s="668" t="s">
        <v>355</v>
      </c>
      <c r="C158" s="41" t="s">
        <v>356</v>
      </c>
      <c r="D158" s="160"/>
      <c r="E158" s="160"/>
      <c r="F158" s="155">
        <f>3024+816</f>
        <v>3840</v>
      </c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>
        <f t="shared" si="24"/>
        <v>3840</v>
      </c>
      <c r="S158" s="155"/>
      <c r="T158" s="160"/>
      <c r="U158" s="160"/>
      <c r="W158" s="155"/>
      <c r="X158" s="161">
        <f t="shared" si="21"/>
        <v>0</v>
      </c>
      <c r="Y158" s="237">
        <f t="shared" si="22"/>
        <v>3840</v>
      </c>
      <c r="Z158" s="160"/>
      <c r="AA158" s="353"/>
    </row>
    <row r="159" spans="1:74" ht="24" hidden="1" customHeight="1" x14ac:dyDescent="0.25">
      <c r="A159" s="18">
        <v>11</v>
      </c>
      <c r="B159" s="668" t="s">
        <v>357</v>
      </c>
      <c r="C159" s="41" t="s">
        <v>325</v>
      </c>
      <c r="D159" s="160"/>
      <c r="E159" s="160"/>
      <c r="F159" s="155"/>
      <c r="G159" s="155"/>
      <c r="H159" s="155"/>
      <c r="I159" s="155"/>
      <c r="J159" s="155">
        <f>300</f>
        <v>300</v>
      </c>
      <c r="K159" s="155">
        <f>-300</f>
        <v>-300</v>
      </c>
      <c r="L159" s="155"/>
      <c r="M159" s="155"/>
      <c r="N159" s="155"/>
      <c r="O159" s="155"/>
      <c r="P159" s="155"/>
      <c r="Q159" s="155"/>
      <c r="R159" s="155">
        <f t="shared" si="24"/>
        <v>0</v>
      </c>
      <c r="S159" s="155"/>
      <c r="T159" s="160"/>
      <c r="U159" s="160"/>
      <c r="W159" s="155"/>
      <c r="X159" s="161">
        <f t="shared" si="21"/>
        <v>0</v>
      </c>
      <c r="Y159" s="237">
        <f t="shared" si="22"/>
        <v>0</v>
      </c>
      <c r="Z159" s="160"/>
      <c r="AA159" s="353"/>
    </row>
    <row r="160" spans="1:74" ht="24" hidden="1" customHeight="1" x14ac:dyDescent="0.2">
      <c r="A160" s="82">
        <v>12</v>
      </c>
      <c r="B160" s="668" t="s">
        <v>358</v>
      </c>
      <c r="C160" s="41" t="s">
        <v>367</v>
      </c>
      <c r="D160" s="160"/>
      <c r="E160" s="160"/>
      <c r="F160" s="155">
        <f>-800-216</f>
        <v>-1016</v>
      </c>
      <c r="G160" s="155"/>
      <c r="H160" s="155"/>
      <c r="I160" s="155"/>
      <c r="J160" s="155"/>
      <c r="K160" s="155"/>
      <c r="L160" s="155">
        <f>800+216</f>
        <v>1016</v>
      </c>
      <c r="M160" s="155"/>
      <c r="N160" s="155"/>
      <c r="O160" s="155"/>
      <c r="P160" s="155"/>
      <c r="Q160" s="155"/>
      <c r="R160" s="155">
        <f t="shared" si="24"/>
        <v>0</v>
      </c>
      <c r="S160" s="155"/>
      <c r="T160" s="160"/>
      <c r="U160" s="160"/>
      <c r="W160" s="155"/>
      <c r="X160" s="161">
        <f t="shared" si="21"/>
        <v>0</v>
      </c>
      <c r="Y160" s="237">
        <f t="shared" si="22"/>
        <v>0</v>
      </c>
      <c r="Z160" s="160"/>
      <c r="AA160" s="353"/>
    </row>
    <row r="161" spans="1:27" ht="24" hidden="1" customHeight="1" x14ac:dyDescent="0.25">
      <c r="A161" s="18">
        <v>13</v>
      </c>
      <c r="B161" s="668" t="s">
        <v>359</v>
      </c>
      <c r="C161" s="657" t="s">
        <v>360</v>
      </c>
      <c r="D161" s="160"/>
      <c r="E161" s="160"/>
      <c r="F161" s="155">
        <f>-787-213</f>
        <v>-1000</v>
      </c>
      <c r="G161" s="155"/>
      <c r="H161" s="155"/>
      <c r="I161" s="155">
        <f>1000</f>
        <v>1000</v>
      </c>
      <c r="J161" s="155"/>
      <c r="K161" s="155"/>
      <c r="L161" s="155"/>
      <c r="M161" s="155"/>
      <c r="N161" s="155"/>
      <c r="O161" s="155"/>
      <c r="P161" s="155"/>
      <c r="Q161" s="155"/>
      <c r="R161" s="155">
        <f t="shared" si="24"/>
        <v>0</v>
      </c>
      <c r="S161" s="155"/>
      <c r="T161" s="160"/>
      <c r="U161" s="160"/>
      <c r="W161" s="155"/>
      <c r="X161" s="161">
        <f t="shared" si="21"/>
        <v>0</v>
      </c>
      <c r="Y161" s="237">
        <f t="shared" si="22"/>
        <v>0</v>
      </c>
      <c r="Z161" s="160"/>
      <c r="AA161" s="353"/>
    </row>
    <row r="162" spans="1:27" ht="24" hidden="1" customHeight="1" x14ac:dyDescent="0.2">
      <c r="A162" s="82">
        <v>14</v>
      </c>
      <c r="B162" s="668" t="s">
        <v>361</v>
      </c>
      <c r="C162" s="41" t="s">
        <v>362</v>
      </c>
      <c r="D162" s="160"/>
      <c r="E162" s="160"/>
      <c r="F162" s="155">
        <f>376+102</f>
        <v>478</v>
      </c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55">
        <f t="shared" si="24"/>
        <v>478</v>
      </c>
      <c r="S162" s="155"/>
      <c r="T162" s="160"/>
      <c r="U162" s="160"/>
      <c r="W162" s="155"/>
      <c r="X162" s="161">
        <f t="shared" si="21"/>
        <v>0</v>
      </c>
      <c r="Y162" s="237">
        <f t="shared" si="22"/>
        <v>478</v>
      </c>
      <c r="Z162" s="160"/>
      <c r="AA162" s="353"/>
    </row>
    <row r="163" spans="1:27" ht="24" hidden="1" customHeight="1" x14ac:dyDescent="0.25">
      <c r="A163" s="18">
        <v>15</v>
      </c>
      <c r="B163" s="668" t="s">
        <v>363</v>
      </c>
      <c r="C163" s="41" t="s">
        <v>364</v>
      </c>
      <c r="D163" s="160"/>
      <c r="E163" s="160"/>
      <c r="F163" s="155">
        <f>290+79</f>
        <v>369</v>
      </c>
      <c r="G163" s="155"/>
      <c r="H163" s="155"/>
      <c r="I163" s="155"/>
      <c r="J163" s="155"/>
      <c r="K163" s="155">
        <f>-369</f>
        <v>-369</v>
      </c>
      <c r="L163" s="155"/>
      <c r="M163" s="155"/>
      <c r="N163" s="155"/>
      <c r="O163" s="155"/>
      <c r="P163" s="155"/>
      <c r="Q163" s="155"/>
      <c r="R163" s="155">
        <f t="shared" si="24"/>
        <v>0</v>
      </c>
      <c r="S163" s="155"/>
      <c r="T163" s="160"/>
      <c r="U163" s="160"/>
      <c r="W163" s="155"/>
      <c r="X163" s="161">
        <f t="shared" si="21"/>
        <v>0</v>
      </c>
      <c r="Y163" s="237">
        <f t="shared" si="22"/>
        <v>0</v>
      </c>
      <c r="Z163" s="160"/>
      <c r="AA163" s="353"/>
    </row>
    <row r="164" spans="1:27" ht="24" hidden="1" customHeight="1" x14ac:dyDescent="0.2">
      <c r="A164" s="82">
        <v>16</v>
      </c>
      <c r="B164" s="668" t="s">
        <v>365</v>
      </c>
      <c r="C164" s="41" t="s">
        <v>366</v>
      </c>
      <c r="D164" s="160">
        <f>-869</f>
        <v>-869</v>
      </c>
      <c r="E164" s="160">
        <f>-191</f>
        <v>-191</v>
      </c>
      <c r="F164" s="155"/>
      <c r="G164" s="155"/>
      <c r="H164" s="155"/>
      <c r="I164" s="155"/>
      <c r="J164" s="155">
        <f>1060</f>
        <v>1060</v>
      </c>
      <c r="K164" s="155"/>
      <c r="L164" s="155"/>
      <c r="M164" s="155"/>
      <c r="N164" s="155"/>
      <c r="O164" s="155"/>
      <c r="P164" s="155"/>
      <c r="Q164" s="155"/>
      <c r="R164" s="155">
        <f t="shared" si="24"/>
        <v>0</v>
      </c>
      <c r="S164" s="155"/>
      <c r="T164" s="160"/>
      <c r="U164" s="160"/>
      <c r="W164" s="155"/>
      <c r="X164" s="161">
        <f t="shared" si="21"/>
        <v>0</v>
      </c>
      <c r="Y164" s="237">
        <f t="shared" si="22"/>
        <v>0</v>
      </c>
      <c r="Z164" s="160"/>
      <c r="AA164" s="353"/>
    </row>
    <row r="165" spans="1:27" ht="24" hidden="1" customHeight="1" x14ac:dyDescent="0.25">
      <c r="A165" s="18">
        <v>17</v>
      </c>
      <c r="B165" s="668" t="s">
        <v>368</v>
      </c>
      <c r="C165" s="41" t="s">
        <v>369</v>
      </c>
      <c r="D165" s="160"/>
      <c r="E165" s="160"/>
      <c r="F165" s="155"/>
      <c r="G165" s="155"/>
      <c r="H165" s="155"/>
      <c r="I165" s="155"/>
      <c r="J165" s="155"/>
      <c r="K165" s="155">
        <f>-77985</f>
        <v>-77985</v>
      </c>
      <c r="L165" s="155">
        <f>77985</f>
        <v>77985</v>
      </c>
      <c r="M165" s="155"/>
      <c r="N165" s="155"/>
      <c r="O165" s="155"/>
      <c r="P165" s="155"/>
      <c r="Q165" s="155"/>
      <c r="R165" s="155">
        <f t="shared" si="24"/>
        <v>0</v>
      </c>
      <c r="S165" s="155"/>
      <c r="T165" s="160"/>
      <c r="U165" s="160"/>
      <c r="W165" s="155"/>
      <c r="X165" s="161">
        <f t="shared" si="21"/>
        <v>0</v>
      </c>
      <c r="Y165" s="237">
        <f t="shared" si="22"/>
        <v>0</v>
      </c>
      <c r="Z165" s="160"/>
      <c r="AA165" s="353"/>
    </row>
    <row r="166" spans="1:27" ht="24" hidden="1" customHeight="1" x14ac:dyDescent="0.2">
      <c r="A166" s="82">
        <v>18</v>
      </c>
      <c r="B166" s="668" t="s">
        <v>370</v>
      </c>
      <c r="C166" s="41" t="s">
        <v>371</v>
      </c>
      <c r="D166" s="160"/>
      <c r="E166" s="160"/>
      <c r="F166" s="155">
        <f>0.468</f>
        <v>0.46800000000000003</v>
      </c>
      <c r="G166" s="155"/>
      <c r="H166" s="155"/>
      <c r="I166" s="155"/>
      <c r="J166" s="155"/>
      <c r="K166" s="155"/>
      <c r="L166" s="155"/>
      <c r="M166" s="155"/>
      <c r="N166" s="155"/>
      <c r="O166" s="155"/>
      <c r="P166" s="155"/>
      <c r="Q166" s="155"/>
      <c r="R166" s="155">
        <f t="shared" si="24"/>
        <v>0.46800000000000003</v>
      </c>
      <c r="S166" s="155"/>
      <c r="T166" s="160"/>
      <c r="U166" s="160"/>
      <c r="W166" s="155"/>
      <c r="X166" s="161">
        <f t="shared" si="21"/>
        <v>0</v>
      </c>
      <c r="Y166" s="237">
        <f t="shared" si="22"/>
        <v>0.46800000000000003</v>
      </c>
      <c r="Z166" s="160"/>
      <c r="AA166" s="353"/>
    </row>
    <row r="167" spans="1:27" ht="24" hidden="1" customHeight="1" x14ac:dyDescent="0.25">
      <c r="A167" s="18">
        <v>19</v>
      </c>
      <c r="B167" s="663" t="s">
        <v>373</v>
      </c>
      <c r="C167" s="28" t="s">
        <v>372</v>
      </c>
      <c r="D167" s="155"/>
      <c r="E167" s="155"/>
      <c r="F167" s="155"/>
      <c r="G167" s="155"/>
      <c r="H167" s="155"/>
      <c r="I167" s="155"/>
      <c r="J167" s="155"/>
      <c r="K167" s="155">
        <f>87740</f>
        <v>87740</v>
      </c>
      <c r="L167" s="155"/>
      <c r="M167" s="155"/>
      <c r="N167" s="155"/>
      <c r="O167" s="155"/>
      <c r="P167" s="155"/>
      <c r="Q167" s="155"/>
      <c r="R167" s="155">
        <f t="shared" si="24"/>
        <v>87740</v>
      </c>
      <c r="S167" s="155"/>
      <c r="T167" s="155"/>
      <c r="U167" s="155"/>
      <c r="W167" s="155"/>
      <c r="X167" s="161">
        <f t="shared" si="21"/>
        <v>0</v>
      </c>
      <c r="Y167" s="237">
        <f t="shared" si="22"/>
        <v>87740</v>
      </c>
      <c r="Z167" s="155"/>
      <c r="AA167" s="353"/>
    </row>
    <row r="168" spans="1:27" ht="24" hidden="1" customHeight="1" x14ac:dyDescent="0.2">
      <c r="A168" s="82">
        <v>20</v>
      </c>
      <c r="B168" s="663" t="s">
        <v>374</v>
      </c>
      <c r="C168" s="28" t="s">
        <v>297</v>
      </c>
      <c r="D168" s="155"/>
      <c r="E168" s="155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5"/>
      <c r="R168" s="155">
        <f t="shared" si="24"/>
        <v>0</v>
      </c>
      <c r="S168" s="155"/>
      <c r="T168" s="155"/>
      <c r="U168" s="595">
        <v>1700000</v>
      </c>
      <c r="W168" s="155"/>
      <c r="X168" s="597">
        <f t="shared" si="21"/>
        <v>1700000</v>
      </c>
      <c r="Y168" s="237">
        <f t="shared" si="22"/>
        <v>1700000</v>
      </c>
      <c r="Z168" s="155"/>
      <c r="AA168" s="353"/>
    </row>
    <row r="169" spans="1:27" ht="24" hidden="1" customHeight="1" x14ac:dyDescent="0.25">
      <c r="A169" s="18">
        <v>21</v>
      </c>
      <c r="B169" s="663" t="s">
        <v>375</v>
      </c>
      <c r="C169" s="28" t="s">
        <v>376</v>
      </c>
      <c r="D169" s="155"/>
      <c r="E169" s="155"/>
      <c r="F169" s="155"/>
      <c r="G169" s="155"/>
      <c r="H169" s="155"/>
      <c r="I169" s="155"/>
      <c r="J169" s="155">
        <f>2700</f>
        <v>2700</v>
      </c>
      <c r="K169" s="155"/>
      <c r="L169" s="155"/>
      <c r="M169" s="155"/>
      <c r="N169" s="155"/>
      <c r="O169" s="155"/>
      <c r="P169" s="155"/>
      <c r="Q169" s="155"/>
      <c r="R169" s="155">
        <f t="shared" si="24"/>
        <v>2700</v>
      </c>
      <c r="S169" s="155"/>
      <c r="T169" s="160"/>
      <c r="U169" s="160"/>
      <c r="W169" s="155"/>
      <c r="X169" s="161">
        <f t="shared" si="21"/>
        <v>0</v>
      </c>
      <c r="Y169" s="237">
        <f t="shared" si="22"/>
        <v>2700</v>
      </c>
      <c r="Z169" s="160"/>
      <c r="AA169" s="353"/>
    </row>
    <row r="170" spans="1:27" ht="24" hidden="1" customHeight="1" x14ac:dyDescent="0.2">
      <c r="A170" s="82">
        <v>22</v>
      </c>
      <c r="B170" s="663" t="s">
        <v>377</v>
      </c>
      <c r="C170" s="28" t="s">
        <v>378</v>
      </c>
      <c r="D170" s="155"/>
      <c r="E170" s="155"/>
      <c r="F170" s="155"/>
      <c r="G170" s="155"/>
      <c r="H170" s="155"/>
      <c r="I170" s="155"/>
      <c r="J170" s="155"/>
      <c r="K170" s="155">
        <f>-1288</f>
        <v>-1288</v>
      </c>
      <c r="L170" s="155"/>
      <c r="M170" s="155"/>
      <c r="N170" s="155"/>
      <c r="O170" s="155"/>
      <c r="P170" s="155"/>
      <c r="Q170" s="155"/>
      <c r="R170" s="155">
        <f t="shared" si="24"/>
        <v>-1288</v>
      </c>
      <c r="S170" s="155"/>
      <c r="T170" s="160"/>
      <c r="U170" s="160"/>
      <c r="W170" s="155"/>
      <c r="X170" s="161">
        <f>SUM(T170:W170)</f>
        <v>0</v>
      </c>
      <c r="Y170" s="237">
        <f>R170+X170</f>
        <v>-1288</v>
      </c>
      <c r="Z170" s="160">
        <f>1288</f>
        <v>1288</v>
      </c>
      <c r="AA170" s="353"/>
    </row>
    <row r="171" spans="1:27" ht="24" hidden="1" customHeight="1" x14ac:dyDescent="0.25">
      <c r="A171" s="18">
        <v>23</v>
      </c>
      <c r="B171" s="663" t="s">
        <v>379</v>
      </c>
      <c r="C171" s="28" t="s">
        <v>380</v>
      </c>
      <c r="D171" s="155">
        <f>-100</f>
        <v>-100</v>
      </c>
      <c r="E171" s="155">
        <f>-22</f>
        <v>-22</v>
      </c>
      <c r="F171" s="155">
        <f>-204-300-540</f>
        <v>-1044</v>
      </c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55">
        <f t="shared" si="24"/>
        <v>-1166</v>
      </c>
      <c r="S171" s="155"/>
      <c r="T171" s="160"/>
      <c r="U171" s="160"/>
      <c r="W171" s="155"/>
      <c r="X171" s="161">
        <f t="shared" si="21"/>
        <v>0</v>
      </c>
      <c r="Y171" s="237">
        <f t="shared" si="22"/>
        <v>-1166</v>
      </c>
      <c r="Z171" s="160">
        <f>1166</f>
        <v>1166</v>
      </c>
      <c r="AA171" s="353"/>
    </row>
    <row r="172" spans="1:27" ht="33.75" hidden="1" customHeight="1" x14ac:dyDescent="0.2">
      <c r="A172" s="82">
        <v>24</v>
      </c>
      <c r="B172" s="663" t="s">
        <v>381</v>
      </c>
      <c r="C172" s="28" t="s">
        <v>382</v>
      </c>
      <c r="D172" s="155"/>
      <c r="E172" s="155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55">
        <f t="shared" si="24"/>
        <v>0</v>
      </c>
      <c r="S172" s="155"/>
      <c r="T172" s="160"/>
      <c r="U172" s="160"/>
      <c r="W172" s="155"/>
      <c r="X172" s="161">
        <f t="shared" si="21"/>
        <v>0</v>
      </c>
      <c r="Y172" s="237">
        <f t="shared" si="22"/>
        <v>0</v>
      </c>
      <c r="Z172" s="160">
        <f>4816.56</f>
        <v>4816.5600000000004</v>
      </c>
      <c r="AA172" s="353"/>
    </row>
    <row r="173" spans="1:27" ht="24" hidden="1" customHeight="1" x14ac:dyDescent="0.25">
      <c r="A173" s="18">
        <v>25</v>
      </c>
      <c r="B173" s="663" t="s">
        <v>383</v>
      </c>
      <c r="C173" s="28" t="s">
        <v>384</v>
      </c>
      <c r="D173" s="155"/>
      <c r="E173" s="155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55">
        <f t="shared" si="24"/>
        <v>0</v>
      </c>
      <c r="S173" s="155"/>
      <c r="T173" s="155"/>
      <c r="U173" s="155"/>
      <c r="W173" s="155"/>
      <c r="X173" s="161">
        <f t="shared" si="21"/>
        <v>0</v>
      </c>
      <c r="Y173" s="237">
        <f t="shared" si="22"/>
        <v>0</v>
      </c>
      <c r="Z173" s="155">
        <f>4976.624</f>
        <v>4976.6239999999998</v>
      </c>
      <c r="AA173" s="353"/>
    </row>
    <row r="174" spans="1:27" ht="30" hidden="1" customHeight="1" x14ac:dyDescent="0.2">
      <c r="A174" s="82">
        <v>26</v>
      </c>
      <c r="B174" s="663" t="s">
        <v>394</v>
      </c>
      <c r="C174" s="28" t="s">
        <v>276</v>
      </c>
      <c r="D174" s="155"/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>
        <f t="shared" si="24"/>
        <v>0</v>
      </c>
      <c r="S174" s="155"/>
      <c r="T174" s="155"/>
      <c r="U174" s="155"/>
      <c r="W174" s="155"/>
      <c r="X174" s="161">
        <f t="shared" ref="X174" si="27">SUM(T174:W174)</f>
        <v>0</v>
      </c>
      <c r="Y174" s="237">
        <f t="shared" ref="Y174" si="28">R174+X174</f>
        <v>0</v>
      </c>
      <c r="Z174" s="155">
        <v>1913.8140000000001</v>
      </c>
      <c r="AA174" s="353"/>
    </row>
    <row r="175" spans="1:27" ht="33.75" hidden="1" customHeight="1" x14ac:dyDescent="0.25">
      <c r="A175" s="18">
        <v>27</v>
      </c>
      <c r="B175" s="663" t="s">
        <v>385</v>
      </c>
      <c r="C175" s="28" t="s">
        <v>387</v>
      </c>
      <c r="D175" s="155"/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>
        <f t="shared" si="24"/>
        <v>0</v>
      </c>
      <c r="S175" s="155"/>
      <c r="T175" s="160"/>
      <c r="U175" s="160"/>
      <c r="W175" s="155"/>
      <c r="X175" s="161">
        <f t="shared" si="21"/>
        <v>0</v>
      </c>
      <c r="Y175" s="237">
        <f t="shared" si="22"/>
        <v>0</v>
      </c>
      <c r="Z175" s="160">
        <f>23507.261</f>
        <v>23507.260999999999</v>
      </c>
      <c r="AA175" s="353"/>
    </row>
    <row r="176" spans="1:27" ht="24" hidden="1" customHeight="1" x14ac:dyDescent="0.2">
      <c r="A176" s="82">
        <v>28</v>
      </c>
      <c r="B176" s="663" t="s">
        <v>388</v>
      </c>
      <c r="C176" s="28" t="s">
        <v>389</v>
      </c>
      <c r="D176" s="155"/>
      <c r="E176" s="155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55">
        <f t="shared" si="24"/>
        <v>0</v>
      </c>
      <c r="S176" s="155"/>
      <c r="T176" s="155"/>
      <c r="U176" s="155"/>
      <c r="W176" s="155"/>
      <c r="X176" s="161">
        <f t="shared" si="21"/>
        <v>0</v>
      </c>
      <c r="Y176" s="237">
        <f t="shared" si="22"/>
        <v>0</v>
      </c>
      <c r="Z176" s="155">
        <f>7290.774</f>
        <v>7290.7740000000003</v>
      </c>
      <c r="AA176" s="353"/>
    </row>
    <row r="177" spans="1:27" ht="24" hidden="1" customHeight="1" x14ac:dyDescent="0.25">
      <c r="A177" s="18">
        <v>29</v>
      </c>
      <c r="B177" s="663" t="s">
        <v>390</v>
      </c>
      <c r="C177" s="28" t="s">
        <v>391</v>
      </c>
      <c r="D177" s="155"/>
      <c r="E177" s="155"/>
      <c r="F177" s="155"/>
      <c r="G177" s="155"/>
      <c r="H177" s="155"/>
      <c r="I177" s="155"/>
      <c r="J177" s="155">
        <f>-1570</f>
        <v>-1570</v>
      </c>
      <c r="K177" s="155"/>
      <c r="L177" s="155"/>
      <c r="M177" s="155"/>
      <c r="N177" s="155"/>
      <c r="O177" s="155"/>
      <c r="P177" s="155"/>
      <c r="Q177" s="155"/>
      <c r="R177" s="155">
        <f t="shared" si="24"/>
        <v>-1570</v>
      </c>
      <c r="S177" s="155"/>
      <c r="T177" s="155"/>
      <c r="U177" s="155"/>
      <c r="W177" s="155"/>
      <c r="X177" s="161">
        <f t="shared" si="21"/>
        <v>0</v>
      </c>
      <c r="Y177" s="237">
        <f t="shared" si="22"/>
        <v>-1570</v>
      </c>
      <c r="Z177" s="155">
        <f>1570</f>
        <v>1570</v>
      </c>
      <c r="AA177" s="353"/>
    </row>
    <row r="178" spans="1:27" ht="24" hidden="1" customHeight="1" x14ac:dyDescent="0.2">
      <c r="A178" s="82">
        <v>30</v>
      </c>
      <c r="B178" s="663" t="s">
        <v>393</v>
      </c>
      <c r="C178" s="28" t="s">
        <v>392</v>
      </c>
      <c r="D178" s="155"/>
      <c r="E178" s="155"/>
      <c r="F178" s="155"/>
      <c r="G178" s="155"/>
      <c r="H178" s="155"/>
      <c r="I178" s="155"/>
      <c r="J178" s="155"/>
      <c r="K178" s="155">
        <f>-10550</f>
        <v>-10550</v>
      </c>
      <c r="L178" s="155"/>
      <c r="M178" s="155"/>
      <c r="N178" s="155"/>
      <c r="O178" s="155"/>
      <c r="P178" s="155"/>
      <c r="Q178" s="155"/>
      <c r="R178" s="155">
        <f t="shared" si="24"/>
        <v>-10550</v>
      </c>
      <c r="S178" s="155"/>
      <c r="T178" s="155"/>
      <c r="U178" s="155"/>
      <c r="W178" s="155"/>
      <c r="X178" s="161">
        <f t="shared" si="21"/>
        <v>0</v>
      </c>
      <c r="Y178" s="237">
        <f t="shared" si="22"/>
        <v>-10550</v>
      </c>
      <c r="Z178" s="155">
        <f>10550</f>
        <v>10550</v>
      </c>
      <c r="AA178" s="353"/>
    </row>
    <row r="179" spans="1:27" ht="24" hidden="1" customHeight="1" x14ac:dyDescent="0.25">
      <c r="A179" s="18">
        <v>31</v>
      </c>
      <c r="B179" s="663" t="s">
        <v>396</v>
      </c>
      <c r="C179" s="28" t="s">
        <v>397</v>
      </c>
      <c r="D179" s="155"/>
      <c r="E179" s="155"/>
      <c r="F179" s="155"/>
      <c r="G179" s="155"/>
      <c r="H179" s="155"/>
      <c r="I179" s="155">
        <f>1000</f>
        <v>1000</v>
      </c>
      <c r="J179" s="155">
        <f>-1000</f>
        <v>-1000</v>
      </c>
      <c r="K179" s="155"/>
      <c r="L179" s="155"/>
      <c r="M179" s="155"/>
      <c r="N179" s="155"/>
      <c r="O179" s="155"/>
      <c r="P179" s="155"/>
      <c r="Q179" s="155"/>
      <c r="R179" s="155">
        <f t="shared" si="24"/>
        <v>0</v>
      </c>
      <c r="S179" s="155"/>
      <c r="T179" s="155"/>
      <c r="U179" s="155"/>
      <c r="W179" s="155"/>
      <c r="X179" s="161">
        <f t="shared" si="21"/>
        <v>0</v>
      </c>
      <c r="Y179" s="237">
        <f t="shared" si="22"/>
        <v>0</v>
      </c>
      <c r="Z179" s="155"/>
      <c r="AA179" s="353"/>
    </row>
    <row r="180" spans="1:27" ht="24" hidden="1" customHeight="1" x14ac:dyDescent="0.2">
      <c r="A180" s="82">
        <v>32</v>
      </c>
      <c r="B180" s="663" t="s">
        <v>398</v>
      </c>
      <c r="C180" s="28" t="s">
        <v>399</v>
      </c>
      <c r="D180" s="155"/>
      <c r="E180" s="155"/>
      <c r="F180" s="155"/>
      <c r="G180" s="155"/>
      <c r="H180" s="155"/>
      <c r="I180" s="155"/>
      <c r="J180" s="155"/>
      <c r="K180" s="155">
        <f>-12540</f>
        <v>-12540</v>
      </c>
      <c r="L180" s="155">
        <f>9874+2666</f>
        <v>12540</v>
      </c>
      <c r="M180" s="155"/>
      <c r="N180" s="155"/>
      <c r="O180" s="155"/>
      <c r="P180" s="155"/>
      <c r="Q180" s="155"/>
      <c r="R180" s="155">
        <f t="shared" si="24"/>
        <v>0</v>
      </c>
      <c r="S180" s="155"/>
      <c r="T180" s="155"/>
      <c r="U180" s="155"/>
      <c r="W180" s="155"/>
      <c r="X180" s="161">
        <f t="shared" si="21"/>
        <v>0</v>
      </c>
      <c r="Y180" s="237">
        <f t="shared" si="22"/>
        <v>0</v>
      </c>
      <c r="Z180" s="155"/>
      <c r="AA180" s="353"/>
    </row>
    <row r="181" spans="1:27" ht="24" hidden="1" customHeight="1" x14ac:dyDescent="0.25">
      <c r="A181" s="18">
        <v>33</v>
      </c>
      <c r="B181" s="663" t="s">
        <v>400</v>
      </c>
      <c r="C181" s="41" t="s">
        <v>286</v>
      </c>
      <c r="D181" s="155"/>
      <c r="E181" s="155"/>
      <c r="F181" s="155"/>
      <c r="G181" s="155"/>
      <c r="H181" s="155"/>
      <c r="I181" s="155"/>
      <c r="J181" s="155">
        <f>300</f>
        <v>300</v>
      </c>
      <c r="K181" s="155">
        <f>-300</f>
        <v>-300</v>
      </c>
      <c r="L181" s="155"/>
      <c r="M181" s="155"/>
      <c r="N181" s="155"/>
      <c r="O181" s="155"/>
      <c r="P181" s="155"/>
      <c r="Q181" s="155"/>
      <c r="R181" s="155">
        <f t="shared" si="24"/>
        <v>0</v>
      </c>
      <c r="S181" s="155"/>
      <c r="T181" s="155"/>
      <c r="U181" s="155"/>
      <c r="W181" s="155"/>
      <c r="X181" s="161">
        <f t="shared" si="21"/>
        <v>0</v>
      </c>
      <c r="Y181" s="237">
        <f t="shared" si="22"/>
        <v>0</v>
      </c>
      <c r="Z181" s="155"/>
      <c r="AA181" s="353"/>
    </row>
    <row r="182" spans="1:27" ht="24" hidden="1" customHeight="1" x14ac:dyDescent="0.2">
      <c r="A182" s="82">
        <v>34</v>
      </c>
      <c r="B182" s="663" t="s">
        <v>401</v>
      </c>
      <c r="C182" s="41" t="s">
        <v>286</v>
      </c>
      <c r="D182" s="155"/>
      <c r="E182" s="155"/>
      <c r="F182" s="155"/>
      <c r="G182" s="155"/>
      <c r="H182" s="155"/>
      <c r="I182" s="155"/>
      <c r="J182" s="155">
        <f>200</f>
        <v>200</v>
      </c>
      <c r="K182" s="155">
        <f>-200</f>
        <v>-200</v>
      </c>
      <c r="L182" s="155"/>
      <c r="M182" s="155"/>
      <c r="N182" s="155"/>
      <c r="O182" s="155"/>
      <c r="P182" s="155"/>
      <c r="Q182" s="155"/>
      <c r="R182" s="155">
        <f t="shared" si="24"/>
        <v>0</v>
      </c>
      <c r="S182" s="155"/>
      <c r="T182" s="155"/>
      <c r="U182" s="155"/>
      <c r="W182" s="155"/>
      <c r="X182" s="161">
        <f t="shared" si="21"/>
        <v>0</v>
      </c>
      <c r="Y182" s="237">
        <f t="shared" si="22"/>
        <v>0</v>
      </c>
      <c r="Z182" s="155"/>
      <c r="AA182" s="353"/>
    </row>
    <row r="183" spans="1:27" ht="24" hidden="1" customHeight="1" x14ac:dyDescent="0.25">
      <c r="A183" s="18">
        <v>35</v>
      </c>
      <c r="B183" s="663" t="s">
        <v>402</v>
      </c>
      <c r="C183" s="28" t="s">
        <v>403</v>
      </c>
      <c r="D183" s="155"/>
      <c r="E183" s="155"/>
      <c r="F183" s="155"/>
      <c r="G183" s="155"/>
      <c r="H183" s="155"/>
      <c r="I183" s="155"/>
      <c r="J183" s="155"/>
      <c r="K183" s="155">
        <f>-3867</f>
        <v>-3867</v>
      </c>
      <c r="L183" s="155"/>
      <c r="M183" s="155"/>
      <c r="N183" s="155"/>
      <c r="O183" s="155"/>
      <c r="P183" s="155"/>
      <c r="Q183" s="155">
        <f>3867</f>
        <v>3867</v>
      </c>
      <c r="R183" s="155">
        <f t="shared" si="24"/>
        <v>0</v>
      </c>
      <c r="S183" s="155"/>
      <c r="T183" s="155"/>
      <c r="U183" s="155"/>
      <c r="W183" s="155"/>
      <c r="X183" s="161">
        <f t="shared" si="21"/>
        <v>0</v>
      </c>
      <c r="Y183" s="237">
        <f t="shared" si="22"/>
        <v>0</v>
      </c>
      <c r="Z183" s="155"/>
      <c r="AA183" s="353"/>
    </row>
    <row r="184" spans="1:27" ht="24" hidden="1" customHeight="1" x14ac:dyDescent="0.2">
      <c r="A184" s="82">
        <v>36</v>
      </c>
      <c r="B184" s="663" t="s">
        <v>404</v>
      </c>
      <c r="C184" s="28" t="s">
        <v>405</v>
      </c>
      <c r="D184" s="155"/>
      <c r="E184" s="155"/>
      <c r="F184" s="155">
        <f>35+10</f>
        <v>45</v>
      </c>
      <c r="G184" s="155"/>
      <c r="H184" s="155"/>
      <c r="I184" s="155"/>
      <c r="J184" s="155"/>
      <c r="K184" s="155">
        <f>-9831</f>
        <v>-9831</v>
      </c>
      <c r="L184" s="155">
        <f>7705+2081</f>
        <v>9786</v>
      </c>
      <c r="M184" s="155"/>
      <c r="N184" s="155"/>
      <c r="O184" s="155"/>
      <c r="P184" s="155"/>
      <c r="Q184" s="155"/>
      <c r="R184" s="155">
        <f t="shared" si="24"/>
        <v>0</v>
      </c>
      <c r="S184" s="155"/>
      <c r="T184" s="160"/>
      <c r="U184" s="160"/>
      <c r="W184" s="155"/>
      <c r="X184" s="161">
        <f t="shared" si="21"/>
        <v>0</v>
      </c>
      <c r="Y184" s="237">
        <f t="shared" si="22"/>
        <v>0</v>
      </c>
      <c r="Z184" s="160"/>
      <c r="AA184" s="353"/>
    </row>
    <row r="185" spans="1:27" ht="24" hidden="1" customHeight="1" x14ac:dyDescent="0.25">
      <c r="A185" s="18">
        <v>37</v>
      </c>
      <c r="B185" s="663" t="s">
        <v>406</v>
      </c>
      <c r="C185" s="41" t="s">
        <v>407</v>
      </c>
      <c r="D185" s="155"/>
      <c r="E185" s="155"/>
      <c r="F185" s="155"/>
      <c r="G185" s="155"/>
      <c r="H185" s="155"/>
      <c r="I185" s="155"/>
      <c r="J185" s="155"/>
      <c r="K185" s="155"/>
      <c r="L185" s="155">
        <f>-2329-629</f>
        <v>-2958</v>
      </c>
      <c r="M185" s="155"/>
      <c r="N185" s="155"/>
      <c r="O185" s="155"/>
      <c r="P185" s="155"/>
      <c r="Q185" s="155"/>
      <c r="R185" s="155">
        <f t="shared" si="24"/>
        <v>-2958</v>
      </c>
      <c r="S185" s="155"/>
      <c r="T185" s="155"/>
      <c r="U185" s="155"/>
      <c r="V185" s="155"/>
      <c r="W185" s="155"/>
      <c r="X185" s="161">
        <f t="shared" si="21"/>
        <v>0</v>
      </c>
      <c r="Y185" s="237">
        <f t="shared" si="22"/>
        <v>-2958</v>
      </c>
      <c r="Z185" s="329">
        <f>2958</f>
        <v>2958</v>
      </c>
      <c r="AA185" s="353"/>
    </row>
    <row r="186" spans="1:27" ht="24" hidden="1" customHeight="1" x14ac:dyDescent="0.2">
      <c r="A186" s="82">
        <v>38</v>
      </c>
      <c r="B186" s="663" t="s">
        <v>408</v>
      </c>
      <c r="C186" s="28" t="s">
        <v>409</v>
      </c>
      <c r="D186" s="155"/>
      <c r="E186" s="155"/>
      <c r="F186" s="155"/>
      <c r="G186" s="155"/>
      <c r="H186" s="155"/>
      <c r="I186" s="155"/>
      <c r="J186" s="155"/>
      <c r="K186" s="155"/>
      <c r="L186" s="155">
        <f>-1939-523</f>
        <v>-2462</v>
      </c>
      <c r="M186" s="155"/>
      <c r="N186" s="155"/>
      <c r="O186" s="155"/>
      <c r="P186" s="155"/>
      <c r="Q186" s="155"/>
      <c r="R186" s="155">
        <f t="shared" si="24"/>
        <v>-2462</v>
      </c>
      <c r="S186" s="155"/>
      <c r="T186" s="155"/>
      <c r="U186" s="155"/>
      <c r="V186" s="155"/>
      <c r="W186" s="155"/>
      <c r="X186" s="161">
        <f t="shared" si="21"/>
        <v>0</v>
      </c>
      <c r="Y186" s="237">
        <f t="shared" si="22"/>
        <v>-2462</v>
      </c>
      <c r="Z186" s="329">
        <f>2462</f>
        <v>2462</v>
      </c>
      <c r="AA186" s="353"/>
    </row>
    <row r="187" spans="1:27" ht="24" hidden="1" customHeight="1" x14ac:dyDescent="0.25">
      <c r="A187" s="18">
        <v>39</v>
      </c>
      <c r="B187" s="663" t="s">
        <v>412</v>
      </c>
      <c r="C187" s="28" t="s">
        <v>413</v>
      </c>
      <c r="D187" s="155">
        <f>-3600</f>
        <v>-3600</v>
      </c>
      <c r="E187" s="155">
        <f>-792</f>
        <v>-792</v>
      </c>
      <c r="F187" s="155"/>
      <c r="G187" s="155"/>
      <c r="H187" s="155"/>
      <c r="I187" s="155"/>
      <c r="J187" s="155"/>
      <c r="K187" s="155"/>
      <c r="L187" s="155"/>
      <c r="M187" s="155"/>
      <c r="N187" s="155"/>
      <c r="O187" s="155"/>
      <c r="P187" s="155"/>
      <c r="Q187" s="155"/>
      <c r="R187" s="155">
        <f t="shared" si="24"/>
        <v>-4392</v>
      </c>
      <c r="S187" s="155"/>
      <c r="T187" s="155"/>
      <c r="U187" s="155"/>
      <c r="V187" s="155"/>
      <c r="W187" s="155"/>
      <c r="X187" s="161">
        <f t="shared" si="21"/>
        <v>0</v>
      </c>
      <c r="Y187" s="237">
        <f t="shared" si="22"/>
        <v>-4392</v>
      </c>
      <c r="Z187" s="329">
        <f>4392</f>
        <v>4392</v>
      </c>
      <c r="AA187" s="353"/>
    </row>
    <row r="188" spans="1:27" ht="24" hidden="1" customHeight="1" x14ac:dyDescent="0.2">
      <c r="A188" s="82">
        <v>40</v>
      </c>
      <c r="B188" s="663" t="s">
        <v>414</v>
      </c>
      <c r="C188" s="28" t="s">
        <v>415</v>
      </c>
      <c r="D188" s="155">
        <f>-3700</f>
        <v>-3700</v>
      </c>
      <c r="E188" s="155">
        <f>-814</f>
        <v>-814</v>
      </c>
      <c r="F188" s="155"/>
      <c r="G188" s="155"/>
      <c r="H188" s="155"/>
      <c r="I188" s="155"/>
      <c r="J188" s="155"/>
      <c r="K188" s="155"/>
      <c r="L188" s="155"/>
      <c r="M188" s="155"/>
      <c r="N188" s="155"/>
      <c r="O188" s="155"/>
      <c r="P188" s="155"/>
      <c r="Q188" s="155"/>
      <c r="R188" s="155">
        <f t="shared" si="24"/>
        <v>-4514</v>
      </c>
      <c r="S188" s="155"/>
      <c r="T188" s="155"/>
      <c r="U188" s="155"/>
      <c r="V188" s="155"/>
      <c r="W188" s="155"/>
      <c r="X188" s="161">
        <f t="shared" si="21"/>
        <v>0</v>
      </c>
      <c r="Y188" s="486">
        <f t="shared" si="22"/>
        <v>-4514</v>
      </c>
      <c r="Z188" s="329">
        <f>4514</f>
        <v>4514</v>
      </c>
      <c r="AA188" s="353"/>
    </row>
    <row r="189" spans="1:27" ht="24" hidden="1" customHeight="1" x14ac:dyDescent="0.25">
      <c r="A189" s="18">
        <v>41</v>
      </c>
      <c r="B189" s="663" t="s">
        <v>416</v>
      </c>
      <c r="C189" s="41" t="s">
        <v>417</v>
      </c>
      <c r="D189" s="155">
        <f>-200</f>
        <v>-200</v>
      </c>
      <c r="E189" s="155">
        <f>-44</f>
        <v>-44</v>
      </c>
      <c r="F189" s="155"/>
      <c r="G189" s="155"/>
      <c r="H189" s="155"/>
      <c r="I189" s="155"/>
      <c r="J189" s="155"/>
      <c r="K189" s="155"/>
      <c r="L189" s="155"/>
      <c r="M189" s="155"/>
      <c r="N189" s="155"/>
      <c r="O189" s="155"/>
      <c r="P189" s="155"/>
      <c r="Q189" s="155"/>
      <c r="R189" s="155">
        <f t="shared" si="24"/>
        <v>-244</v>
      </c>
      <c r="S189" s="155"/>
      <c r="T189" s="155"/>
      <c r="U189" s="155"/>
      <c r="V189" s="155"/>
      <c r="W189" s="155"/>
      <c r="X189" s="161">
        <f t="shared" si="21"/>
        <v>0</v>
      </c>
      <c r="Y189" s="237">
        <f t="shared" si="22"/>
        <v>-244</v>
      </c>
      <c r="Z189" s="329">
        <f>244</f>
        <v>244</v>
      </c>
      <c r="AA189" s="353"/>
    </row>
    <row r="190" spans="1:27" ht="24" hidden="1" customHeight="1" x14ac:dyDescent="0.2">
      <c r="A190" s="82">
        <v>42</v>
      </c>
      <c r="B190" s="663" t="s">
        <v>418</v>
      </c>
      <c r="C190" s="28" t="s">
        <v>419</v>
      </c>
      <c r="D190" s="155">
        <f>-1200</f>
        <v>-1200</v>
      </c>
      <c r="E190" s="155">
        <f>-264</f>
        <v>-264</v>
      </c>
      <c r="F190" s="155"/>
      <c r="G190" s="155"/>
      <c r="H190" s="155"/>
      <c r="I190" s="155"/>
      <c r="J190" s="155"/>
      <c r="K190" s="155"/>
      <c r="L190" s="155"/>
      <c r="M190" s="155"/>
      <c r="N190" s="155"/>
      <c r="O190" s="155"/>
      <c r="P190" s="155"/>
      <c r="Q190" s="155"/>
      <c r="R190" s="155">
        <f t="shared" si="24"/>
        <v>-1464</v>
      </c>
      <c r="S190" s="155"/>
      <c r="T190" s="155"/>
      <c r="U190" s="155"/>
      <c r="V190" s="155"/>
      <c r="W190" s="155"/>
      <c r="X190" s="161">
        <f t="shared" si="21"/>
        <v>0</v>
      </c>
      <c r="Y190" s="237">
        <f t="shared" si="22"/>
        <v>-1464</v>
      </c>
      <c r="Z190" s="329">
        <f>1464</f>
        <v>1464</v>
      </c>
      <c r="AA190" s="353"/>
    </row>
    <row r="191" spans="1:27" ht="24" hidden="1" customHeight="1" x14ac:dyDescent="0.25">
      <c r="A191" s="18">
        <v>43</v>
      </c>
      <c r="B191" s="663" t="s">
        <v>420</v>
      </c>
      <c r="C191" s="33" t="s">
        <v>427</v>
      </c>
      <c r="D191" s="155"/>
      <c r="E191" s="155"/>
      <c r="F191" s="155"/>
      <c r="G191" s="155"/>
      <c r="H191" s="155"/>
      <c r="I191" s="155"/>
      <c r="J191" s="155"/>
      <c r="K191" s="155">
        <f>-6600</f>
        <v>-6600</v>
      </c>
      <c r="L191" s="155"/>
      <c r="M191" s="155"/>
      <c r="N191" s="155"/>
      <c r="O191" s="155"/>
      <c r="P191" s="155"/>
      <c r="Q191" s="155"/>
      <c r="R191" s="155">
        <f t="shared" si="24"/>
        <v>-6600</v>
      </c>
      <c r="S191" s="155"/>
      <c r="T191" s="155"/>
      <c r="U191" s="155"/>
      <c r="V191" s="155"/>
      <c r="W191" s="155"/>
      <c r="X191" s="161">
        <f t="shared" si="21"/>
        <v>0</v>
      </c>
      <c r="Y191" s="237">
        <f t="shared" si="22"/>
        <v>-6600</v>
      </c>
      <c r="Z191" s="329">
        <f>6600</f>
        <v>6600</v>
      </c>
      <c r="AA191" s="353"/>
    </row>
    <row r="192" spans="1:27" ht="24" hidden="1" customHeight="1" x14ac:dyDescent="0.2">
      <c r="A192" s="82">
        <v>44</v>
      </c>
      <c r="B192" s="663" t="s">
        <v>421</v>
      </c>
      <c r="C192" s="41" t="s">
        <v>422</v>
      </c>
      <c r="D192" s="155"/>
      <c r="E192" s="155"/>
      <c r="F192" s="155"/>
      <c r="G192" s="155"/>
      <c r="H192" s="155"/>
      <c r="I192" s="155"/>
      <c r="J192" s="155"/>
      <c r="K192" s="155">
        <f>-10000</f>
        <v>-10000</v>
      </c>
      <c r="L192" s="155"/>
      <c r="M192" s="155"/>
      <c r="N192" s="155"/>
      <c r="O192" s="155"/>
      <c r="P192" s="155"/>
      <c r="Q192" s="155"/>
      <c r="R192" s="155">
        <f t="shared" si="24"/>
        <v>-10000</v>
      </c>
      <c r="S192" s="155"/>
      <c r="T192" s="155"/>
      <c r="U192" s="155"/>
      <c r="V192" s="155"/>
      <c r="W192" s="155"/>
      <c r="X192" s="161">
        <f t="shared" si="21"/>
        <v>0</v>
      </c>
      <c r="Y192" s="237">
        <f t="shared" si="22"/>
        <v>-10000</v>
      </c>
      <c r="Z192" s="329">
        <f>10000</f>
        <v>10000</v>
      </c>
      <c r="AA192" s="353"/>
    </row>
    <row r="193" spans="1:27" ht="24" hidden="1" customHeight="1" x14ac:dyDescent="0.25">
      <c r="A193" s="18">
        <v>45</v>
      </c>
      <c r="B193" s="663" t="s">
        <v>431</v>
      </c>
      <c r="C193" s="41" t="s">
        <v>430</v>
      </c>
      <c r="D193" s="155"/>
      <c r="E193" s="155"/>
      <c r="F193" s="155">
        <f>-236-64</f>
        <v>-300</v>
      </c>
      <c r="G193" s="155"/>
      <c r="H193" s="155"/>
      <c r="I193" s="155"/>
      <c r="J193" s="155"/>
      <c r="K193" s="155"/>
      <c r="L193" s="155"/>
      <c r="M193" s="155">
        <f>236+64</f>
        <v>300</v>
      </c>
      <c r="N193" s="155"/>
      <c r="O193" s="155"/>
      <c r="P193" s="155"/>
      <c r="Q193" s="155"/>
      <c r="R193" s="155">
        <f t="shared" si="24"/>
        <v>0</v>
      </c>
      <c r="S193" s="155"/>
      <c r="T193" s="155"/>
      <c r="U193" s="155"/>
      <c r="V193" s="155"/>
      <c r="W193" s="155"/>
      <c r="X193" s="161">
        <f t="shared" si="21"/>
        <v>0</v>
      </c>
      <c r="Y193" s="237">
        <f t="shared" si="22"/>
        <v>0</v>
      </c>
      <c r="Z193" s="329"/>
      <c r="AA193" s="353"/>
    </row>
    <row r="194" spans="1:27" ht="24" hidden="1" customHeight="1" x14ac:dyDescent="0.2">
      <c r="A194" s="82">
        <v>46</v>
      </c>
      <c r="B194" s="663" t="s">
        <v>432</v>
      </c>
      <c r="C194" s="41" t="s">
        <v>433</v>
      </c>
      <c r="D194" s="155"/>
      <c r="E194" s="155"/>
      <c r="F194" s="155">
        <f>-2280-616</f>
        <v>-2896</v>
      </c>
      <c r="G194" s="155"/>
      <c r="H194" s="155"/>
      <c r="I194" s="155"/>
      <c r="J194" s="155"/>
      <c r="K194" s="155"/>
      <c r="L194" s="155">
        <f>2280+616</f>
        <v>2896</v>
      </c>
      <c r="M194" s="155"/>
      <c r="N194" s="155"/>
      <c r="O194" s="155"/>
      <c r="P194" s="155"/>
      <c r="Q194" s="155"/>
      <c r="R194" s="155">
        <f t="shared" si="24"/>
        <v>0</v>
      </c>
      <c r="S194" s="155"/>
      <c r="T194" s="155"/>
      <c r="U194" s="155"/>
      <c r="V194" s="155"/>
      <c r="W194" s="155"/>
      <c r="X194" s="161">
        <f t="shared" si="21"/>
        <v>0</v>
      </c>
      <c r="Y194" s="237">
        <f t="shared" si="22"/>
        <v>0</v>
      </c>
      <c r="Z194" s="329"/>
      <c r="AA194" s="353"/>
    </row>
    <row r="195" spans="1:27" ht="24" hidden="1" customHeight="1" x14ac:dyDescent="0.25">
      <c r="A195" s="18">
        <v>47</v>
      </c>
      <c r="B195" s="669" t="s">
        <v>423</v>
      </c>
      <c r="C195" s="41" t="s">
        <v>424</v>
      </c>
      <c r="D195" s="155">
        <f>-2178.8</f>
        <v>-2178.8000000000002</v>
      </c>
      <c r="E195" s="155">
        <f>-479.336</f>
        <v>-479.33600000000001</v>
      </c>
      <c r="F195" s="155"/>
      <c r="G195" s="155"/>
      <c r="H195" s="155"/>
      <c r="I195" s="155"/>
      <c r="J195" s="155"/>
      <c r="K195" s="155"/>
      <c r="L195" s="155"/>
      <c r="M195" s="155"/>
      <c r="N195" s="155"/>
      <c r="O195" s="155"/>
      <c r="P195" s="155"/>
      <c r="Q195" s="155"/>
      <c r="R195" s="155">
        <f t="shared" si="24"/>
        <v>-2658.1360000000004</v>
      </c>
      <c r="S195" s="155"/>
      <c r="T195" s="155"/>
      <c r="U195" s="155"/>
      <c r="V195" s="155"/>
      <c r="W195" s="155"/>
      <c r="X195" s="161">
        <f t="shared" si="21"/>
        <v>0</v>
      </c>
      <c r="Y195" s="237">
        <f t="shared" si="22"/>
        <v>-2658.1360000000004</v>
      </c>
      <c r="Z195" s="329">
        <f>2658.136</f>
        <v>2658.136</v>
      </c>
      <c r="AA195" s="353"/>
    </row>
    <row r="196" spans="1:27" ht="24" hidden="1" customHeight="1" x14ac:dyDescent="0.2">
      <c r="A196" s="82">
        <v>48</v>
      </c>
      <c r="B196" s="669" t="s">
        <v>425</v>
      </c>
      <c r="C196" s="28" t="s">
        <v>426</v>
      </c>
      <c r="D196" s="155"/>
      <c r="E196" s="155"/>
      <c r="F196" s="155">
        <f>-1291</f>
        <v>-1291</v>
      </c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55">
        <f t="shared" si="24"/>
        <v>-1291</v>
      </c>
      <c r="S196" s="155"/>
      <c r="T196" s="155"/>
      <c r="U196" s="155"/>
      <c r="V196" s="155"/>
      <c r="W196" s="155"/>
      <c r="X196" s="161">
        <f t="shared" si="21"/>
        <v>0</v>
      </c>
      <c r="Y196" s="237">
        <f t="shared" si="22"/>
        <v>-1291</v>
      </c>
      <c r="Z196" s="329">
        <f>1291</f>
        <v>1291</v>
      </c>
      <c r="AA196" s="353"/>
    </row>
    <row r="197" spans="1:27" ht="24" hidden="1" customHeight="1" x14ac:dyDescent="0.25">
      <c r="A197" s="18">
        <v>49</v>
      </c>
      <c r="B197" s="669" t="s">
        <v>434</v>
      </c>
      <c r="C197" s="28" t="s">
        <v>249</v>
      </c>
      <c r="D197" s="155"/>
      <c r="E197" s="155"/>
      <c r="F197" s="155">
        <f>378</f>
        <v>378</v>
      </c>
      <c r="G197" s="155"/>
      <c r="H197" s="155"/>
      <c r="I197" s="155"/>
      <c r="J197" s="155"/>
      <c r="K197" s="155">
        <f>1400</f>
        <v>1400</v>
      </c>
      <c r="L197" s="155"/>
      <c r="M197" s="155"/>
      <c r="N197" s="155"/>
      <c r="O197" s="155"/>
      <c r="P197" s="155"/>
      <c r="Q197" s="155"/>
      <c r="R197" s="155">
        <f t="shared" si="24"/>
        <v>1778</v>
      </c>
      <c r="S197" s="155"/>
      <c r="T197" s="160"/>
      <c r="U197" s="160"/>
      <c r="V197" s="160"/>
      <c r="W197" s="155"/>
      <c r="X197" s="161">
        <f t="shared" si="21"/>
        <v>0</v>
      </c>
      <c r="Y197" s="237">
        <f t="shared" si="22"/>
        <v>1778</v>
      </c>
      <c r="Z197" s="329"/>
      <c r="AA197" s="353"/>
    </row>
    <row r="198" spans="1:27" ht="24" hidden="1" customHeight="1" x14ac:dyDescent="0.2">
      <c r="A198" s="82">
        <v>50</v>
      </c>
      <c r="B198" s="669" t="s">
        <v>435</v>
      </c>
      <c r="C198" s="41" t="s">
        <v>436</v>
      </c>
      <c r="D198" s="155"/>
      <c r="E198" s="155"/>
      <c r="F198" s="155">
        <f>-310-84</f>
        <v>-394</v>
      </c>
      <c r="G198" s="155"/>
      <c r="H198" s="155"/>
      <c r="I198" s="155"/>
      <c r="J198" s="155"/>
      <c r="K198" s="155"/>
      <c r="L198" s="155">
        <f>310+84</f>
        <v>394</v>
      </c>
      <c r="M198" s="155"/>
      <c r="N198" s="155"/>
      <c r="O198" s="155"/>
      <c r="P198" s="155"/>
      <c r="Q198" s="155"/>
      <c r="R198" s="155">
        <f t="shared" si="24"/>
        <v>0</v>
      </c>
      <c r="S198" s="155"/>
      <c r="T198" s="155"/>
      <c r="U198" s="155"/>
      <c r="V198" s="155"/>
      <c r="W198" s="155"/>
      <c r="X198" s="161">
        <f t="shared" si="21"/>
        <v>0</v>
      </c>
      <c r="Y198" s="237">
        <f t="shared" si="22"/>
        <v>0</v>
      </c>
      <c r="Z198" s="329"/>
      <c r="AA198" s="353"/>
    </row>
    <row r="199" spans="1:27" ht="24" hidden="1" customHeight="1" x14ac:dyDescent="0.25">
      <c r="A199" s="18">
        <v>51</v>
      </c>
      <c r="B199" s="669" t="s">
        <v>437</v>
      </c>
      <c r="C199" s="41" t="s">
        <v>286</v>
      </c>
      <c r="D199" s="155"/>
      <c r="E199" s="155"/>
      <c r="F199" s="155"/>
      <c r="G199" s="155"/>
      <c r="H199" s="155"/>
      <c r="I199" s="155"/>
      <c r="J199" s="155">
        <f>50</f>
        <v>50</v>
      </c>
      <c r="K199" s="155">
        <f>-50</f>
        <v>-50</v>
      </c>
      <c r="L199" s="155"/>
      <c r="M199" s="155"/>
      <c r="N199" s="155"/>
      <c r="O199" s="155"/>
      <c r="P199" s="155"/>
      <c r="Q199" s="155"/>
      <c r="R199" s="155">
        <f t="shared" si="24"/>
        <v>0</v>
      </c>
      <c r="S199" s="155"/>
      <c r="T199" s="155"/>
      <c r="U199" s="155"/>
      <c r="V199" s="155"/>
      <c r="W199" s="155"/>
      <c r="X199" s="161">
        <f t="shared" si="21"/>
        <v>0</v>
      </c>
      <c r="Y199" s="237">
        <f t="shared" si="22"/>
        <v>0</v>
      </c>
      <c r="Z199" s="329"/>
      <c r="AA199" s="353"/>
    </row>
    <row r="200" spans="1:27" ht="24" hidden="1" customHeight="1" x14ac:dyDescent="0.2">
      <c r="A200" s="82">
        <v>52</v>
      </c>
      <c r="B200" s="663" t="s">
        <v>438</v>
      </c>
      <c r="C200" s="28" t="s">
        <v>352</v>
      </c>
      <c r="D200" s="155">
        <f>-432</f>
        <v>-432</v>
      </c>
      <c r="E200" s="155">
        <f>-95</f>
        <v>-95</v>
      </c>
      <c r="F200" s="155">
        <f>468+59</f>
        <v>527</v>
      </c>
      <c r="G200" s="155"/>
      <c r="H200" s="155"/>
      <c r="I200" s="155"/>
      <c r="J200" s="155"/>
      <c r="K200" s="155"/>
      <c r="L200" s="155"/>
      <c r="M200" s="155"/>
      <c r="N200" s="155"/>
      <c r="O200" s="155"/>
      <c r="P200" s="155"/>
      <c r="Q200" s="155"/>
      <c r="R200" s="155">
        <f t="shared" si="24"/>
        <v>0</v>
      </c>
      <c r="S200" s="155"/>
      <c r="T200" s="155"/>
      <c r="U200" s="155"/>
      <c r="V200" s="155"/>
      <c r="W200" s="155"/>
      <c r="X200" s="161">
        <f t="shared" si="21"/>
        <v>0</v>
      </c>
      <c r="Y200" s="237">
        <f t="shared" si="22"/>
        <v>0</v>
      </c>
      <c r="Z200" s="329"/>
      <c r="AA200" s="353"/>
    </row>
    <row r="201" spans="1:27" ht="24" hidden="1" customHeight="1" x14ac:dyDescent="0.25">
      <c r="A201" s="18">
        <v>53</v>
      </c>
      <c r="B201" s="663" t="s">
        <v>447</v>
      </c>
      <c r="C201" s="28" t="s">
        <v>446</v>
      </c>
      <c r="D201" s="155"/>
      <c r="E201" s="155"/>
      <c r="F201" s="155"/>
      <c r="G201" s="155"/>
      <c r="H201" s="155"/>
      <c r="I201" s="155"/>
      <c r="J201" s="155"/>
      <c r="K201" s="155">
        <f>2118.422</f>
        <v>2118.422</v>
      </c>
      <c r="L201" s="355"/>
      <c r="M201" s="155"/>
      <c r="N201" s="155"/>
      <c r="O201" s="155"/>
      <c r="P201" s="155"/>
      <c r="Q201" s="155"/>
      <c r="R201" s="155">
        <f t="shared" si="24"/>
        <v>2118.422</v>
      </c>
      <c r="S201" s="155"/>
      <c r="T201" s="155"/>
      <c r="U201" s="155"/>
      <c r="V201" s="155"/>
      <c r="W201" s="155"/>
      <c r="X201" s="161">
        <f t="shared" si="21"/>
        <v>0</v>
      </c>
      <c r="Y201" s="237">
        <f t="shared" si="22"/>
        <v>2118.422</v>
      </c>
      <c r="Z201" s="329"/>
      <c r="AA201" s="353"/>
    </row>
    <row r="202" spans="1:27" ht="24" hidden="1" customHeight="1" x14ac:dyDescent="0.2">
      <c r="A202" s="82">
        <v>54</v>
      </c>
      <c r="B202" s="663" t="s">
        <v>448</v>
      </c>
      <c r="C202" s="28" t="s">
        <v>449</v>
      </c>
      <c r="D202" s="155"/>
      <c r="E202" s="155"/>
      <c r="F202" s="155"/>
      <c r="G202" s="155"/>
      <c r="H202" s="155"/>
      <c r="I202" s="155"/>
      <c r="J202" s="155"/>
      <c r="K202" s="155">
        <f>100</f>
        <v>100</v>
      </c>
      <c r="L202" s="355"/>
      <c r="M202" s="155"/>
      <c r="N202" s="155"/>
      <c r="O202" s="155"/>
      <c r="P202" s="155"/>
      <c r="Q202" s="155"/>
      <c r="R202" s="155">
        <f t="shared" si="24"/>
        <v>100</v>
      </c>
      <c r="S202" s="155"/>
      <c r="T202" s="155"/>
      <c r="U202" s="155"/>
      <c r="V202" s="155"/>
      <c r="W202" s="155"/>
      <c r="X202" s="161">
        <f t="shared" si="21"/>
        <v>0</v>
      </c>
      <c r="Y202" s="237">
        <f t="shared" si="22"/>
        <v>100</v>
      </c>
      <c r="Z202" s="329"/>
      <c r="AA202" s="353"/>
    </row>
    <row r="203" spans="1:27" ht="24" hidden="1" customHeight="1" x14ac:dyDescent="0.25">
      <c r="A203" s="18">
        <v>55</v>
      </c>
      <c r="B203" s="669" t="s">
        <v>441</v>
      </c>
      <c r="C203" s="28" t="s">
        <v>442</v>
      </c>
      <c r="D203" s="155"/>
      <c r="E203" s="155"/>
      <c r="F203" s="155">
        <f>2957.193+798.442</f>
        <v>3755.6350000000002</v>
      </c>
      <c r="G203" s="155"/>
      <c r="H203" s="155"/>
      <c r="I203" s="155"/>
      <c r="J203" s="155"/>
      <c r="K203" s="155"/>
      <c r="M203" s="155"/>
      <c r="N203" s="155"/>
      <c r="O203" s="155"/>
      <c r="P203" s="155"/>
      <c r="Q203" s="155"/>
      <c r="R203" s="155">
        <f t="shared" si="24"/>
        <v>3755.6350000000002</v>
      </c>
      <c r="S203" s="155"/>
      <c r="T203" s="160"/>
      <c r="U203" s="160"/>
      <c r="V203" s="160"/>
      <c r="W203" s="155"/>
      <c r="X203" s="161">
        <f t="shared" si="21"/>
        <v>0</v>
      </c>
      <c r="Y203" s="237">
        <f t="shared" si="22"/>
        <v>3755.6350000000002</v>
      </c>
      <c r="Z203" s="329"/>
      <c r="AA203" s="353"/>
    </row>
    <row r="204" spans="1:27" ht="24" hidden="1" customHeight="1" x14ac:dyDescent="0.2">
      <c r="A204" s="82">
        <v>56</v>
      </c>
      <c r="B204" s="663" t="s">
        <v>441</v>
      </c>
      <c r="C204" s="28" t="s">
        <v>443</v>
      </c>
      <c r="D204" s="155"/>
      <c r="E204" s="155"/>
      <c r="F204" s="155">
        <f>-4405.512-1189.488</f>
        <v>-5595</v>
      </c>
      <c r="G204" s="155"/>
      <c r="H204" s="155"/>
      <c r="I204" s="155"/>
      <c r="J204" s="155"/>
      <c r="K204" s="155"/>
      <c r="L204" s="155">
        <f>-3937-1063</f>
        <v>-5000</v>
      </c>
      <c r="M204" s="155"/>
      <c r="N204" s="155"/>
      <c r="O204" s="155"/>
      <c r="P204" s="155"/>
      <c r="Q204" s="155"/>
      <c r="R204" s="155">
        <f t="shared" si="24"/>
        <v>-10595</v>
      </c>
      <c r="S204" s="155"/>
      <c r="T204" s="155"/>
      <c r="U204" s="155"/>
      <c r="V204" s="155"/>
      <c r="W204" s="155"/>
      <c r="X204" s="161">
        <f t="shared" si="21"/>
        <v>0</v>
      </c>
      <c r="Y204" s="237">
        <f t="shared" si="22"/>
        <v>-10595</v>
      </c>
      <c r="Z204" s="329">
        <f>5375+5220</f>
        <v>10595</v>
      </c>
      <c r="AA204" s="353"/>
    </row>
    <row r="205" spans="1:27" ht="24" hidden="1" customHeight="1" x14ac:dyDescent="0.25">
      <c r="A205" s="18">
        <v>57</v>
      </c>
      <c r="B205" s="669" t="s">
        <v>451</v>
      </c>
      <c r="C205" s="41" t="s">
        <v>452</v>
      </c>
      <c r="D205" s="155">
        <f>-180</f>
        <v>-180</v>
      </c>
      <c r="E205" s="155"/>
      <c r="F205" s="155">
        <f>180</f>
        <v>180</v>
      </c>
      <c r="G205" s="155"/>
      <c r="H205" s="155"/>
      <c r="I205" s="155"/>
      <c r="J205" s="155"/>
      <c r="K205" s="155"/>
      <c r="L205" s="155"/>
      <c r="M205" s="155"/>
      <c r="N205" s="155"/>
      <c r="O205" s="155"/>
      <c r="P205" s="155"/>
      <c r="Q205" s="155"/>
      <c r="R205" s="155">
        <f t="shared" si="24"/>
        <v>0</v>
      </c>
      <c r="S205" s="155"/>
      <c r="T205" s="160"/>
      <c r="U205" s="160"/>
      <c r="V205" s="160"/>
      <c r="W205" s="155"/>
      <c r="X205" s="161">
        <f t="shared" si="21"/>
        <v>0</v>
      </c>
      <c r="Y205" s="237">
        <f t="shared" si="22"/>
        <v>0</v>
      </c>
      <c r="Z205" s="329"/>
      <c r="AA205" s="353"/>
    </row>
    <row r="206" spans="1:27" ht="24" hidden="1" customHeight="1" x14ac:dyDescent="0.2">
      <c r="A206" s="82">
        <v>58</v>
      </c>
      <c r="B206" s="669" t="s">
        <v>453</v>
      </c>
      <c r="C206" s="28" t="s">
        <v>454</v>
      </c>
      <c r="D206" s="155"/>
      <c r="E206" s="155"/>
      <c r="F206" s="155"/>
      <c r="G206" s="155"/>
      <c r="H206" s="155"/>
      <c r="I206" s="155"/>
      <c r="J206" s="155"/>
      <c r="K206" s="155">
        <f>8181</f>
        <v>8181</v>
      </c>
      <c r="L206" s="155"/>
      <c r="M206" s="155"/>
      <c r="N206" s="155"/>
      <c r="O206" s="155"/>
      <c r="P206" s="155"/>
      <c r="Q206" s="155"/>
      <c r="R206" s="155">
        <f t="shared" si="24"/>
        <v>8181</v>
      </c>
      <c r="S206" s="155"/>
      <c r="T206" s="155"/>
      <c r="U206" s="155"/>
      <c r="V206" s="155"/>
      <c r="W206" s="155"/>
      <c r="X206" s="161">
        <f t="shared" si="21"/>
        <v>0</v>
      </c>
      <c r="Y206" s="237">
        <f t="shared" si="22"/>
        <v>8181</v>
      </c>
      <c r="Z206" s="329"/>
      <c r="AA206" s="353"/>
    </row>
    <row r="207" spans="1:27" ht="24" hidden="1" customHeight="1" x14ac:dyDescent="0.25">
      <c r="A207" s="18">
        <v>59</v>
      </c>
      <c r="B207" s="663" t="s">
        <v>455</v>
      </c>
      <c r="C207" s="33" t="s">
        <v>456</v>
      </c>
      <c r="D207" s="155"/>
      <c r="E207" s="155"/>
      <c r="F207" s="155"/>
      <c r="G207" s="155"/>
      <c r="H207" s="155"/>
      <c r="I207" s="155"/>
      <c r="J207" s="155"/>
      <c r="K207" s="155">
        <f>4249</f>
        <v>4249</v>
      </c>
      <c r="L207" s="155"/>
      <c r="M207" s="155"/>
      <c r="N207" s="155"/>
      <c r="O207" s="155"/>
      <c r="P207" s="155"/>
      <c r="Q207" s="155"/>
      <c r="R207" s="155">
        <f t="shared" si="24"/>
        <v>4249</v>
      </c>
      <c r="S207" s="155"/>
      <c r="T207" s="155"/>
      <c r="U207" s="155"/>
      <c r="V207" s="155"/>
      <c r="W207" s="155"/>
      <c r="X207" s="161">
        <f t="shared" si="21"/>
        <v>0</v>
      </c>
      <c r="Y207" s="237">
        <f t="shared" si="22"/>
        <v>4249</v>
      </c>
      <c r="Z207" s="329"/>
      <c r="AA207" s="353"/>
    </row>
    <row r="208" spans="1:27" ht="24" hidden="1" customHeight="1" x14ac:dyDescent="0.2">
      <c r="A208" s="82">
        <v>60</v>
      </c>
      <c r="B208" s="516" t="s">
        <v>458</v>
      </c>
      <c r="C208" s="28" t="s">
        <v>457</v>
      </c>
      <c r="D208" s="155"/>
      <c r="E208" s="155"/>
      <c r="F208" s="155"/>
      <c r="G208" s="155"/>
      <c r="H208" s="155"/>
      <c r="I208" s="155"/>
      <c r="J208" s="155"/>
      <c r="K208" s="155">
        <f>5503.915</f>
        <v>5503.915</v>
      </c>
      <c r="L208" s="155"/>
      <c r="M208" s="155"/>
      <c r="N208" s="155"/>
      <c r="O208" s="155"/>
      <c r="P208" s="155"/>
      <c r="Q208" s="155"/>
      <c r="R208" s="155">
        <f t="shared" si="24"/>
        <v>5503.915</v>
      </c>
      <c r="S208" s="155"/>
      <c r="T208" s="155"/>
      <c r="U208" s="155"/>
      <c r="V208" s="155"/>
      <c r="W208" s="155"/>
      <c r="X208" s="161">
        <f t="shared" si="21"/>
        <v>0</v>
      </c>
      <c r="Y208" s="237">
        <f t="shared" si="22"/>
        <v>5503.915</v>
      </c>
      <c r="Z208" s="329"/>
      <c r="AA208" s="353"/>
    </row>
    <row r="209" spans="1:27" ht="24" hidden="1" customHeight="1" x14ac:dyDescent="0.25">
      <c r="A209" s="18">
        <v>61</v>
      </c>
      <c r="B209" s="516" t="s">
        <v>460</v>
      </c>
      <c r="C209" s="28" t="s">
        <v>459</v>
      </c>
      <c r="D209" s="155"/>
      <c r="E209" s="155"/>
      <c r="F209" s="155"/>
      <c r="G209" s="155"/>
      <c r="H209" s="155"/>
      <c r="I209" s="155">
        <v>7121</v>
      </c>
      <c r="J209" s="155"/>
      <c r="K209" s="155">
        <v>-7121</v>
      </c>
      <c r="L209" s="155"/>
      <c r="M209" s="155"/>
      <c r="N209" s="155"/>
      <c r="O209" s="155"/>
      <c r="P209" s="155"/>
      <c r="Q209" s="155"/>
      <c r="R209" s="155">
        <f t="shared" si="24"/>
        <v>0</v>
      </c>
      <c r="S209" s="155"/>
      <c r="T209" s="155"/>
      <c r="U209" s="155"/>
      <c r="V209" s="155"/>
      <c r="W209" s="155"/>
      <c r="X209" s="161">
        <f t="shared" si="21"/>
        <v>0</v>
      </c>
      <c r="Y209" s="237">
        <f t="shared" si="22"/>
        <v>0</v>
      </c>
      <c r="Z209" s="329"/>
      <c r="AA209" s="353"/>
    </row>
    <row r="210" spans="1:27" ht="24" hidden="1" customHeight="1" x14ac:dyDescent="0.2">
      <c r="A210" s="82">
        <v>62</v>
      </c>
      <c r="B210" s="677" t="s">
        <v>461</v>
      </c>
      <c r="C210" s="33" t="s">
        <v>462</v>
      </c>
      <c r="D210" s="155"/>
      <c r="E210" s="155"/>
      <c r="F210" s="155">
        <v>4948</v>
      </c>
      <c r="G210" s="155"/>
      <c r="H210" s="155"/>
      <c r="I210" s="155"/>
      <c r="J210" s="155"/>
      <c r="K210" s="155"/>
      <c r="L210" s="155"/>
      <c r="M210" s="155"/>
      <c r="N210" s="155"/>
      <c r="O210" s="155"/>
      <c r="P210" s="155"/>
      <c r="Q210" s="155"/>
      <c r="R210" s="155">
        <f t="shared" si="24"/>
        <v>4948</v>
      </c>
      <c r="S210" s="155"/>
      <c r="T210" s="155"/>
      <c r="U210" s="155">
        <v>-4948</v>
      </c>
      <c r="V210" s="155"/>
      <c r="W210" s="155"/>
      <c r="X210" s="161">
        <f t="shared" si="21"/>
        <v>-4948</v>
      </c>
      <c r="Y210" s="237">
        <f t="shared" si="22"/>
        <v>0</v>
      </c>
      <c r="Z210" s="329"/>
      <c r="AA210" s="353"/>
    </row>
    <row r="211" spans="1:27" ht="24" hidden="1" customHeight="1" x14ac:dyDescent="0.25">
      <c r="A211" s="18">
        <v>63</v>
      </c>
      <c r="B211" s="670" t="s">
        <v>479</v>
      </c>
      <c r="C211" s="33" t="s">
        <v>480</v>
      </c>
      <c r="D211" s="155"/>
      <c r="E211" s="155"/>
      <c r="F211" s="155"/>
      <c r="G211" s="155"/>
      <c r="H211" s="155"/>
      <c r="I211" s="155"/>
      <c r="J211" s="155"/>
      <c r="K211" s="155">
        <f>-800</f>
        <v>-800</v>
      </c>
      <c r="L211" s="155">
        <f>630+170</f>
        <v>800</v>
      </c>
      <c r="M211" s="155"/>
      <c r="N211" s="155"/>
      <c r="O211" s="155"/>
      <c r="P211" s="155"/>
      <c r="Q211" s="155"/>
      <c r="R211" s="155">
        <f t="shared" si="24"/>
        <v>0</v>
      </c>
      <c r="S211" s="155"/>
      <c r="T211" s="155"/>
      <c r="U211" s="155"/>
      <c r="V211" s="155"/>
      <c r="W211" s="155"/>
      <c r="X211" s="161">
        <f t="shared" si="21"/>
        <v>0</v>
      </c>
      <c r="Y211" s="237">
        <f t="shared" si="22"/>
        <v>0</v>
      </c>
      <c r="Z211" s="329"/>
      <c r="AA211" s="353"/>
    </row>
    <row r="212" spans="1:27" ht="24" hidden="1" customHeight="1" x14ac:dyDescent="0.2">
      <c r="A212" s="82">
        <v>64</v>
      </c>
      <c r="B212" s="670" t="s">
        <v>474</v>
      </c>
      <c r="C212" s="33" t="s">
        <v>475</v>
      </c>
      <c r="D212" s="155"/>
      <c r="E212" s="155"/>
      <c r="F212" s="155">
        <f>-3285.142</f>
        <v>-3285.1419999999998</v>
      </c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55">
        <f t="shared" si="24"/>
        <v>-3285.1419999999998</v>
      </c>
      <c r="S212" s="155"/>
      <c r="T212" s="155"/>
      <c r="U212" s="155"/>
      <c r="V212" s="155"/>
      <c r="W212" s="155"/>
      <c r="X212" s="161">
        <f t="shared" si="21"/>
        <v>0</v>
      </c>
      <c r="Y212" s="237">
        <f t="shared" si="22"/>
        <v>-3285.1419999999998</v>
      </c>
      <c r="Z212" s="329">
        <f>3285.142</f>
        <v>3285.1419999999998</v>
      </c>
      <c r="AA212" s="353"/>
    </row>
    <row r="213" spans="1:27" ht="24" hidden="1" customHeight="1" x14ac:dyDescent="0.25">
      <c r="A213" s="18">
        <v>65</v>
      </c>
      <c r="B213" s="670" t="s">
        <v>473</v>
      </c>
      <c r="C213" s="33" t="s">
        <v>476</v>
      </c>
      <c r="D213" s="155"/>
      <c r="E213" s="155"/>
      <c r="F213" s="155">
        <f>-381-480-189-645.75</f>
        <v>-1695.75</v>
      </c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5"/>
      <c r="R213" s="155">
        <f t="shared" si="24"/>
        <v>-1695.75</v>
      </c>
      <c r="S213" s="155"/>
      <c r="T213" s="155"/>
      <c r="U213" s="155"/>
      <c r="V213" s="155"/>
      <c r="W213" s="155"/>
      <c r="X213" s="161">
        <f t="shared" si="21"/>
        <v>0</v>
      </c>
      <c r="Y213" s="237">
        <f t="shared" si="22"/>
        <v>-1695.75</v>
      </c>
      <c r="Z213" s="329">
        <f>1695.75</f>
        <v>1695.75</v>
      </c>
      <c r="AA213" s="353"/>
    </row>
    <row r="214" spans="1:27" ht="24" hidden="1" customHeight="1" x14ac:dyDescent="0.2">
      <c r="A214" s="82">
        <v>66</v>
      </c>
      <c r="B214" s="670" t="s">
        <v>465</v>
      </c>
      <c r="C214" s="33" t="s">
        <v>466</v>
      </c>
      <c r="D214" s="155"/>
      <c r="E214" s="155"/>
      <c r="F214" s="155"/>
      <c r="G214" s="155"/>
      <c r="H214" s="155"/>
      <c r="I214" s="155"/>
      <c r="J214" s="155"/>
      <c r="K214" s="155"/>
      <c r="L214" s="155">
        <f>-2337-631</f>
        <v>-2968</v>
      </c>
      <c r="M214" s="155"/>
      <c r="N214" s="155"/>
      <c r="O214" s="155"/>
      <c r="P214" s="155"/>
      <c r="Q214" s="155"/>
      <c r="R214" s="155">
        <f t="shared" si="24"/>
        <v>-2968</v>
      </c>
      <c r="S214" s="155"/>
      <c r="T214" s="155"/>
      <c r="U214" s="155"/>
      <c r="V214" s="155"/>
      <c r="W214" s="155"/>
      <c r="X214" s="161">
        <f t="shared" si="21"/>
        <v>0</v>
      </c>
      <c r="Y214" s="237">
        <f t="shared" si="22"/>
        <v>-2968</v>
      </c>
      <c r="Z214" s="329">
        <f>2968</f>
        <v>2968</v>
      </c>
      <c r="AA214" s="353"/>
    </row>
    <row r="215" spans="1:27" ht="24" hidden="1" customHeight="1" x14ac:dyDescent="0.25">
      <c r="A215" s="18">
        <v>67</v>
      </c>
      <c r="B215" s="670" t="s">
        <v>467</v>
      </c>
      <c r="C215" s="33" t="s">
        <v>468</v>
      </c>
      <c r="D215" s="155"/>
      <c r="E215" s="155"/>
      <c r="F215" s="155"/>
      <c r="G215" s="155"/>
      <c r="H215" s="155"/>
      <c r="I215" s="155"/>
      <c r="J215" s="155"/>
      <c r="K215" s="155"/>
      <c r="L215" s="155">
        <f>-1754-474</f>
        <v>-2228</v>
      </c>
      <c r="M215" s="155"/>
      <c r="N215" s="155"/>
      <c r="O215" s="155"/>
      <c r="P215" s="155"/>
      <c r="Q215" s="155"/>
      <c r="R215" s="155">
        <f t="shared" si="24"/>
        <v>-2228</v>
      </c>
      <c r="S215" s="155"/>
      <c r="T215" s="155"/>
      <c r="U215" s="155"/>
      <c r="V215" s="155"/>
      <c r="W215" s="155"/>
      <c r="X215" s="161">
        <f t="shared" si="21"/>
        <v>0</v>
      </c>
      <c r="Y215" s="237">
        <f t="shared" si="22"/>
        <v>-2228</v>
      </c>
      <c r="Z215" s="329">
        <f>2228</f>
        <v>2228</v>
      </c>
      <c r="AA215" s="353"/>
    </row>
    <row r="216" spans="1:27" ht="24" hidden="1" customHeight="1" x14ac:dyDescent="0.2">
      <c r="A216" s="82">
        <v>68</v>
      </c>
      <c r="B216" s="670" t="s">
        <v>469</v>
      </c>
      <c r="C216" s="33" t="s">
        <v>470</v>
      </c>
      <c r="D216" s="155"/>
      <c r="E216" s="155"/>
      <c r="F216" s="155"/>
      <c r="G216" s="155"/>
      <c r="H216" s="155"/>
      <c r="I216" s="155"/>
      <c r="J216" s="155"/>
      <c r="K216" s="155"/>
      <c r="L216" s="155">
        <f>-2506-676</f>
        <v>-3182</v>
      </c>
      <c r="M216" s="155"/>
      <c r="N216" s="155"/>
      <c r="O216" s="155"/>
      <c r="P216" s="155"/>
      <c r="Q216" s="155"/>
      <c r="R216" s="155">
        <f t="shared" si="24"/>
        <v>-3182</v>
      </c>
      <c r="S216" s="155"/>
      <c r="T216" s="155"/>
      <c r="U216" s="155"/>
      <c r="V216" s="155"/>
      <c r="W216" s="155"/>
      <c r="X216" s="161">
        <f t="shared" si="21"/>
        <v>0</v>
      </c>
      <c r="Y216" s="237">
        <f t="shared" si="22"/>
        <v>-3182</v>
      </c>
      <c r="Z216" s="329">
        <f>3182</f>
        <v>3182</v>
      </c>
      <c r="AA216" s="353"/>
    </row>
    <row r="217" spans="1:27" ht="24" hidden="1" customHeight="1" x14ac:dyDescent="0.25">
      <c r="A217" s="18">
        <v>69</v>
      </c>
      <c r="B217" s="670" t="s">
        <v>471</v>
      </c>
      <c r="C217" s="34" t="s">
        <v>472</v>
      </c>
      <c r="D217" s="155"/>
      <c r="E217" s="155"/>
      <c r="F217" s="155"/>
      <c r="G217" s="155"/>
      <c r="H217" s="155"/>
      <c r="I217" s="155"/>
      <c r="J217" s="155"/>
      <c r="K217" s="155">
        <f>-3405</f>
        <v>-3405</v>
      </c>
      <c r="L217" s="155"/>
      <c r="M217" s="155"/>
      <c r="N217" s="155"/>
      <c r="O217" s="155"/>
      <c r="P217" s="155"/>
      <c r="Q217" s="155"/>
      <c r="R217" s="155">
        <f t="shared" si="24"/>
        <v>-3405</v>
      </c>
      <c r="S217" s="155"/>
      <c r="T217" s="155"/>
      <c r="U217" s="155"/>
      <c r="V217" s="155"/>
      <c r="W217" s="155"/>
      <c r="X217" s="161">
        <f t="shared" si="21"/>
        <v>0</v>
      </c>
      <c r="Y217" s="237">
        <f t="shared" si="22"/>
        <v>-3405</v>
      </c>
      <c r="Z217" s="329">
        <f>3405</f>
        <v>3405</v>
      </c>
      <c r="AA217" s="353"/>
    </row>
    <row r="218" spans="1:27" ht="24" hidden="1" customHeight="1" x14ac:dyDescent="0.2">
      <c r="A218" s="82">
        <v>70</v>
      </c>
      <c r="B218" s="670" t="s">
        <v>481</v>
      </c>
      <c r="C218" s="34" t="s">
        <v>482</v>
      </c>
      <c r="D218" s="155"/>
      <c r="E218" s="155"/>
      <c r="F218" s="155"/>
      <c r="G218" s="155"/>
      <c r="H218" s="155"/>
      <c r="I218" s="155"/>
      <c r="J218" s="155">
        <f>5000</f>
        <v>5000</v>
      </c>
      <c r="K218" s="155">
        <f>-5000</f>
        <v>-5000</v>
      </c>
      <c r="L218" s="155"/>
      <c r="M218" s="155"/>
      <c r="N218" s="155"/>
      <c r="O218" s="155"/>
      <c r="P218" s="155"/>
      <c r="Q218" s="155"/>
      <c r="R218" s="155">
        <f t="shared" si="24"/>
        <v>0</v>
      </c>
      <c r="S218" s="155"/>
      <c r="T218" s="155"/>
      <c r="U218" s="155"/>
      <c r="V218" s="155"/>
      <c r="W218" s="155"/>
      <c r="X218" s="161">
        <f t="shared" si="21"/>
        <v>0</v>
      </c>
      <c r="Y218" s="237">
        <f t="shared" si="22"/>
        <v>0</v>
      </c>
      <c r="Z218" s="329"/>
      <c r="AA218" s="353"/>
    </row>
    <row r="219" spans="1:27" ht="24" hidden="1" customHeight="1" x14ac:dyDescent="0.25">
      <c r="A219" s="18">
        <v>71</v>
      </c>
      <c r="B219" s="670" t="s">
        <v>483</v>
      </c>
      <c r="C219" s="34" t="s">
        <v>403</v>
      </c>
      <c r="D219" s="155"/>
      <c r="E219" s="155"/>
      <c r="F219" s="155"/>
      <c r="G219" s="155"/>
      <c r="H219" s="155"/>
      <c r="I219" s="155"/>
      <c r="J219" s="155"/>
      <c r="K219" s="155">
        <f>-7411</f>
        <v>-7411</v>
      </c>
      <c r="L219" s="155"/>
      <c r="M219" s="155"/>
      <c r="N219" s="155"/>
      <c r="O219" s="155"/>
      <c r="P219" s="155"/>
      <c r="Q219" s="155">
        <f>7411</f>
        <v>7411</v>
      </c>
      <c r="R219" s="155">
        <f t="shared" si="24"/>
        <v>0</v>
      </c>
      <c r="S219" s="155"/>
      <c r="T219" s="155"/>
      <c r="U219" s="155"/>
      <c r="V219" s="155"/>
      <c r="W219" s="155"/>
      <c r="X219" s="161">
        <f t="shared" si="21"/>
        <v>0</v>
      </c>
      <c r="Y219" s="237">
        <f t="shared" si="22"/>
        <v>0</v>
      </c>
      <c r="Z219" s="329"/>
      <c r="AA219" s="353"/>
    </row>
    <row r="220" spans="1:27" ht="24" hidden="1" customHeight="1" x14ac:dyDescent="0.2">
      <c r="A220" s="82">
        <v>72</v>
      </c>
      <c r="B220" s="192" t="s">
        <v>484</v>
      </c>
      <c r="C220" s="34" t="s">
        <v>485</v>
      </c>
      <c r="D220" s="155"/>
      <c r="E220" s="155"/>
      <c r="F220" s="155"/>
      <c r="G220" s="155"/>
      <c r="H220" s="155"/>
      <c r="I220" s="155"/>
      <c r="J220" s="155"/>
      <c r="K220" s="155">
        <f>-496</f>
        <v>-496</v>
      </c>
      <c r="L220" s="155">
        <f>390+106</f>
        <v>496</v>
      </c>
      <c r="M220" s="155"/>
      <c r="N220" s="155"/>
      <c r="O220" s="155"/>
      <c r="P220" s="155"/>
      <c r="Q220" s="155"/>
      <c r="R220" s="155">
        <f t="shared" si="24"/>
        <v>0</v>
      </c>
      <c r="S220" s="155"/>
      <c r="T220" s="155"/>
      <c r="U220" s="155"/>
      <c r="V220" s="155"/>
      <c r="W220" s="155"/>
      <c r="X220" s="161">
        <f t="shared" si="21"/>
        <v>0</v>
      </c>
      <c r="Y220" s="237">
        <f t="shared" si="22"/>
        <v>0</v>
      </c>
      <c r="Z220" s="329"/>
      <c r="AA220" s="353"/>
    </row>
    <row r="221" spans="1:27" ht="24" hidden="1" customHeight="1" x14ac:dyDescent="0.25">
      <c r="A221" s="18">
        <v>73</v>
      </c>
      <c r="B221" s="192" t="s">
        <v>477</v>
      </c>
      <c r="C221" s="33" t="s">
        <v>478</v>
      </c>
      <c r="D221" s="155">
        <f>-2637.7-250</f>
        <v>-2887.7</v>
      </c>
      <c r="E221" s="155">
        <f>-635.294</f>
        <v>-635.29399999999998</v>
      </c>
      <c r="F221" s="155"/>
      <c r="G221" s="155"/>
      <c r="H221" s="155"/>
      <c r="I221" s="155"/>
      <c r="J221" s="155"/>
      <c r="K221" s="155"/>
      <c r="L221" s="155"/>
      <c r="M221" s="155"/>
      <c r="N221" s="155"/>
      <c r="O221" s="155"/>
      <c r="P221" s="155"/>
      <c r="Q221" s="155"/>
      <c r="R221" s="155">
        <f t="shared" si="24"/>
        <v>-3522.9939999999997</v>
      </c>
      <c r="S221" s="155"/>
      <c r="T221" s="155"/>
      <c r="U221" s="155"/>
      <c r="V221" s="155"/>
      <c r="W221" s="155"/>
      <c r="X221" s="161">
        <f t="shared" si="21"/>
        <v>0</v>
      </c>
      <c r="Y221" s="237">
        <f t="shared" si="22"/>
        <v>-3522.9939999999997</v>
      </c>
      <c r="Z221" s="329">
        <f>3522.994</f>
        <v>3522.9940000000001</v>
      </c>
      <c r="AA221" s="353"/>
    </row>
    <row r="222" spans="1:27" ht="24" hidden="1" customHeight="1" x14ac:dyDescent="0.2">
      <c r="A222" s="82">
        <v>74</v>
      </c>
      <c r="B222" s="192" t="s">
        <v>486</v>
      </c>
      <c r="C222" s="34" t="s">
        <v>487</v>
      </c>
      <c r="D222" s="155"/>
      <c r="E222" s="155"/>
      <c r="F222" s="155"/>
      <c r="G222" s="155"/>
      <c r="H222" s="155"/>
      <c r="I222" s="155"/>
      <c r="J222" s="155"/>
      <c r="K222" s="155">
        <f>1500</f>
        <v>1500</v>
      </c>
      <c r="L222" s="155"/>
      <c r="M222" s="155"/>
      <c r="N222" s="155"/>
      <c r="O222" s="155"/>
      <c r="P222" s="155"/>
      <c r="Q222" s="155"/>
      <c r="R222" s="155">
        <f t="shared" si="24"/>
        <v>1500</v>
      </c>
      <c r="S222" s="155"/>
      <c r="T222" s="155"/>
      <c r="U222" s="155"/>
      <c r="V222" s="155"/>
      <c r="W222" s="155"/>
      <c r="X222" s="161">
        <f t="shared" si="21"/>
        <v>0</v>
      </c>
      <c r="Y222" s="237">
        <f t="shared" si="22"/>
        <v>1500</v>
      </c>
      <c r="Z222" s="329"/>
      <c r="AA222" s="353"/>
    </row>
    <row r="223" spans="1:27" ht="24" hidden="1" customHeight="1" x14ac:dyDescent="0.25">
      <c r="A223" s="18">
        <v>75</v>
      </c>
      <c r="B223" s="675" t="s">
        <v>488</v>
      </c>
      <c r="C223" s="41" t="s">
        <v>489</v>
      </c>
      <c r="D223" s="160"/>
      <c r="E223" s="160"/>
      <c r="F223" s="155">
        <f>-15000-65000</f>
        <v>-80000</v>
      </c>
      <c r="G223" s="155"/>
      <c r="H223" s="155"/>
      <c r="I223" s="155"/>
      <c r="J223" s="155"/>
      <c r="K223" s="155">
        <f>15000</f>
        <v>15000</v>
      </c>
      <c r="L223" s="155"/>
      <c r="M223" s="155"/>
      <c r="N223" s="155"/>
      <c r="O223" s="155"/>
      <c r="P223" s="155"/>
      <c r="Q223" s="155"/>
      <c r="R223" s="155">
        <f t="shared" si="24"/>
        <v>-65000</v>
      </c>
      <c r="S223" s="155"/>
      <c r="T223" s="155"/>
      <c r="U223" s="155"/>
      <c r="V223" s="155"/>
      <c r="W223" s="155"/>
      <c r="X223" s="161">
        <f t="shared" si="21"/>
        <v>0</v>
      </c>
      <c r="Y223" s="237">
        <f t="shared" si="22"/>
        <v>-65000</v>
      </c>
      <c r="Z223" s="329"/>
      <c r="AA223" s="353"/>
    </row>
    <row r="224" spans="1:27" ht="24" hidden="1" customHeight="1" x14ac:dyDescent="0.2">
      <c r="A224" s="82">
        <v>76</v>
      </c>
      <c r="B224" s="192" t="s">
        <v>491</v>
      </c>
      <c r="C224" s="41" t="s">
        <v>490</v>
      </c>
      <c r="D224" s="155"/>
      <c r="E224" s="155"/>
      <c r="F224" s="155"/>
      <c r="G224" s="155"/>
      <c r="H224" s="155"/>
      <c r="I224" s="155"/>
      <c r="J224" s="155"/>
      <c r="K224" s="155">
        <f>120</f>
        <v>120</v>
      </c>
      <c r="L224" s="155"/>
      <c r="M224" s="155"/>
      <c r="N224" s="155"/>
      <c r="O224" s="155"/>
      <c r="P224" s="155"/>
      <c r="Q224" s="155"/>
      <c r="R224" s="155">
        <f t="shared" si="24"/>
        <v>120</v>
      </c>
      <c r="S224" s="155"/>
      <c r="T224" s="155"/>
      <c r="U224" s="155"/>
      <c r="V224" s="155"/>
      <c r="W224" s="155"/>
      <c r="X224" s="161">
        <f t="shared" si="21"/>
        <v>0</v>
      </c>
      <c r="Y224" s="237">
        <f t="shared" si="22"/>
        <v>120</v>
      </c>
      <c r="Z224" s="329"/>
      <c r="AA224" s="353"/>
    </row>
    <row r="225" spans="1:27" ht="24" hidden="1" customHeight="1" x14ac:dyDescent="0.25">
      <c r="A225" s="18">
        <v>77</v>
      </c>
      <c r="B225" s="192" t="s">
        <v>492</v>
      </c>
      <c r="C225" s="41" t="s">
        <v>493</v>
      </c>
      <c r="D225" s="155"/>
      <c r="E225" s="155"/>
      <c r="F225" s="155"/>
      <c r="G225" s="155"/>
      <c r="H225" s="155"/>
      <c r="I225" s="155"/>
      <c r="J225" s="155"/>
      <c r="K225" s="155">
        <f>-18900</f>
        <v>-18900</v>
      </c>
      <c r="L225" s="155"/>
      <c r="M225" s="155"/>
      <c r="N225" s="155"/>
      <c r="O225" s="155"/>
      <c r="P225" s="155"/>
      <c r="Q225" s="155">
        <f>18900</f>
        <v>18900</v>
      </c>
      <c r="R225" s="155">
        <f t="shared" si="24"/>
        <v>0</v>
      </c>
      <c r="S225" s="155"/>
      <c r="T225" s="155"/>
      <c r="U225" s="155"/>
      <c r="V225" s="155"/>
      <c r="W225" s="155"/>
      <c r="X225" s="161">
        <f t="shared" si="21"/>
        <v>0</v>
      </c>
      <c r="Y225" s="237">
        <f t="shared" si="22"/>
        <v>0</v>
      </c>
      <c r="Z225" s="329"/>
      <c r="AA225" s="353"/>
    </row>
    <row r="226" spans="1:27" ht="24" hidden="1" customHeight="1" x14ac:dyDescent="0.2">
      <c r="A226" s="82">
        <v>78</v>
      </c>
      <c r="B226" s="192" t="s">
        <v>495</v>
      </c>
      <c r="C226" s="41" t="s">
        <v>494</v>
      </c>
      <c r="D226" s="155"/>
      <c r="E226" s="155"/>
      <c r="F226" s="155"/>
      <c r="G226" s="155"/>
      <c r="H226" s="155"/>
      <c r="I226" s="155"/>
      <c r="J226" s="155"/>
      <c r="K226" s="155">
        <f>17594.298</f>
        <v>17594.297999999999</v>
      </c>
      <c r="L226" s="155"/>
      <c r="M226" s="155"/>
      <c r="N226" s="155"/>
      <c r="O226" s="155"/>
      <c r="P226" s="155"/>
      <c r="Q226" s="155"/>
      <c r="R226" s="155">
        <f t="shared" si="24"/>
        <v>17594.297999999999</v>
      </c>
      <c r="S226" s="155"/>
      <c r="T226" s="155"/>
      <c r="U226" s="155"/>
      <c r="V226" s="155"/>
      <c r="W226" s="155"/>
      <c r="X226" s="161">
        <f t="shared" si="21"/>
        <v>0</v>
      </c>
      <c r="Y226" s="237">
        <f t="shared" si="22"/>
        <v>17594.297999999999</v>
      </c>
      <c r="Z226" s="329"/>
      <c r="AA226" s="353"/>
    </row>
    <row r="227" spans="1:27" ht="24" hidden="1" customHeight="1" x14ac:dyDescent="0.25">
      <c r="A227" s="18">
        <v>79</v>
      </c>
      <c r="B227" s="671" t="s">
        <v>496</v>
      </c>
      <c r="C227" s="28" t="s">
        <v>497</v>
      </c>
      <c r="D227" s="155"/>
      <c r="E227" s="155"/>
      <c r="F227" s="155"/>
      <c r="G227" s="155"/>
      <c r="H227" s="155"/>
      <c r="I227" s="155"/>
      <c r="J227" s="155"/>
      <c r="K227" s="155">
        <f>-18288</f>
        <v>-18288</v>
      </c>
      <c r="L227" s="155">
        <f>14400+3888</f>
        <v>18288</v>
      </c>
      <c r="M227" s="155"/>
      <c r="N227" s="155"/>
      <c r="O227" s="155"/>
      <c r="P227" s="155"/>
      <c r="Q227" s="155"/>
      <c r="R227" s="155">
        <f t="shared" si="24"/>
        <v>0</v>
      </c>
      <c r="S227" s="155"/>
      <c r="T227" s="155"/>
      <c r="U227" s="155"/>
      <c r="V227" s="155"/>
      <c r="W227" s="155"/>
      <c r="X227" s="161">
        <f t="shared" si="21"/>
        <v>0</v>
      </c>
      <c r="Y227" s="237">
        <f t="shared" si="22"/>
        <v>0</v>
      </c>
      <c r="Z227" s="329"/>
      <c r="AA227" s="353"/>
    </row>
    <row r="228" spans="1:27" ht="24" hidden="1" customHeight="1" x14ac:dyDescent="0.2">
      <c r="A228" s="82">
        <v>80</v>
      </c>
      <c r="B228" s="672" t="s">
        <v>498</v>
      </c>
      <c r="C228" s="41" t="s">
        <v>499</v>
      </c>
      <c r="D228" s="155"/>
      <c r="E228" s="155"/>
      <c r="F228" s="155">
        <f>14500+3915</f>
        <v>18415</v>
      </c>
      <c r="G228" s="155"/>
      <c r="H228" s="155"/>
      <c r="I228" s="155"/>
      <c r="J228" s="155"/>
      <c r="K228" s="155">
        <f>-18415</f>
        <v>-18415</v>
      </c>
      <c r="L228" s="155"/>
      <c r="M228" s="155"/>
      <c r="N228" s="155"/>
      <c r="O228" s="155"/>
      <c r="P228" s="155"/>
      <c r="Q228" s="155"/>
      <c r="R228" s="155">
        <f t="shared" si="24"/>
        <v>0</v>
      </c>
      <c r="S228" s="155"/>
      <c r="T228" s="155"/>
      <c r="U228" s="155"/>
      <c r="V228" s="155"/>
      <c r="W228" s="155"/>
      <c r="X228" s="161">
        <f t="shared" si="21"/>
        <v>0</v>
      </c>
      <c r="Y228" s="237">
        <f t="shared" si="22"/>
        <v>0</v>
      </c>
      <c r="Z228" s="329"/>
      <c r="AA228" s="353"/>
    </row>
    <row r="229" spans="1:27" ht="24" hidden="1" customHeight="1" x14ac:dyDescent="0.25">
      <c r="A229" s="18">
        <v>81</v>
      </c>
      <c r="B229" s="192" t="s">
        <v>501</v>
      </c>
      <c r="C229" s="41" t="s">
        <v>500</v>
      </c>
      <c r="D229" s="155"/>
      <c r="E229" s="155"/>
      <c r="F229" s="155"/>
      <c r="G229" s="155">
        <f>300</f>
        <v>300</v>
      </c>
      <c r="H229" s="155"/>
      <c r="I229" s="155"/>
      <c r="J229" s="155"/>
      <c r="K229" s="155"/>
      <c r="L229" s="155"/>
      <c r="M229" s="155"/>
      <c r="N229" s="155"/>
      <c r="O229" s="155"/>
      <c r="P229" s="155"/>
      <c r="Q229" s="155"/>
      <c r="R229" s="155">
        <f t="shared" si="24"/>
        <v>300</v>
      </c>
      <c r="S229" s="155"/>
      <c r="T229" s="155"/>
      <c r="U229" s="155"/>
      <c r="V229" s="155"/>
      <c r="W229" s="155"/>
      <c r="X229" s="161">
        <f t="shared" si="21"/>
        <v>0</v>
      </c>
      <c r="Y229" s="237">
        <f t="shared" si="22"/>
        <v>300</v>
      </c>
      <c r="Z229" s="329"/>
      <c r="AA229" s="353"/>
    </row>
    <row r="230" spans="1:27" ht="24" hidden="1" customHeight="1" x14ac:dyDescent="0.2">
      <c r="A230" s="82">
        <v>82</v>
      </c>
      <c r="B230" s="675" t="s">
        <v>502</v>
      </c>
      <c r="C230" s="41" t="s">
        <v>503</v>
      </c>
      <c r="D230" s="155"/>
      <c r="E230" s="155"/>
      <c r="F230" s="155"/>
      <c r="G230" s="155"/>
      <c r="H230" s="155"/>
      <c r="I230" s="155"/>
      <c r="J230" s="155"/>
      <c r="K230" s="155">
        <f>-82550</f>
        <v>-82550</v>
      </c>
      <c r="L230" s="155">
        <f>65000+17550</f>
        <v>82550</v>
      </c>
      <c r="M230" s="155"/>
      <c r="N230" s="155"/>
      <c r="O230" s="155"/>
      <c r="P230" s="155"/>
      <c r="Q230" s="155"/>
      <c r="R230" s="155">
        <f t="shared" si="24"/>
        <v>0</v>
      </c>
      <c r="S230" s="155"/>
      <c r="T230" s="155"/>
      <c r="U230" s="155"/>
      <c r="V230" s="155"/>
      <c r="W230" s="155"/>
      <c r="X230" s="161">
        <f t="shared" si="21"/>
        <v>0</v>
      </c>
      <c r="Y230" s="237">
        <f t="shared" si="22"/>
        <v>0</v>
      </c>
      <c r="Z230" s="329"/>
      <c r="AA230" s="353"/>
    </row>
    <row r="231" spans="1:27" ht="24" hidden="1" customHeight="1" x14ac:dyDescent="0.25">
      <c r="A231" s="18">
        <v>83</v>
      </c>
      <c r="B231" s="192" t="s">
        <v>506</v>
      </c>
      <c r="C231" s="41" t="s">
        <v>507</v>
      </c>
      <c r="D231" s="155"/>
      <c r="E231" s="155">
        <f>5+3</f>
        <v>8</v>
      </c>
      <c r="F231" s="155">
        <f>-138+100+30</f>
        <v>-8</v>
      </c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5"/>
      <c r="R231" s="155">
        <f t="shared" si="24"/>
        <v>0</v>
      </c>
      <c r="S231" s="155"/>
      <c r="T231" s="155"/>
      <c r="U231" s="155"/>
      <c r="V231" s="155"/>
      <c r="W231" s="155"/>
      <c r="X231" s="161">
        <f t="shared" si="21"/>
        <v>0</v>
      </c>
      <c r="Y231" s="237">
        <f t="shared" si="22"/>
        <v>0</v>
      </c>
      <c r="Z231" s="329"/>
      <c r="AA231" s="353"/>
    </row>
    <row r="232" spans="1:27" ht="24" hidden="1" customHeight="1" x14ac:dyDescent="0.2">
      <c r="A232" s="82">
        <v>84</v>
      </c>
      <c r="B232" s="516" t="s">
        <v>508</v>
      </c>
      <c r="C232" s="28" t="s">
        <v>509</v>
      </c>
      <c r="D232" s="155"/>
      <c r="E232" s="155"/>
      <c r="F232" s="155">
        <f>25</f>
        <v>25</v>
      </c>
      <c r="G232" s="155"/>
      <c r="H232" s="155"/>
      <c r="I232" s="155"/>
      <c r="J232" s="155"/>
      <c r="K232" s="155"/>
      <c r="L232" s="155">
        <f>125+34</f>
        <v>159</v>
      </c>
      <c r="M232" s="155"/>
      <c r="N232" s="155"/>
      <c r="O232" s="155"/>
      <c r="P232" s="155"/>
      <c r="Q232" s="155"/>
      <c r="R232" s="155">
        <f t="shared" si="24"/>
        <v>184</v>
      </c>
      <c r="S232" s="155"/>
      <c r="T232" s="155"/>
      <c r="U232" s="155"/>
      <c r="V232" s="155"/>
      <c r="W232" s="155"/>
      <c r="X232" s="161">
        <f t="shared" si="21"/>
        <v>0</v>
      </c>
      <c r="Y232" s="237">
        <f t="shared" si="22"/>
        <v>184</v>
      </c>
      <c r="Z232" s="329">
        <f>-184</f>
        <v>-184</v>
      </c>
      <c r="AA232" s="353"/>
    </row>
    <row r="233" spans="1:27" ht="24" hidden="1" customHeight="1" x14ac:dyDescent="0.25">
      <c r="A233" s="18">
        <v>85</v>
      </c>
      <c r="B233" s="516" t="s">
        <v>511</v>
      </c>
      <c r="C233" s="41" t="s">
        <v>512</v>
      </c>
      <c r="D233" s="155"/>
      <c r="E233" s="155"/>
      <c r="F233" s="155">
        <f>39933</f>
        <v>39933</v>
      </c>
      <c r="G233" s="155"/>
      <c r="H233" s="155"/>
      <c r="I233" s="155"/>
      <c r="J233" s="155"/>
      <c r="K233" s="155"/>
      <c r="L233" s="155">
        <f>-39933</f>
        <v>-39933</v>
      </c>
      <c r="M233" s="155"/>
      <c r="N233" s="155"/>
      <c r="O233" s="155"/>
      <c r="P233" s="155"/>
      <c r="Q233" s="155"/>
      <c r="R233" s="155">
        <f t="shared" si="24"/>
        <v>0</v>
      </c>
      <c r="S233" s="155"/>
      <c r="T233" s="155"/>
      <c r="U233" s="155"/>
      <c r="V233" s="155"/>
      <c r="W233" s="155"/>
      <c r="X233" s="161">
        <f t="shared" ref="X233:X272" si="29">SUM(T233:W233)</f>
        <v>0</v>
      </c>
      <c r="Y233" s="237">
        <f t="shared" ref="Y233:Y272" si="30">R233+X233</f>
        <v>0</v>
      </c>
      <c r="Z233" s="329"/>
      <c r="AA233" s="353"/>
    </row>
    <row r="234" spans="1:27" ht="24" hidden="1" customHeight="1" x14ac:dyDescent="0.2">
      <c r="A234" s="82">
        <v>86</v>
      </c>
      <c r="B234" s="670" t="s">
        <v>514</v>
      </c>
      <c r="C234" s="41" t="s">
        <v>249</v>
      </c>
      <c r="D234" s="155"/>
      <c r="E234" s="155"/>
      <c r="F234" s="155">
        <f>189</f>
        <v>189</v>
      </c>
      <c r="G234" s="155"/>
      <c r="H234" s="155"/>
      <c r="I234" s="155"/>
      <c r="J234" s="155"/>
      <c r="K234" s="155">
        <f>700</f>
        <v>700</v>
      </c>
      <c r="L234" s="155"/>
      <c r="M234" s="155"/>
      <c r="N234" s="155"/>
      <c r="O234" s="155"/>
      <c r="P234" s="155"/>
      <c r="Q234" s="155"/>
      <c r="R234" s="155">
        <f t="shared" si="24"/>
        <v>889</v>
      </c>
      <c r="S234" s="155"/>
      <c r="T234" s="155"/>
      <c r="U234" s="155"/>
      <c r="V234" s="155"/>
      <c r="W234" s="155"/>
      <c r="X234" s="161">
        <f t="shared" si="29"/>
        <v>0</v>
      </c>
      <c r="Y234" s="237">
        <f t="shared" si="30"/>
        <v>889</v>
      </c>
      <c r="Z234" s="329"/>
      <c r="AA234" s="353"/>
    </row>
    <row r="235" spans="1:27" ht="24" hidden="1" customHeight="1" x14ac:dyDescent="0.25">
      <c r="A235" s="18">
        <v>87</v>
      </c>
      <c r="B235" s="670" t="s">
        <v>515</v>
      </c>
      <c r="C235" s="41" t="s">
        <v>516</v>
      </c>
      <c r="D235" s="155"/>
      <c r="E235" s="155"/>
      <c r="F235" s="155">
        <f>38</f>
        <v>38</v>
      </c>
      <c r="G235" s="155"/>
      <c r="H235" s="155"/>
      <c r="I235" s="155"/>
      <c r="J235" s="155"/>
      <c r="K235" s="155"/>
      <c r="L235" s="155">
        <f>-30-8</f>
        <v>-38</v>
      </c>
      <c r="M235" s="155"/>
      <c r="N235" s="155"/>
      <c r="O235" s="155"/>
      <c r="P235" s="155"/>
      <c r="Q235" s="155"/>
      <c r="R235" s="155">
        <f t="shared" si="24"/>
        <v>0</v>
      </c>
      <c r="S235" s="155"/>
      <c r="T235" s="155"/>
      <c r="U235" s="155"/>
      <c r="V235" s="155"/>
      <c r="W235" s="155"/>
      <c r="X235" s="161">
        <f t="shared" si="29"/>
        <v>0</v>
      </c>
      <c r="Y235" s="237">
        <f t="shared" si="30"/>
        <v>0</v>
      </c>
      <c r="Z235" s="329"/>
      <c r="AA235" s="353"/>
    </row>
    <row r="236" spans="1:27" ht="24" hidden="1" customHeight="1" x14ac:dyDescent="0.2">
      <c r="A236" s="82">
        <v>88</v>
      </c>
      <c r="B236" s="670" t="s">
        <v>517</v>
      </c>
      <c r="C236" s="41" t="s">
        <v>518</v>
      </c>
      <c r="D236" s="155"/>
      <c r="E236" s="155"/>
      <c r="F236" s="155">
        <f>-180-49</f>
        <v>-229</v>
      </c>
      <c r="G236" s="155"/>
      <c r="H236" s="155"/>
      <c r="I236" s="155"/>
      <c r="J236" s="155"/>
      <c r="K236" s="155"/>
      <c r="L236" s="155">
        <f>180+49</f>
        <v>229</v>
      </c>
      <c r="M236" s="155"/>
      <c r="N236" s="155"/>
      <c r="O236" s="155"/>
      <c r="P236" s="155"/>
      <c r="Q236" s="155"/>
      <c r="R236" s="155">
        <f t="shared" si="24"/>
        <v>0</v>
      </c>
      <c r="S236" s="155"/>
      <c r="T236" s="155"/>
      <c r="U236" s="155"/>
      <c r="V236" s="155"/>
      <c r="W236" s="155"/>
      <c r="X236" s="161">
        <f t="shared" si="29"/>
        <v>0</v>
      </c>
      <c r="Y236" s="237">
        <f t="shared" si="30"/>
        <v>0</v>
      </c>
      <c r="Z236" s="329"/>
      <c r="AA236" s="353"/>
    </row>
    <row r="237" spans="1:27" ht="24" hidden="1" customHeight="1" x14ac:dyDescent="0.25">
      <c r="A237" s="18">
        <v>89</v>
      </c>
      <c r="B237" s="670" t="s">
        <v>519</v>
      </c>
      <c r="C237" s="41" t="s">
        <v>249</v>
      </c>
      <c r="D237" s="155"/>
      <c r="E237" s="155"/>
      <c r="F237" s="155">
        <f>189</f>
        <v>189</v>
      </c>
      <c r="G237" s="155"/>
      <c r="H237" s="155"/>
      <c r="I237" s="155"/>
      <c r="J237" s="155"/>
      <c r="K237" s="155">
        <f>700</f>
        <v>700</v>
      </c>
      <c r="L237" s="155"/>
      <c r="M237" s="155"/>
      <c r="N237" s="155"/>
      <c r="O237" s="155"/>
      <c r="P237" s="155"/>
      <c r="Q237" s="155"/>
      <c r="R237" s="155">
        <f t="shared" si="24"/>
        <v>889</v>
      </c>
      <c r="S237" s="155"/>
      <c r="T237" s="155"/>
      <c r="U237" s="155"/>
      <c r="V237" s="155"/>
      <c r="W237" s="155"/>
      <c r="X237" s="161">
        <f t="shared" si="29"/>
        <v>0</v>
      </c>
      <c r="Y237" s="237">
        <f t="shared" si="30"/>
        <v>889</v>
      </c>
      <c r="Z237" s="329"/>
      <c r="AA237" s="353"/>
    </row>
    <row r="238" spans="1:27" ht="24" hidden="1" customHeight="1" x14ac:dyDescent="0.2">
      <c r="A238" s="82">
        <v>90</v>
      </c>
      <c r="B238" s="670" t="s">
        <v>520</v>
      </c>
      <c r="C238" s="41" t="s">
        <v>524</v>
      </c>
      <c r="D238" s="155"/>
      <c r="E238" s="155"/>
      <c r="F238" s="155"/>
      <c r="G238" s="155"/>
      <c r="H238" s="155"/>
      <c r="I238" s="155"/>
      <c r="J238" s="155"/>
      <c r="K238" s="155">
        <f>-11400</f>
        <v>-11400</v>
      </c>
      <c r="L238" s="155"/>
      <c r="M238" s="155"/>
      <c r="N238" s="155"/>
      <c r="O238" s="155"/>
      <c r="P238" s="155"/>
      <c r="Q238" s="155"/>
      <c r="R238" s="155">
        <f t="shared" si="24"/>
        <v>-11400</v>
      </c>
      <c r="S238" s="155"/>
      <c r="T238" s="155"/>
      <c r="U238" s="155"/>
      <c r="V238" s="155"/>
      <c r="W238" s="155"/>
      <c r="X238" s="161">
        <f t="shared" si="29"/>
        <v>0</v>
      </c>
      <c r="Y238" s="237">
        <f t="shared" si="30"/>
        <v>-11400</v>
      </c>
      <c r="Z238" s="329">
        <v>11400</v>
      </c>
      <c r="AA238" s="353"/>
    </row>
    <row r="239" spans="1:27" ht="24" hidden="1" customHeight="1" x14ac:dyDescent="0.25">
      <c r="A239" s="18">
        <v>91</v>
      </c>
      <c r="B239" s="670" t="s">
        <v>522</v>
      </c>
      <c r="C239" s="41" t="s">
        <v>521</v>
      </c>
      <c r="D239" s="155"/>
      <c r="E239" s="155"/>
      <c r="F239" s="155">
        <f>-1100-297+297</f>
        <v>-1100</v>
      </c>
      <c r="G239" s="155"/>
      <c r="H239" s="155"/>
      <c r="I239" s="155"/>
      <c r="J239" s="155"/>
      <c r="K239" s="155"/>
      <c r="L239" s="155">
        <f>1100</f>
        <v>1100</v>
      </c>
      <c r="M239" s="155"/>
      <c r="N239" s="155"/>
      <c r="O239" s="155"/>
      <c r="P239" s="155"/>
      <c r="Q239" s="155"/>
      <c r="R239" s="155">
        <f t="shared" si="24"/>
        <v>0</v>
      </c>
      <c r="S239" s="155"/>
      <c r="T239" s="155"/>
      <c r="U239" s="155"/>
      <c r="V239" s="155"/>
      <c r="W239" s="155"/>
      <c r="X239" s="161">
        <f t="shared" si="29"/>
        <v>0</v>
      </c>
      <c r="Y239" s="237">
        <f t="shared" si="30"/>
        <v>0</v>
      </c>
      <c r="Z239" s="329"/>
      <c r="AA239" s="353"/>
    </row>
    <row r="240" spans="1:27" ht="24" hidden="1" customHeight="1" x14ac:dyDescent="0.2">
      <c r="A240" s="82">
        <v>92</v>
      </c>
      <c r="B240" s="516" t="s">
        <v>523</v>
      </c>
      <c r="C240" s="41" t="s">
        <v>513</v>
      </c>
      <c r="D240" s="155"/>
      <c r="E240" s="155"/>
      <c r="F240" s="155"/>
      <c r="G240" s="155"/>
      <c r="H240" s="155"/>
      <c r="I240" s="155"/>
      <c r="J240" s="155"/>
      <c r="K240" s="155">
        <v>50362.409</v>
      </c>
      <c r="L240" s="155"/>
      <c r="M240" s="155"/>
      <c r="N240" s="155"/>
      <c r="O240" s="155"/>
      <c r="P240" s="155"/>
      <c r="Q240" s="155"/>
      <c r="R240" s="155">
        <f t="shared" si="24"/>
        <v>50362.409</v>
      </c>
      <c r="S240" s="155"/>
      <c r="T240" s="155"/>
      <c r="U240" s="155"/>
      <c r="V240" s="155"/>
      <c r="W240" s="155"/>
      <c r="X240" s="161">
        <f t="shared" si="29"/>
        <v>0</v>
      </c>
      <c r="Y240" s="237">
        <f t="shared" si="30"/>
        <v>50362.409</v>
      </c>
      <c r="Z240" s="329"/>
      <c r="AA240" s="353"/>
    </row>
    <row r="241" spans="1:27" ht="24" hidden="1" customHeight="1" x14ac:dyDescent="0.25">
      <c r="A241" s="18">
        <v>93</v>
      </c>
      <c r="B241" s="670" t="s">
        <v>525</v>
      </c>
      <c r="C241" s="41" t="s">
        <v>529</v>
      </c>
      <c r="D241" s="155"/>
      <c r="E241" s="155"/>
      <c r="F241" s="155"/>
      <c r="G241" s="155"/>
      <c r="H241" s="155"/>
      <c r="I241" s="155"/>
      <c r="J241" s="155"/>
      <c r="K241" s="155">
        <f>-8699</f>
        <v>-8699</v>
      </c>
      <c r="L241" s="155"/>
      <c r="M241" s="155"/>
      <c r="N241" s="155"/>
      <c r="O241" s="155"/>
      <c r="P241" s="155"/>
      <c r="Q241" s="155"/>
      <c r="R241" s="155">
        <f t="shared" si="24"/>
        <v>-8699</v>
      </c>
      <c r="S241" s="155"/>
      <c r="T241" s="155"/>
      <c r="U241" s="155"/>
      <c r="V241" s="155"/>
      <c r="W241" s="155"/>
      <c r="X241" s="161">
        <f t="shared" si="29"/>
        <v>0</v>
      </c>
      <c r="Y241" s="237">
        <f t="shared" si="30"/>
        <v>-8699</v>
      </c>
      <c r="Z241" s="329">
        <f>8699</f>
        <v>8699</v>
      </c>
      <c r="AA241" s="353"/>
    </row>
    <row r="242" spans="1:27" ht="24" hidden="1" customHeight="1" x14ac:dyDescent="0.2">
      <c r="A242" s="82">
        <v>94</v>
      </c>
      <c r="B242" s="670" t="s">
        <v>526</v>
      </c>
      <c r="C242" s="41" t="s">
        <v>530</v>
      </c>
      <c r="D242" s="155"/>
      <c r="E242" s="155"/>
      <c r="F242" s="155"/>
      <c r="G242" s="155"/>
      <c r="H242" s="155"/>
      <c r="I242" s="155"/>
      <c r="J242" s="155"/>
      <c r="K242" s="155"/>
      <c r="L242" s="155"/>
      <c r="M242" s="155"/>
      <c r="N242" s="155"/>
      <c r="O242" s="155"/>
      <c r="P242" s="155"/>
      <c r="Q242" s="155"/>
      <c r="R242" s="155">
        <f t="shared" si="24"/>
        <v>0</v>
      </c>
      <c r="S242" s="155"/>
      <c r="T242" s="155"/>
      <c r="U242" s="155"/>
      <c r="V242" s="155"/>
      <c r="W242" s="155"/>
      <c r="X242" s="161">
        <f t="shared" si="29"/>
        <v>0</v>
      </c>
      <c r="Y242" s="237">
        <f t="shared" si="30"/>
        <v>0</v>
      </c>
      <c r="Z242" s="329">
        <f>23836.363</f>
        <v>23836.363000000001</v>
      </c>
      <c r="AA242" s="353"/>
    </row>
    <row r="243" spans="1:27" ht="24" hidden="1" customHeight="1" x14ac:dyDescent="0.25">
      <c r="A243" s="18">
        <v>95</v>
      </c>
      <c r="B243" s="670" t="s">
        <v>527</v>
      </c>
      <c r="C243" s="41" t="s">
        <v>531</v>
      </c>
      <c r="D243" s="155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5"/>
      <c r="R243" s="155">
        <f t="shared" si="24"/>
        <v>0</v>
      </c>
      <c r="S243" s="155"/>
      <c r="T243" s="155"/>
      <c r="U243" s="155"/>
      <c r="V243" s="155"/>
      <c r="W243" s="155"/>
      <c r="X243" s="161">
        <f t="shared" si="29"/>
        <v>0</v>
      </c>
      <c r="Y243" s="237">
        <f>R243+X243</f>
        <v>0</v>
      </c>
      <c r="Z243" s="329">
        <f>7256.141</f>
        <v>7256.1409999999996</v>
      </c>
      <c r="AA243" s="353"/>
    </row>
    <row r="244" spans="1:27" ht="24" hidden="1" customHeight="1" x14ac:dyDescent="0.2">
      <c r="A244" s="82">
        <v>96</v>
      </c>
      <c r="B244" s="670" t="s">
        <v>528</v>
      </c>
      <c r="C244" s="41" t="s">
        <v>532</v>
      </c>
      <c r="D244" s="155"/>
      <c r="E244" s="155"/>
      <c r="F244" s="155"/>
      <c r="G244" s="155"/>
      <c r="H244" s="155"/>
      <c r="I244" s="155"/>
      <c r="J244" s="155"/>
      <c r="K244" s="155"/>
      <c r="L244" s="155"/>
      <c r="M244" s="155"/>
      <c r="N244" s="155"/>
      <c r="O244" s="155"/>
      <c r="P244" s="155"/>
      <c r="Q244" s="155"/>
      <c r="R244" s="155">
        <f t="shared" si="24"/>
        <v>0</v>
      </c>
      <c r="S244" s="155"/>
      <c r="T244" s="155"/>
      <c r="U244" s="155"/>
      <c r="V244" s="155"/>
      <c r="W244" s="155"/>
      <c r="X244" s="161">
        <f t="shared" si="29"/>
        <v>0</v>
      </c>
      <c r="Y244" s="237">
        <f>R244+X244</f>
        <v>0</v>
      </c>
      <c r="Z244" s="329">
        <f>4815.096</f>
        <v>4815.0959999999995</v>
      </c>
      <c r="AA244" s="353"/>
    </row>
    <row r="245" spans="1:27" ht="24" hidden="1" customHeight="1" x14ac:dyDescent="0.25">
      <c r="A245" s="18">
        <v>97</v>
      </c>
      <c r="B245" s="670" t="s">
        <v>528</v>
      </c>
      <c r="C245" s="41" t="s">
        <v>533</v>
      </c>
      <c r="D245" s="155"/>
      <c r="E245" s="155"/>
      <c r="F245" s="155"/>
      <c r="G245" s="155"/>
      <c r="H245" s="155"/>
      <c r="I245" s="155"/>
      <c r="J245" s="155"/>
      <c r="K245" s="155"/>
      <c r="L245" s="155"/>
      <c r="M245" s="155"/>
      <c r="N245" s="155"/>
      <c r="O245" s="155"/>
      <c r="P245" s="155"/>
      <c r="Q245" s="155"/>
      <c r="R245" s="155">
        <f t="shared" si="24"/>
        <v>0</v>
      </c>
      <c r="S245" s="155"/>
      <c r="T245" s="155"/>
      <c r="U245" s="155"/>
      <c r="V245" s="155"/>
      <c r="W245" s="155"/>
      <c r="X245" s="161">
        <f t="shared" si="29"/>
        <v>0</v>
      </c>
      <c r="Y245" s="237">
        <f t="shared" si="30"/>
        <v>0</v>
      </c>
      <c r="Z245" s="329">
        <f>4689.314</f>
        <v>4689.3140000000003</v>
      </c>
      <c r="AA245" s="353"/>
    </row>
    <row r="246" spans="1:27" ht="24" hidden="1" customHeight="1" x14ac:dyDescent="0.2">
      <c r="A246" s="82">
        <v>98</v>
      </c>
      <c r="B246" s="516" t="s">
        <v>528</v>
      </c>
      <c r="C246" s="41" t="s">
        <v>534</v>
      </c>
      <c r="D246" s="155"/>
      <c r="E246" s="155"/>
      <c r="F246" s="155"/>
      <c r="G246" s="155"/>
      <c r="H246" s="155"/>
      <c r="I246" s="155"/>
      <c r="J246" s="155"/>
      <c r="K246" s="155"/>
      <c r="L246" s="155"/>
      <c r="M246" s="155"/>
      <c r="N246" s="155"/>
      <c r="O246" s="155"/>
      <c r="P246" s="155"/>
      <c r="Q246" s="155"/>
      <c r="R246" s="155">
        <f t="shared" si="24"/>
        <v>0</v>
      </c>
      <c r="S246" s="155"/>
      <c r="T246" s="155"/>
      <c r="U246" s="155"/>
      <c r="V246" s="155"/>
      <c r="W246" s="155"/>
      <c r="X246" s="161">
        <f t="shared" si="29"/>
        <v>0</v>
      </c>
      <c r="Y246" s="237">
        <f t="shared" si="30"/>
        <v>0</v>
      </c>
      <c r="Z246" s="329">
        <f>1811.944</f>
        <v>1811.944</v>
      </c>
      <c r="AA246" s="353"/>
    </row>
    <row r="247" spans="1:27" ht="24" hidden="1" customHeight="1" x14ac:dyDescent="0.25">
      <c r="A247" s="18">
        <v>99</v>
      </c>
      <c r="B247" s="688" t="s">
        <v>537</v>
      </c>
      <c r="C247" s="41" t="s">
        <v>538</v>
      </c>
      <c r="D247" s="155"/>
      <c r="E247" s="155"/>
      <c r="F247" s="155"/>
      <c r="G247" s="155"/>
      <c r="H247" s="155"/>
      <c r="I247" s="155"/>
      <c r="J247" s="155"/>
      <c r="K247" s="155">
        <f>-8136.6</f>
        <v>-8136.6</v>
      </c>
      <c r="L247" s="155"/>
      <c r="M247" s="155"/>
      <c r="N247" s="155"/>
      <c r="O247" s="155"/>
      <c r="P247" s="155"/>
      <c r="Q247" s="155"/>
      <c r="R247" s="155">
        <f t="shared" si="24"/>
        <v>-8136.6</v>
      </c>
      <c r="S247" s="155"/>
      <c r="T247" s="155"/>
      <c r="U247" s="155"/>
      <c r="V247" s="155"/>
      <c r="W247" s="155"/>
      <c r="X247" s="161">
        <f t="shared" si="29"/>
        <v>0</v>
      </c>
      <c r="Y247" s="237">
        <f t="shared" si="30"/>
        <v>-8136.6</v>
      </c>
      <c r="Z247" s="329">
        <f>8136.6</f>
        <v>8136.6</v>
      </c>
      <c r="AA247" s="353"/>
    </row>
    <row r="248" spans="1:27" ht="24" hidden="1" customHeight="1" x14ac:dyDescent="0.2">
      <c r="A248" s="82">
        <v>100</v>
      </c>
      <c r="B248" s="670" t="s">
        <v>543</v>
      </c>
      <c r="C248" s="41" t="s">
        <v>249</v>
      </c>
      <c r="D248" s="155"/>
      <c r="E248" s="155"/>
      <c r="F248" s="155">
        <f>378</f>
        <v>378</v>
      </c>
      <c r="G248" s="155"/>
      <c r="H248" s="155"/>
      <c r="I248" s="155"/>
      <c r="J248" s="155"/>
      <c r="K248" s="155">
        <f>1400</f>
        <v>1400</v>
      </c>
      <c r="L248" s="155"/>
      <c r="M248" s="155"/>
      <c r="N248" s="155"/>
      <c r="O248" s="155"/>
      <c r="P248" s="155"/>
      <c r="Q248" s="155"/>
      <c r="R248" s="155">
        <f t="shared" si="24"/>
        <v>1778</v>
      </c>
      <c r="S248" s="155"/>
      <c r="T248" s="155"/>
      <c r="U248" s="155"/>
      <c r="V248" s="155"/>
      <c r="W248" s="155"/>
      <c r="X248" s="161">
        <f t="shared" si="29"/>
        <v>0</v>
      </c>
      <c r="Y248" s="237">
        <f t="shared" si="30"/>
        <v>1778</v>
      </c>
      <c r="Z248" s="329"/>
      <c r="AA248" s="353"/>
    </row>
    <row r="249" spans="1:27" ht="24" hidden="1" customHeight="1" x14ac:dyDescent="0.25">
      <c r="A249" s="18">
        <v>101</v>
      </c>
      <c r="B249" s="670" t="s">
        <v>544</v>
      </c>
      <c r="C249" s="41" t="s">
        <v>545</v>
      </c>
      <c r="D249" s="155"/>
      <c r="E249" s="155"/>
      <c r="F249" s="155"/>
      <c r="G249" s="155"/>
      <c r="H249" s="155"/>
      <c r="I249" s="155"/>
      <c r="J249" s="155"/>
      <c r="K249" s="155">
        <f>-5588</f>
        <v>-5588</v>
      </c>
      <c r="L249" s="155">
        <f>4000+1080+400+108</f>
        <v>5588</v>
      </c>
      <c r="M249" s="155"/>
      <c r="N249" s="155"/>
      <c r="O249" s="155"/>
      <c r="P249" s="155"/>
      <c r="Q249" s="155"/>
      <c r="R249" s="155">
        <f t="shared" si="24"/>
        <v>0</v>
      </c>
      <c r="S249" s="155"/>
      <c r="T249" s="155"/>
      <c r="U249" s="155"/>
      <c r="V249" s="155"/>
      <c r="W249" s="155"/>
      <c r="X249" s="161">
        <f t="shared" si="29"/>
        <v>0</v>
      </c>
      <c r="Y249" s="237">
        <f t="shared" si="30"/>
        <v>0</v>
      </c>
      <c r="Z249" s="329"/>
      <c r="AA249" s="353"/>
    </row>
    <row r="250" spans="1:27" ht="24" hidden="1" customHeight="1" x14ac:dyDescent="0.2">
      <c r="A250" s="82">
        <v>102</v>
      </c>
      <c r="B250" s="670" t="s">
        <v>546</v>
      </c>
      <c r="C250" s="41" t="s">
        <v>325</v>
      </c>
      <c r="D250" s="155"/>
      <c r="E250" s="155"/>
      <c r="F250" s="155"/>
      <c r="G250" s="155"/>
      <c r="H250" s="155"/>
      <c r="I250" s="155"/>
      <c r="J250" s="155">
        <f>270</f>
        <v>270</v>
      </c>
      <c r="K250" s="155">
        <f>-270</f>
        <v>-270</v>
      </c>
      <c r="L250" s="155"/>
      <c r="M250" s="155"/>
      <c r="N250" s="155"/>
      <c r="O250" s="155"/>
      <c r="P250" s="155"/>
      <c r="Q250" s="155"/>
      <c r="R250" s="155">
        <f t="shared" si="24"/>
        <v>0</v>
      </c>
      <c r="S250" s="155"/>
      <c r="T250" s="155"/>
      <c r="U250" s="155"/>
      <c r="V250" s="155"/>
      <c r="W250" s="155"/>
      <c r="X250" s="161">
        <f t="shared" si="29"/>
        <v>0</v>
      </c>
      <c r="Y250" s="237">
        <f t="shared" si="30"/>
        <v>0</v>
      </c>
      <c r="Z250" s="329"/>
      <c r="AA250" s="353"/>
    </row>
    <row r="251" spans="1:27" ht="24" hidden="1" customHeight="1" x14ac:dyDescent="0.25">
      <c r="A251" s="18">
        <v>103</v>
      </c>
      <c r="B251" s="670" t="s">
        <v>547</v>
      </c>
      <c r="C251" s="41" t="s">
        <v>548</v>
      </c>
      <c r="D251" s="155"/>
      <c r="E251" s="155"/>
      <c r="F251" s="155"/>
      <c r="G251" s="155"/>
      <c r="H251" s="155"/>
      <c r="I251" s="155"/>
      <c r="J251" s="155"/>
      <c r="K251" s="155"/>
      <c r="L251" s="155"/>
      <c r="M251" s="155"/>
      <c r="N251" s="155"/>
      <c r="O251" s="155"/>
      <c r="P251" s="155"/>
      <c r="Q251" s="155"/>
      <c r="R251" s="155">
        <f t="shared" si="24"/>
        <v>0</v>
      </c>
      <c r="S251" s="155"/>
      <c r="T251" s="155"/>
      <c r="U251" s="155"/>
      <c r="V251" s="155"/>
      <c r="W251" s="155"/>
      <c r="X251" s="161">
        <f t="shared" si="29"/>
        <v>0</v>
      </c>
      <c r="Y251" s="237">
        <f t="shared" si="30"/>
        <v>0</v>
      </c>
      <c r="Z251" s="329">
        <f>1500</f>
        <v>1500</v>
      </c>
      <c r="AA251" s="353"/>
    </row>
    <row r="252" spans="1:27" ht="24" hidden="1" customHeight="1" x14ac:dyDescent="0.2">
      <c r="A252" s="82">
        <v>104</v>
      </c>
      <c r="B252" s="670" t="s">
        <v>550</v>
      </c>
      <c r="C252" s="41" t="s">
        <v>325</v>
      </c>
      <c r="D252" s="155"/>
      <c r="E252" s="155"/>
      <c r="F252" s="155"/>
      <c r="G252" s="155"/>
      <c r="H252" s="155"/>
      <c r="I252" s="155"/>
      <c r="J252" s="155">
        <f>100</f>
        <v>100</v>
      </c>
      <c r="K252" s="155">
        <f>-100</f>
        <v>-100</v>
      </c>
      <c r="L252" s="155"/>
      <c r="M252" s="155"/>
      <c r="N252" s="155"/>
      <c r="O252" s="155"/>
      <c r="P252" s="155"/>
      <c r="Q252" s="155"/>
      <c r="R252" s="155">
        <f t="shared" si="24"/>
        <v>0</v>
      </c>
      <c r="S252" s="155"/>
      <c r="T252" s="155"/>
      <c r="U252" s="155"/>
      <c r="V252" s="155"/>
      <c r="W252" s="155"/>
      <c r="X252" s="161">
        <f t="shared" si="29"/>
        <v>0</v>
      </c>
      <c r="Y252" s="237">
        <f t="shared" si="30"/>
        <v>0</v>
      </c>
      <c r="Z252" s="329"/>
      <c r="AA252" s="353"/>
    </row>
    <row r="253" spans="1:27" ht="24" hidden="1" customHeight="1" x14ac:dyDescent="0.25">
      <c r="A253" s="18">
        <v>105</v>
      </c>
      <c r="B253" s="670" t="s">
        <v>551</v>
      </c>
      <c r="C253" s="41" t="s">
        <v>552</v>
      </c>
      <c r="D253" s="155"/>
      <c r="E253" s="155"/>
      <c r="F253" s="155">
        <f>127+34</f>
        <v>161</v>
      </c>
      <c r="G253" s="155"/>
      <c r="H253" s="155"/>
      <c r="I253" s="155"/>
      <c r="J253" s="155"/>
      <c r="K253" s="155"/>
      <c r="L253" s="155">
        <f>-127-34</f>
        <v>-161</v>
      </c>
      <c r="M253" s="155"/>
      <c r="N253" s="155"/>
      <c r="O253" s="155"/>
      <c r="P253" s="155"/>
      <c r="Q253" s="155"/>
      <c r="R253" s="155">
        <f t="shared" si="24"/>
        <v>0</v>
      </c>
      <c r="S253" s="155"/>
      <c r="T253" s="155"/>
      <c r="U253" s="155"/>
      <c r="V253" s="155"/>
      <c r="W253" s="155"/>
      <c r="X253" s="161">
        <f t="shared" si="29"/>
        <v>0</v>
      </c>
      <c r="Y253" s="237">
        <f t="shared" si="30"/>
        <v>0</v>
      </c>
      <c r="Z253" s="329"/>
      <c r="AA253" s="353"/>
    </row>
    <row r="254" spans="1:27" ht="24" hidden="1" customHeight="1" x14ac:dyDescent="0.2">
      <c r="A254" s="82">
        <v>106</v>
      </c>
      <c r="B254" s="670" t="s">
        <v>553</v>
      </c>
      <c r="C254" s="41" t="s">
        <v>554</v>
      </c>
      <c r="D254" s="155"/>
      <c r="E254" s="155"/>
      <c r="F254" s="155">
        <f>43.5+11.745</f>
        <v>55.244999999999997</v>
      </c>
      <c r="G254" s="155"/>
      <c r="H254" s="155"/>
      <c r="I254" s="155"/>
      <c r="J254" s="155">
        <f>-55.245</f>
        <v>-55.244999999999997</v>
      </c>
      <c r="K254" s="155"/>
      <c r="L254" s="155"/>
      <c r="M254" s="155"/>
      <c r="N254" s="155"/>
      <c r="O254" s="155"/>
      <c r="P254" s="155"/>
      <c r="Q254" s="155"/>
      <c r="R254" s="155">
        <f t="shared" si="24"/>
        <v>0</v>
      </c>
      <c r="S254" s="155"/>
      <c r="T254" s="155"/>
      <c r="U254" s="155"/>
      <c r="V254" s="155"/>
      <c r="W254" s="155"/>
      <c r="X254" s="161">
        <f t="shared" si="29"/>
        <v>0</v>
      </c>
      <c r="Y254" s="237">
        <f t="shared" si="30"/>
        <v>0</v>
      </c>
      <c r="Z254" s="329"/>
      <c r="AA254" s="353"/>
    </row>
    <row r="255" spans="1:27" ht="24" hidden="1" customHeight="1" x14ac:dyDescent="0.25">
      <c r="A255" s="18">
        <v>107</v>
      </c>
      <c r="B255" s="670" t="s">
        <v>539</v>
      </c>
      <c r="C255" s="41" t="s">
        <v>540</v>
      </c>
      <c r="D255" s="155">
        <f>-675</f>
        <v>-675</v>
      </c>
      <c r="E255" s="155"/>
      <c r="F255" s="155"/>
      <c r="G255" s="155"/>
      <c r="H255" s="155"/>
      <c r="I255" s="155"/>
      <c r="J255" s="155"/>
      <c r="K255" s="155"/>
      <c r="L255" s="155"/>
      <c r="M255" s="155"/>
      <c r="N255" s="155"/>
      <c r="O255" s="155"/>
      <c r="P255" s="155"/>
      <c r="Q255" s="155"/>
      <c r="R255" s="155">
        <f>SUM(D255:Q255)</f>
        <v>-675</v>
      </c>
      <c r="S255" s="155"/>
      <c r="T255" s="155"/>
      <c r="U255" s="155"/>
      <c r="V255" s="155"/>
      <c r="W255" s="155"/>
      <c r="X255" s="161">
        <f t="shared" si="29"/>
        <v>0</v>
      </c>
      <c r="Y255" s="237">
        <f t="shared" si="30"/>
        <v>-675</v>
      </c>
      <c r="Z255" s="329">
        <f>675</f>
        <v>675</v>
      </c>
      <c r="AA255" s="353"/>
    </row>
    <row r="256" spans="1:27" ht="24" hidden="1" customHeight="1" x14ac:dyDescent="0.2">
      <c r="A256" s="82">
        <v>108</v>
      </c>
      <c r="B256" s="670" t="s">
        <v>555</v>
      </c>
      <c r="C256" s="41" t="s">
        <v>249</v>
      </c>
      <c r="D256" s="155"/>
      <c r="E256" s="155"/>
      <c r="F256" s="155">
        <f>189</f>
        <v>189</v>
      </c>
      <c r="G256" s="155"/>
      <c r="H256" s="155"/>
      <c r="I256" s="155"/>
      <c r="J256" s="155"/>
      <c r="K256" s="155">
        <f>700</f>
        <v>700</v>
      </c>
      <c r="L256" s="155"/>
      <c r="M256" s="155"/>
      <c r="N256" s="155"/>
      <c r="O256" s="155"/>
      <c r="P256" s="155"/>
      <c r="Q256" s="155"/>
      <c r="R256" s="155">
        <f t="shared" si="24"/>
        <v>889</v>
      </c>
      <c r="S256" s="155"/>
      <c r="T256" s="155"/>
      <c r="U256" s="155"/>
      <c r="V256" s="155"/>
      <c r="W256" s="155"/>
      <c r="X256" s="161">
        <f t="shared" si="29"/>
        <v>0</v>
      </c>
      <c r="Y256" s="237">
        <f t="shared" si="30"/>
        <v>889</v>
      </c>
      <c r="Z256" s="329"/>
      <c r="AA256" s="353"/>
    </row>
    <row r="257" spans="1:27" ht="24" hidden="1" customHeight="1" x14ac:dyDescent="0.25">
      <c r="A257" s="18">
        <v>109</v>
      </c>
      <c r="B257" s="670" t="s">
        <v>556</v>
      </c>
      <c r="C257" s="41" t="s">
        <v>557</v>
      </c>
      <c r="D257" s="155"/>
      <c r="E257" s="155"/>
      <c r="F257" s="155"/>
      <c r="G257" s="155"/>
      <c r="H257" s="155"/>
      <c r="I257" s="155"/>
      <c r="J257" s="155"/>
      <c r="K257" s="155">
        <f>-5000</f>
        <v>-5000</v>
      </c>
      <c r="L257" s="155"/>
      <c r="M257" s="155"/>
      <c r="N257" s="155"/>
      <c r="O257" s="155"/>
      <c r="P257" s="155"/>
      <c r="Q257" s="155"/>
      <c r="R257" s="155">
        <f t="shared" si="24"/>
        <v>-5000</v>
      </c>
      <c r="S257" s="155"/>
      <c r="T257" s="155"/>
      <c r="U257" s="155"/>
      <c r="V257" s="155"/>
      <c r="W257" s="155"/>
      <c r="X257" s="161">
        <f t="shared" si="29"/>
        <v>0</v>
      </c>
      <c r="Y257" s="237">
        <f t="shared" si="30"/>
        <v>-5000</v>
      </c>
      <c r="Z257" s="329">
        <f>5000</f>
        <v>5000</v>
      </c>
      <c r="AA257" s="353"/>
    </row>
    <row r="258" spans="1:27" ht="24" hidden="1" customHeight="1" x14ac:dyDescent="0.2">
      <c r="A258" s="82">
        <v>110</v>
      </c>
      <c r="B258" s="670" t="s">
        <v>560</v>
      </c>
      <c r="C258" s="41" t="s">
        <v>352</v>
      </c>
      <c r="D258" s="155">
        <f>-1027</f>
        <v>-1027</v>
      </c>
      <c r="E258" s="155">
        <f>-226</f>
        <v>-226</v>
      </c>
      <c r="F258" s="155">
        <f>1195+58</f>
        <v>1253</v>
      </c>
      <c r="G258" s="155"/>
      <c r="H258" s="155"/>
      <c r="I258" s="155"/>
      <c r="J258" s="155"/>
      <c r="K258" s="155"/>
      <c r="L258" s="155"/>
      <c r="M258" s="155"/>
      <c r="N258" s="155"/>
      <c r="O258" s="155"/>
      <c r="P258" s="155"/>
      <c r="Q258" s="155"/>
      <c r="R258" s="155">
        <f t="shared" si="24"/>
        <v>0</v>
      </c>
      <c r="S258" s="155"/>
      <c r="T258" s="155"/>
      <c r="U258" s="155"/>
      <c r="V258" s="155"/>
      <c r="W258" s="155"/>
      <c r="X258" s="161">
        <f t="shared" si="29"/>
        <v>0</v>
      </c>
      <c r="Y258" s="237">
        <f t="shared" si="30"/>
        <v>0</v>
      </c>
      <c r="Z258" s="329"/>
      <c r="AA258" s="353"/>
    </row>
    <row r="259" spans="1:27" ht="24" hidden="1" customHeight="1" x14ac:dyDescent="0.25">
      <c r="A259" s="18">
        <v>111</v>
      </c>
      <c r="B259" s="670" t="s">
        <v>561</v>
      </c>
      <c r="C259" s="41" t="s">
        <v>562</v>
      </c>
      <c r="D259" s="155"/>
      <c r="E259" s="155"/>
      <c r="F259" s="155">
        <f>263</f>
        <v>263</v>
      </c>
      <c r="G259" s="155"/>
      <c r="H259" s="155"/>
      <c r="I259" s="155"/>
      <c r="J259" s="155"/>
      <c r="K259" s="155"/>
      <c r="L259" s="155">
        <f>-207-56</f>
        <v>-263</v>
      </c>
      <c r="M259" s="155"/>
      <c r="N259" s="155"/>
      <c r="O259" s="155"/>
      <c r="P259" s="155"/>
      <c r="Q259" s="155"/>
      <c r="R259" s="155">
        <f t="shared" si="24"/>
        <v>0</v>
      </c>
      <c r="S259" s="155"/>
      <c r="T259" s="155"/>
      <c r="U259" s="155"/>
      <c r="V259" s="155"/>
      <c r="W259" s="155"/>
      <c r="X259" s="161">
        <f t="shared" si="29"/>
        <v>0</v>
      </c>
      <c r="Y259" s="237">
        <f t="shared" si="30"/>
        <v>0</v>
      </c>
      <c r="Z259" s="329"/>
      <c r="AA259" s="353"/>
    </row>
    <row r="260" spans="1:27" ht="24" hidden="1" customHeight="1" x14ac:dyDescent="0.2">
      <c r="A260" s="82">
        <v>112</v>
      </c>
      <c r="B260" s="670" t="s">
        <v>565</v>
      </c>
      <c r="C260" s="41" t="s">
        <v>566</v>
      </c>
      <c r="D260" s="155"/>
      <c r="E260" s="155"/>
      <c r="F260" s="155">
        <f>496</f>
        <v>496</v>
      </c>
      <c r="G260" s="155"/>
      <c r="H260" s="155"/>
      <c r="I260" s="155"/>
      <c r="J260" s="155"/>
      <c r="K260" s="155"/>
      <c r="L260" s="155">
        <f>-391-105</f>
        <v>-496</v>
      </c>
      <c r="M260" s="155"/>
      <c r="N260" s="155"/>
      <c r="O260" s="155"/>
      <c r="P260" s="155"/>
      <c r="Q260" s="155"/>
      <c r="R260" s="155">
        <f t="shared" si="24"/>
        <v>0</v>
      </c>
      <c r="S260" s="155"/>
      <c r="T260" s="155"/>
      <c r="U260" s="155"/>
      <c r="V260" s="155"/>
      <c r="W260" s="155"/>
      <c r="X260" s="161">
        <f t="shared" ref="X260" si="31">SUM(T260:W260)</f>
        <v>0</v>
      </c>
      <c r="Y260" s="237">
        <f t="shared" ref="Y260" si="32">R260+X260</f>
        <v>0</v>
      </c>
      <c r="Z260" s="329"/>
      <c r="AA260" s="353"/>
    </row>
    <row r="261" spans="1:27" ht="24" hidden="1" customHeight="1" x14ac:dyDescent="0.25">
      <c r="A261" s="18">
        <v>113</v>
      </c>
      <c r="B261" s="516" t="s">
        <v>563</v>
      </c>
      <c r="C261" s="34" t="s">
        <v>564</v>
      </c>
      <c r="D261" s="155"/>
      <c r="E261" s="155"/>
      <c r="F261" s="155"/>
      <c r="G261" s="155"/>
      <c r="H261" s="155"/>
      <c r="I261" s="155"/>
      <c r="J261" s="155"/>
      <c r="K261" s="155"/>
      <c r="L261" s="155">
        <f>650+175</f>
        <v>825</v>
      </c>
      <c r="M261" s="155">
        <f>-649-176</f>
        <v>-825</v>
      </c>
      <c r="N261" s="155"/>
      <c r="O261" s="155"/>
      <c r="P261" s="155"/>
      <c r="Q261" s="155"/>
      <c r="R261" s="155">
        <f t="shared" si="24"/>
        <v>0</v>
      </c>
      <c r="S261" s="155"/>
      <c r="T261" s="155"/>
      <c r="U261" s="155"/>
      <c r="V261" s="155"/>
      <c r="W261" s="155"/>
      <c r="X261" s="161">
        <f t="shared" si="29"/>
        <v>0</v>
      </c>
      <c r="Y261" s="237">
        <f t="shared" si="30"/>
        <v>0</v>
      </c>
      <c r="Z261" s="329"/>
      <c r="AA261" s="353"/>
    </row>
    <row r="262" spans="1:27" ht="32.25" hidden="1" customHeight="1" x14ac:dyDescent="0.2">
      <c r="A262" s="82">
        <v>114</v>
      </c>
      <c r="B262" s="670" t="s">
        <v>568</v>
      </c>
      <c r="C262" s="41" t="s">
        <v>567</v>
      </c>
      <c r="D262" s="155">
        <f>550</f>
        <v>550</v>
      </c>
      <c r="E262" s="155">
        <f>121</f>
        <v>121</v>
      </c>
      <c r="F262" s="155"/>
      <c r="G262" s="155"/>
      <c r="H262" s="155"/>
      <c r="I262" s="155"/>
      <c r="J262" s="155"/>
      <c r="K262" s="155">
        <f>-671</f>
        <v>-671</v>
      </c>
      <c r="L262" s="155"/>
      <c r="M262" s="155"/>
      <c r="N262" s="155"/>
      <c r="O262" s="155"/>
      <c r="P262" s="155"/>
      <c r="Q262" s="155"/>
      <c r="R262" s="155">
        <f t="shared" si="24"/>
        <v>0</v>
      </c>
      <c r="S262" s="155"/>
      <c r="T262" s="155"/>
      <c r="U262" s="155"/>
      <c r="V262" s="155"/>
      <c r="W262" s="155"/>
      <c r="X262" s="161">
        <f t="shared" si="29"/>
        <v>0</v>
      </c>
      <c r="Y262" s="237">
        <f t="shared" si="30"/>
        <v>0</v>
      </c>
      <c r="Z262" s="329"/>
      <c r="AA262" s="353"/>
    </row>
    <row r="263" spans="1:27" ht="24" hidden="1" customHeight="1" x14ac:dyDescent="0.25">
      <c r="A263" s="18">
        <v>115</v>
      </c>
      <c r="B263" s="516" t="s">
        <v>574</v>
      </c>
      <c r="C263" s="41" t="s">
        <v>575</v>
      </c>
      <c r="D263" s="155"/>
      <c r="E263" s="155"/>
      <c r="F263" s="155">
        <f>4321+1167</f>
        <v>5488</v>
      </c>
      <c r="G263" s="155"/>
      <c r="H263" s="155"/>
      <c r="I263" s="155"/>
      <c r="J263" s="155"/>
      <c r="K263" s="155">
        <f>-5488</f>
        <v>-5488</v>
      </c>
      <c r="L263" s="155"/>
      <c r="M263" s="155"/>
      <c r="N263" s="155"/>
      <c r="O263" s="155"/>
      <c r="P263" s="155"/>
      <c r="Q263" s="155"/>
      <c r="R263" s="155">
        <f t="shared" si="24"/>
        <v>0</v>
      </c>
      <c r="S263" s="155"/>
      <c r="T263" s="155"/>
      <c r="U263" s="155"/>
      <c r="V263" s="155"/>
      <c r="W263" s="155"/>
      <c r="X263" s="161">
        <f t="shared" si="29"/>
        <v>0</v>
      </c>
      <c r="Y263" s="237">
        <f t="shared" si="30"/>
        <v>0</v>
      </c>
      <c r="Z263" s="329"/>
      <c r="AA263" s="353"/>
    </row>
    <row r="264" spans="1:27" ht="24" hidden="1" customHeight="1" x14ac:dyDescent="0.2">
      <c r="A264" s="82">
        <v>116</v>
      </c>
      <c r="B264" s="516" t="s">
        <v>576</v>
      </c>
      <c r="C264" s="41" t="s">
        <v>577</v>
      </c>
      <c r="D264" s="155"/>
      <c r="E264" s="155"/>
      <c r="F264" s="155">
        <f>866+234</f>
        <v>1100</v>
      </c>
      <c r="G264" s="155"/>
      <c r="H264" s="155"/>
      <c r="I264" s="155"/>
      <c r="J264" s="155"/>
      <c r="K264" s="155">
        <f>-1100</f>
        <v>-1100</v>
      </c>
      <c r="L264" s="155"/>
      <c r="M264" s="155"/>
      <c r="N264" s="155"/>
      <c r="O264" s="155"/>
      <c r="P264" s="155"/>
      <c r="Q264" s="155"/>
      <c r="R264" s="155">
        <f t="shared" si="24"/>
        <v>0</v>
      </c>
      <c r="S264" s="155"/>
      <c r="T264" s="155"/>
      <c r="U264" s="155"/>
      <c r="V264" s="155"/>
      <c r="W264" s="155"/>
      <c r="X264" s="161">
        <f t="shared" si="29"/>
        <v>0</v>
      </c>
      <c r="Y264" s="237">
        <f t="shared" si="30"/>
        <v>0</v>
      </c>
      <c r="Z264" s="329"/>
      <c r="AA264" s="353"/>
    </row>
    <row r="265" spans="1:27" ht="24" hidden="1" customHeight="1" x14ac:dyDescent="0.25">
      <c r="A265" s="18">
        <v>117</v>
      </c>
      <c r="B265" s="670" t="s">
        <v>578</v>
      </c>
      <c r="C265" s="41" t="s">
        <v>579</v>
      </c>
      <c r="D265" s="155"/>
      <c r="E265" s="155"/>
      <c r="F265" s="155"/>
      <c r="G265" s="155"/>
      <c r="H265" s="155"/>
      <c r="I265" s="155"/>
      <c r="J265" s="155"/>
      <c r="K265" s="155">
        <f>-8078</f>
        <v>-8078</v>
      </c>
      <c r="L265" s="155"/>
      <c r="M265" s="155"/>
      <c r="N265" s="155"/>
      <c r="O265" s="155"/>
      <c r="P265" s="155"/>
      <c r="Q265" s="155"/>
      <c r="R265" s="155">
        <f t="shared" si="24"/>
        <v>-8078</v>
      </c>
      <c r="S265" s="155"/>
      <c r="T265" s="155"/>
      <c r="U265" s="155"/>
      <c r="V265" s="155"/>
      <c r="W265" s="155"/>
      <c r="X265" s="161">
        <f t="shared" si="29"/>
        <v>0</v>
      </c>
      <c r="Y265" s="237">
        <f t="shared" si="30"/>
        <v>-8078</v>
      </c>
      <c r="Z265" s="329">
        <f>8078</f>
        <v>8078</v>
      </c>
      <c r="AA265" s="353"/>
    </row>
    <row r="266" spans="1:27" ht="24" hidden="1" customHeight="1" x14ac:dyDescent="0.2">
      <c r="A266" s="82">
        <v>118</v>
      </c>
      <c r="B266" s="670" t="s">
        <v>581</v>
      </c>
      <c r="C266" s="41" t="s">
        <v>582</v>
      </c>
      <c r="D266" s="155"/>
      <c r="E266" s="155"/>
      <c r="F266" s="155">
        <f>73710</f>
        <v>73710</v>
      </c>
      <c r="G266" s="155"/>
      <c r="H266" s="155"/>
      <c r="I266" s="155"/>
      <c r="J266" s="155"/>
      <c r="K266" s="155"/>
      <c r="L266" s="155">
        <f>-73710</f>
        <v>-73710</v>
      </c>
      <c r="M266" s="155"/>
      <c r="N266" s="155"/>
      <c r="O266" s="155"/>
      <c r="P266" s="155"/>
      <c r="Q266" s="155"/>
      <c r="R266" s="155">
        <f t="shared" si="24"/>
        <v>0</v>
      </c>
      <c r="S266" s="155"/>
      <c r="T266" s="155"/>
      <c r="U266" s="155"/>
      <c r="V266" s="155"/>
      <c r="W266" s="155"/>
      <c r="X266" s="161">
        <f t="shared" si="29"/>
        <v>0</v>
      </c>
      <c r="Y266" s="237">
        <f t="shared" si="30"/>
        <v>0</v>
      </c>
      <c r="Z266" s="329"/>
      <c r="AA266" s="353"/>
    </row>
    <row r="267" spans="1:27" ht="24" hidden="1" customHeight="1" x14ac:dyDescent="0.25">
      <c r="A267" s="18">
        <v>119</v>
      </c>
      <c r="B267" s="516" t="s">
        <v>583</v>
      </c>
      <c r="C267" s="41" t="s">
        <v>241</v>
      </c>
      <c r="D267" s="155"/>
      <c r="E267" s="155"/>
      <c r="F267" s="155">
        <f>60+16</f>
        <v>76</v>
      </c>
      <c r="G267" s="155"/>
      <c r="H267" s="155"/>
      <c r="I267" s="155"/>
      <c r="J267" s="155"/>
      <c r="K267" s="155"/>
      <c r="L267" s="155">
        <f>-60-16</f>
        <v>-76</v>
      </c>
      <c r="M267" s="155"/>
      <c r="N267" s="155"/>
      <c r="O267" s="155"/>
      <c r="P267" s="155"/>
      <c r="Q267" s="155"/>
      <c r="R267" s="155">
        <f t="shared" si="24"/>
        <v>0</v>
      </c>
      <c r="S267" s="155"/>
      <c r="T267" s="155"/>
      <c r="U267" s="155"/>
      <c r="V267" s="155"/>
      <c r="W267" s="155"/>
      <c r="X267" s="161">
        <f t="shared" si="29"/>
        <v>0</v>
      </c>
      <c r="Y267" s="237">
        <f t="shared" si="30"/>
        <v>0</v>
      </c>
      <c r="Z267" s="329"/>
      <c r="AA267" s="353"/>
    </row>
    <row r="268" spans="1:27" ht="24" hidden="1" customHeight="1" x14ac:dyDescent="0.2">
      <c r="A268" s="82">
        <v>120</v>
      </c>
      <c r="B268" s="670" t="s">
        <v>585</v>
      </c>
      <c r="C268" s="41" t="s">
        <v>584</v>
      </c>
      <c r="D268" s="155"/>
      <c r="E268" s="155"/>
      <c r="F268" s="155">
        <f>80+6+37+24+9</f>
        <v>156</v>
      </c>
      <c r="G268" s="155"/>
      <c r="H268" s="155"/>
      <c r="I268" s="155"/>
      <c r="J268" s="155"/>
      <c r="K268" s="155"/>
      <c r="L268" s="155">
        <f>-123-33</f>
        <v>-156</v>
      </c>
      <c r="M268" s="155"/>
      <c r="N268" s="155"/>
      <c r="O268" s="155"/>
      <c r="P268" s="155"/>
      <c r="Q268" s="155"/>
      <c r="R268" s="155">
        <f t="shared" si="24"/>
        <v>0</v>
      </c>
      <c r="S268" s="155"/>
      <c r="T268" s="155"/>
      <c r="U268" s="155"/>
      <c r="V268" s="155"/>
      <c r="W268" s="155"/>
      <c r="X268" s="161">
        <f t="shared" si="29"/>
        <v>0</v>
      </c>
      <c r="Y268" s="237">
        <f t="shared" si="30"/>
        <v>0</v>
      </c>
      <c r="Z268" s="329"/>
      <c r="AA268" s="353"/>
    </row>
    <row r="269" spans="1:27" ht="24" hidden="1" customHeight="1" x14ac:dyDescent="0.25">
      <c r="A269" s="18">
        <v>121</v>
      </c>
      <c r="B269" s="670" t="s">
        <v>586</v>
      </c>
      <c r="C269" s="41" t="s">
        <v>587</v>
      </c>
      <c r="D269" s="155"/>
      <c r="E269" s="155"/>
      <c r="F269" s="155">
        <f>-685</f>
        <v>-685</v>
      </c>
      <c r="G269" s="155"/>
      <c r="H269" s="155"/>
      <c r="I269" s="155"/>
      <c r="J269" s="155"/>
      <c r="K269" s="155"/>
      <c r="L269" s="155"/>
      <c r="M269" s="155"/>
      <c r="N269" s="155"/>
      <c r="O269" s="155"/>
      <c r="P269" s="155"/>
      <c r="Q269" s="155">
        <f>685</f>
        <v>685</v>
      </c>
      <c r="R269" s="155">
        <f t="shared" si="24"/>
        <v>0</v>
      </c>
      <c r="S269" s="155"/>
      <c r="T269" s="155"/>
      <c r="U269" s="155"/>
      <c r="V269" s="155"/>
      <c r="W269" s="155"/>
      <c r="X269" s="161">
        <f t="shared" si="29"/>
        <v>0</v>
      </c>
      <c r="Y269" s="237">
        <f t="shared" si="30"/>
        <v>0</v>
      </c>
      <c r="Z269" s="329"/>
      <c r="AA269" s="353"/>
    </row>
    <row r="270" spans="1:27" ht="24" hidden="1" customHeight="1" x14ac:dyDescent="0.2">
      <c r="A270" s="82">
        <v>122</v>
      </c>
      <c r="B270" s="704" t="s">
        <v>588</v>
      </c>
      <c r="C270" s="41" t="s">
        <v>589</v>
      </c>
      <c r="D270" s="155"/>
      <c r="E270" s="155"/>
      <c r="F270" s="155"/>
      <c r="G270" s="155"/>
      <c r="H270" s="155"/>
      <c r="I270" s="155"/>
      <c r="J270" s="155"/>
      <c r="K270" s="155"/>
      <c r="L270" s="155"/>
      <c r="M270" s="155"/>
      <c r="N270" s="155"/>
      <c r="O270" s="155"/>
      <c r="P270" s="155"/>
      <c r="Q270" s="155"/>
      <c r="R270" s="155">
        <f t="shared" si="24"/>
        <v>0</v>
      </c>
      <c r="S270" s="155"/>
      <c r="T270" s="155"/>
      <c r="U270" s="155">
        <f>625000</f>
        <v>625000</v>
      </c>
      <c r="V270" s="155"/>
      <c r="W270" s="155"/>
      <c r="X270" s="161">
        <f t="shared" si="29"/>
        <v>625000</v>
      </c>
      <c r="Y270" s="237">
        <f t="shared" si="30"/>
        <v>625000</v>
      </c>
      <c r="Z270" s="329"/>
      <c r="AA270" s="353"/>
    </row>
    <row r="271" spans="1:27" ht="24" hidden="1" customHeight="1" x14ac:dyDescent="0.2">
      <c r="A271" s="82"/>
      <c r="B271" s="670"/>
      <c r="C271" s="41"/>
      <c r="D271" s="155"/>
      <c r="E271" s="155"/>
      <c r="F271" s="155"/>
      <c r="G271" s="155"/>
      <c r="H271" s="155"/>
      <c r="I271" s="155"/>
      <c r="J271" s="155"/>
      <c r="K271" s="155"/>
      <c r="L271" s="155"/>
      <c r="M271" s="155"/>
      <c r="N271" s="155"/>
      <c r="O271" s="155"/>
      <c r="P271" s="155"/>
      <c r="Q271" s="155"/>
      <c r="R271" s="155">
        <f t="shared" si="24"/>
        <v>0</v>
      </c>
      <c r="S271" s="155"/>
      <c r="T271" s="155"/>
      <c r="U271" s="155"/>
      <c r="V271" s="155"/>
      <c r="W271" s="155"/>
      <c r="X271" s="161">
        <f t="shared" si="29"/>
        <v>0</v>
      </c>
      <c r="Y271" s="237">
        <f t="shared" si="30"/>
        <v>0</v>
      </c>
      <c r="Z271" s="329"/>
      <c r="AA271" s="353"/>
    </row>
    <row r="272" spans="1:27" ht="24" hidden="1" customHeight="1" x14ac:dyDescent="0.2">
      <c r="A272" s="82"/>
      <c r="B272" s="670"/>
      <c r="C272" s="41"/>
      <c r="D272" s="155"/>
      <c r="E272" s="155"/>
      <c r="F272" s="155"/>
      <c r="G272" s="155"/>
      <c r="H272" s="155"/>
      <c r="I272" s="155"/>
      <c r="J272" s="155"/>
      <c r="K272" s="155"/>
      <c r="L272" s="155"/>
      <c r="M272" s="155"/>
      <c r="N272" s="155"/>
      <c r="O272" s="155"/>
      <c r="P272" s="155"/>
      <c r="Q272" s="155"/>
      <c r="R272" s="155">
        <f t="shared" si="24"/>
        <v>0</v>
      </c>
      <c r="S272" s="155"/>
      <c r="T272" s="155"/>
      <c r="U272" s="155"/>
      <c r="V272" s="155"/>
      <c r="W272" s="155"/>
      <c r="X272" s="161">
        <f t="shared" si="29"/>
        <v>0</v>
      </c>
      <c r="Y272" s="237">
        <f t="shared" si="30"/>
        <v>0</v>
      </c>
      <c r="Z272" s="329"/>
      <c r="AA272" s="353"/>
    </row>
    <row r="273" spans="1:28" ht="24" hidden="1" customHeight="1" x14ac:dyDescent="0.2">
      <c r="A273" s="82"/>
      <c r="B273" s="31"/>
      <c r="C273" s="41" t="s">
        <v>68</v>
      </c>
      <c r="D273" s="155"/>
      <c r="E273" s="155"/>
      <c r="F273" s="155"/>
      <c r="G273" s="155"/>
      <c r="H273" s="155"/>
      <c r="I273" s="155"/>
      <c r="J273" s="155"/>
      <c r="K273" s="155"/>
      <c r="L273" s="155"/>
      <c r="M273" s="155"/>
      <c r="N273" s="155"/>
      <c r="O273" s="155"/>
      <c r="P273" s="155"/>
      <c r="Q273" s="155"/>
      <c r="R273" s="155">
        <f t="shared" si="24"/>
        <v>0</v>
      </c>
      <c r="S273" s="155"/>
      <c r="T273" s="155"/>
      <c r="U273" s="155"/>
      <c r="V273" s="155"/>
      <c r="W273" s="155"/>
      <c r="X273" s="161">
        <f t="shared" ref="X273:X359" si="33">SUM(T273:W273)</f>
        <v>0</v>
      </c>
      <c r="Y273" s="237">
        <f t="shared" ref="Y273:Y359" si="34">R273+X273</f>
        <v>0</v>
      </c>
      <c r="Z273" s="329"/>
      <c r="AA273" s="353"/>
    </row>
    <row r="274" spans="1:28" ht="17.25" hidden="1" customHeight="1" thickBot="1" x14ac:dyDescent="0.25">
      <c r="A274" s="82"/>
      <c r="B274" s="104"/>
      <c r="C274" s="105"/>
      <c r="D274" s="106"/>
      <c r="E274" s="106"/>
      <c r="F274" s="72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>
        <f t="shared" si="24"/>
        <v>0</v>
      </c>
      <c r="S274" s="106"/>
      <c r="T274" s="106"/>
      <c r="U274" s="106"/>
      <c r="V274" s="106"/>
      <c r="W274" s="106"/>
      <c r="X274" s="107"/>
      <c r="Y274" s="369"/>
      <c r="Z274" s="380"/>
      <c r="AA274" s="345"/>
    </row>
    <row r="275" spans="1:28" ht="24" hidden="1" customHeight="1" thickTop="1" thickBot="1" x14ac:dyDescent="0.25">
      <c r="A275" s="42"/>
      <c r="B275" s="109" t="s">
        <v>180</v>
      </c>
      <c r="C275" s="44" t="s">
        <v>19</v>
      </c>
      <c r="D275" s="483">
        <f t="shared" ref="D275:Z275" si="35">SUM(D149:D274)</f>
        <v>-16897.5</v>
      </c>
      <c r="E275" s="483">
        <f t="shared" si="35"/>
        <v>-3565.63</v>
      </c>
      <c r="F275" s="483">
        <f t="shared" si="35"/>
        <v>53044.907999999996</v>
      </c>
      <c r="G275" s="483">
        <f t="shared" si="35"/>
        <v>300</v>
      </c>
      <c r="H275" s="483">
        <f t="shared" si="35"/>
        <v>0</v>
      </c>
      <c r="I275" s="483">
        <f t="shared" si="35"/>
        <v>9171</v>
      </c>
      <c r="J275" s="483">
        <f t="shared" si="35"/>
        <v>5786.7550000000001</v>
      </c>
      <c r="K275" s="483">
        <f t="shared" si="35"/>
        <v>-154309.55599999998</v>
      </c>
      <c r="L275" s="483">
        <f t="shared" si="35"/>
        <v>152443.611</v>
      </c>
      <c r="M275" s="483">
        <f t="shared" si="35"/>
        <v>-525</v>
      </c>
      <c r="N275" s="483">
        <f t="shared" si="35"/>
        <v>0</v>
      </c>
      <c r="O275" s="483">
        <f t="shared" si="35"/>
        <v>0</v>
      </c>
      <c r="P275" s="483">
        <f t="shared" si="35"/>
        <v>0</v>
      </c>
      <c r="Q275" s="483">
        <f t="shared" si="35"/>
        <v>30863</v>
      </c>
      <c r="R275" s="483">
        <f t="shared" si="35"/>
        <v>76311.58799999996</v>
      </c>
      <c r="S275" s="483">
        <f t="shared" si="35"/>
        <v>0</v>
      </c>
      <c r="T275" s="483">
        <f t="shared" si="35"/>
        <v>0</v>
      </c>
      <c r="U275" s="483">
        <f t="shared" si="35"/>
        <v>2320052</v>
      </c>
      <c r="V275" s="483">
        <f t="shared" si="35"/>
        <v>0</v>
      </c>
      <c r="W275" s="483">
        <f t="shared" si="35"/>
        <v>0</v>
      </c>
      <c r="X275" s="483">
        <f t="shared" si="35"/>
        <v>2320052</v>
      </c>
      <c r="Y275" s="483">
        <f t="shared" si="35"/>
        <v>2396363.588</v>
      </c>
      <c r="Z275" s="483">
        <f t="shared" si="35"/>
        <v>216239.06100000002</v>
      </c>
      <c r="AA275" s="354"/>
    </row>
    <row r="276" spans="1:28" ht="16.5" hidden="1" customHeight="1" thickTop="1" x14ac:dyDescent="0.2">
      <c r="A276" s="82"/>
      <c r="B276" s="31"/>
      <c r="C276" s="41"/>
      <c r="D276" s="155"/>
      <c r="E276" s="155"/>
      <c r="F276" s="155"/>
      <c r="G276" s="155"/>
      <c r="H276" s="155"/>
      <c r="I276" s="155"/>
      <c r="J276" s="155"/>
      <c r="K276" s="155"/>
      <c r="L276" s="155"/>
      <c r="M276" s="155"/>
      <c r="N276" s="155"/>
      <c r="O276" s="155"/>
      <c r="P276" s="155"/>
      <c r="Q276" s="155"/>
      <c r="R276" s="155">
        <f t="shared" si="24"/>
        <v>0</v>
      </c>
      <c r="S276" s="155"/>
      <c r="T276" s="155"/>
      <c r="U276" s="155"/>
      <c r="V276" s="155"/>
      <c r="W276" s="155"/>
      <c r="X276" s="161">
        <f t="shared" si="33"/>
        <v>0</v>
      </c>
      <c r="Y276" s="237">
        <f t="shared" si="34"/>
        <v>0</v>
      </c>
      <c r="Z276" s="329"/>
      <c r="AA276" s="353"/>
    </row>
    <row r="277" spans="1:28" ht="16.5" hidden="1" customHeight="1" x14ac:dyDescent="0.2">
      <c r="A277" s="82"/>
      <c r="B277" s="32"/>
      <c r="C277" s="41"/>
      <c r="D277" s="155"/>
      <c r="E277" s="155"/>
      <c r="F277" s="155"/>
      <c r="G277" s="155"/>
      <c r="H277" s="155"/>
      <c r="I277" s="155"/>
      <c r="J277" s="155"/>
      <c r="K277" s="155"/>
      <c r="L277" s="155"/>
      <c r="M277" s="155"/>
      <c r="N277" s="155"/>
      <c r="O277" s="155"/>
      <c r="P277" s="155"/>
      <c r="Q277" s="155"/>
      <c r="R277" s="155">
        <f t="shared" si="24"/>
        <v>0</v>
      </c>
      <c r="S277" s="155"/>
      <c r="T277" s="155"/>
      <c r="U277" s="155"/>
      <c r="V277" s="155"/>
      <c r="W277" s="155"/>
      <c r="X277" s="161">
        <f t="shared" si="33"/>
        <v>0</v>
      </c>
      <c r="Y277" s="237">
        <f t="shared" si="34"/>
        <v>0</v>
      </c>
      <c r="Z277" s="329"/>
      <c r="AA277" s="353"/>
    </row>
    <row r="278" spans="1:28" ht="16.5" hidden="1" customHeight="1" x14ac:dyDescent="0.2">
      <c r="A278" s="82"/>
      <c r="B278" s="31"/>
      <c r="C278" s="41"/>
      <c r="D278" s="155"/>
      <c r="E278" s="155"/>
      <c r="F278" s="155"/>
      <c r="G278" s="155"/>
      <c r="H278" s="155"/>
      <c r="I278" s="155"/>
      <c r="J278" s="155"/>
      <c r="K278" s="155"/>
      <c r="L278" s="155"/>
      <c r="M278" s="155"/>
      <c r="N278" s="155"/>
      <c r="O278" s="155"/>
      <c r="P278" s="155"/>
      <c r="Q278" s="155"/>
      <c r="R278" s="155">
        <f t="shared" si="24"/>
        <v>0</v>
      </c>
      <c r="S278" s="155"/>
      <c r="T278" s="155"/>
      <c r="U278" s="155"/>
      <c r="V278" s="155"/>
      <c r="W278" s="155"/>
      <c r="X278" s="161">
        <f t="shared" si="33"/>
        <v>0</v>
      </c>
      <c r="Y278" s="237">
        <f t="shared" si="34"/>
        <v>0</v>
      </c>
      <c r="Z278" s="329"/>
      <c r="AA278" s="353"/>
    </row>
    <row r="279" spans="1:28" ht="16.5" hidden="1" customHeight="1" x14ac:dyDescent="0.2">
      <c r="A279" s="82"/>
      <c r="B279" s="31"/>
      <c r="C279" s="41"/>
      <c r="D279" s="155"/>
      <c r="E279" s="155"/>
      <c r="F279" s="155"/>
      <c r="G279" s="155"/>
      <c r="H279" s="155"/>
      <c r="I279" s="155"/>
      <c r="J279" s="155"/>
      <c r="K279" s="155"/>
      <c r="L279" s="155"/>
      <c r="M279" s="155"/>
      <c r="N279" s="155"/>
      <c r="O279" s="155"/>
      <c r="P279" s="155"/>
      <c r="Q279" s="155"/>
      <c r="R279" s="155">
        <f t="shared" si="24"/>
        <v>0</v>
      </c>
      <c r="S279" s="155"/>
      <c r="T279" s="155"/>
      <c r="U279" s="155"/>
      <c r="V279" s="155"/>
      <c r="W279" s="155"/>
      <c r="X279" s="161">
        <f t="shared" si="33"/>
        <v>0</v>
      </c>
      <c r="Y279" s="237">
        <f t="shared" si="34"/>
        <v>0</v>
      </c>
      <c r="Z279" s="329"/>
      <c r="AA279" s="353"/>
    </row>
    <row r="280" spans="1:28" ht="16.5" hidden="1" customHeight="1" x14ac:dyDescent="0.2">
      <c r="A280" s="82"/>
      <c r="B280" s="32"/>
      <c r="C280" s="41"/>
      <c r="D280" s="155"/>
      <c r="E280" s="155"/>
      <c r="F280" s="155"/>
      <c r="G280" s="155"/>
      <c r="H280" s="155"/>
      <c r="I280" s="155"/>
      <c r="J280" s="155"/>
      <c r="K280" s="155"/>
      <c r="L280" s="155"/>
      <c r="M280" s="155"/>
      <c r="N280" s="155"/>
      <c r="O280" s="155"/>
      <c r="P280" s="155"/>
      <c r="Q280" s="155"/>
      <c r="R280" s="155">
        <f t="shared" ref="R280:R398" si="36">SUM(D280:Q280)</f>
        <v>0</v>
      </c>
      <c r="S280" s="155"/>
      <c r="T280" s="155"/>
      <c r="U280" s="155"/>
      <c r="V280" s="155"/>
      <c r="W280" s="155"/>
      <c r="X280" s="161">
        <f t="shared" si="33"/>
        <v>0</v>
      </c>
      <c r="Y280" s="237">
        <f t="shared" si="34"/>
        <v>0</v>
      </c>
      <c r="Z280" s="329"/>
      <c r="AA280" s="353"/>
    </row>
    <row r="281" spans="1:28" ht="16.5" hidden="1" customHeight="1" x14ac:dyDescent="0.2">
      <c r="A281" s="82"/>
      <c r="B281" s="31"/>
      <c r="C281" s="41"/>
      <c r="D281" s="155"/>
      <c r="E281" s="155"/>
      <c r="F281" s="155"/>
      <c r="G281" s="155"/>
      <c r="H281" s="155"/>
      <c r="I281" s="155"/>
      <c r="J281" s="155"/>
      <c r="K281" s="155"/>
      <c r="L281" s="155"/>
      <c r="M281" s="155"/>
      <c r="N281" s="155"/>
      <c r="O281" s="155"/>
      <c r="P281" s="155"/>
      <c r="Q281" s="155"/>
      <c r="R281" s="155">
        <f t="shared" si="36"/>
        <v>0</v>
      </c>
      <c r="S281" s="155"/>
      <c r="T281" s="155"/>
      <c r="U281" s="155"/>
      <c r="V281" s="155"/>
      <c r="W281" s="155"/>
      <c r="X281" s="161">
        <f t="shared" si="33"/>
        <v>0</v>
      </c>
      <c r="Y281" s="237">
        <f t="shared" si="34"/>
        <v>0</v>
      </c>
      <c r="Z281" s="329"/>
      <c r="AA281" s="353"/>
    </row>
    <row r="282" spans="1:28" ht="16.5" hidden="1" customHeight="1" x14ac:dyDescent="0.2">
      <c r="A282" s="82"/>
      <c r="B282" s="31"/>
      <c r="C282" s="41"/>
      <c r="D282" s="155"/>
      <c r="E282" s="155"/>
      <c r="F282" s="155"/>
      <c r="G282" s="155"/>
      <c r="H282" s="155"/>
      <c r="I282" s="155"/>
      <c r="J282" s="155"/>
      <c r="K282" s="155"/>
      <c r="L282" s="155"/>
      <c r="M282" s="155"/>
      <c r="N282" s="155"/>
      <c r="O282" s="155"/>
      <c r="P282" s="155"/>
      <c r="Q282" s="155"/>
      <c r="R282" s="155">
        <f t="shared" si="36"/>
        <v>0</v>
      </c>
      <c r="S282" s="155"/>
      <c r="T282" s="155"/>
      <c r="U282" s="155"/>
      <c r="V282" s="155"/>
      <c r="W282" s="155"/>
      <c r="X282" s="161">
        <f t="shared" si="33"/>
        <v>0</v>
      </c>
      <c r="Y282" s="237">
        <f t="shared" si="34"/>
        <v>0</v>
      </c>
      <c r="Z282" s="329"/>
      <c r="AA282" s="353"/>
    </row>
    <row r="283" spans="1:28" ht="17.25" hidden="1" customHeight="1" thickBot="1" x14ac:dyDescent="0.25">
      <c r="A283" s="82"/>
      <c r="B283" s="31"/>
      <c r="C283" s="41"/>
      <c r="D283" s="155"/>
      <c r="E283" s="155"/>
      <c r="F283" s="155"/>
      <c r="G283" s="155"/>
      <c r="H283" s="155"/>
      <c r="I283" s="155"/>
      <c r="J283" s="155"/>
      <c r="K283" s="155"/>
      <c r="L283" s="155"/>
      <c r="M283" s="155"/>
      <c r="N283" s="155"/>
      <c r="O283" s="155"/>
      <c r="P283" s="155"/>
      <c r="Q283" s="155"/>
      <c r="R283" s="155">
        <f t="shared" si="36"/>
        <v>0</v>
      </c>
      <c r="S283" s="155"/>
      <c r="T283" s="155"/>
      <c r="U283" s="155"/>
      <c r="V283" s="155"/>
      <c r="W283" s="155"/>
      <c r="X283" s="161">
        <f t="shared" si="33"/>
        <v>0</v>
      </c>
      <c r="Y283" s="237">
        <f t="shared" si="34"/>
        <v>0</v>
      </c>
      <c r="Z283" s="329"/>
      <c r="AA283" s="353"/>
    </row>
    <row r="284" spans="1:28" ht="18.75" hidden="1" customHeight="1" thickTop="1" thickBot="1" x14ac:dyDescent="0.25">
      <c r="A284" s="108"/>
      <c r="B284" s="110" t="s">
        <v>62</v>
      </c>
      <c r="C284" s="44"/>
      <c r="D284" s="162">
        <f t="shared" ref="D284:I284" si="37">SUM(D276:D280)</f>
        <v>0</v>
      </c>
      <c r="E284" s="162">
        <f t="shared" si="37"/>
        <v>0</v>
      </c>
      <c r="F284" s="162">
        <f t="shared" si="37"/>
        <v>0</v>
      </c>
      <c r="G284" s="162">
        <f t="shared" si="37"/>
        <v>0</v>
      </c>
      <c r="H284" s="162">
        <f t="shared" si="37"/>
        <v>0</v>
      </c>
      <c r="I284" s="162">
        <f t="shared" si="37"/>
        <v>0</v>
      </c>
      <c r="J284" s="162">
        <f>SUM(J276:J280)</f>
        <v>0</v>
      </c>
      <c r="K284" s="162">
        <f t="shared" ref="K284:W284" si="38">SUM(K276:K280)</f>
        <v>0</v>
      </c>
      <c r="L284" s="162">
        <f t="shared" si="38"/>
        <v>0</v>
      </c>
      <c r="M284" s="162">
        <f t="shared" si="38"/>
        <v>0</v>
      </c>
      <c r="N284" s="162">
        <f t="shared" si="38"/>
        <v>0</v>
      </c>
      <c r="O284" s="162">
        <f t="shared" si="38"/>
        <v>0</v>
      </c>
      <c r="P284" s="162">
        <f t="shared" si="38"/>
        <v>0</v>
      </c>
      <c r="Q284" s="162">
        <f t="shared" si="38"/>
        <v>0</v>
      </c>
      <c r="R284" s="162">
        <f t="shared" si="36"/>
        <v>0</v>
      </c>
      <c r="S284" s="162"/>
      <c r="T284" s="162">
        <f t="shared" si="38"/>
        <v>0</v>
      </c>
      <c r="U284" s="162">
        <f>SUM(U276:U280)</f>
        <v>0</v>
      </c>
      <c r="V284" s="162">
        <f>SUM(V276:V280)</f>
        <v>0</v>
      </c>
      <c r="W284" s="162">
        <f t="shared" si="38"/>
        <v>0</v>
      </c>
      <c r="X284" s="164">
        <f t="shared" si="33"/>
        <v>0</v>
      </c>
      <c r="Y284" s="164">
        <f t="shared" si="34"/>
        <v>0</v>
      </c>
      <c r="Z284" s="268">
        <f>SUM(Z276:Z280)</f>
        <v>0</v>
      </c>
      <c r="AA284" s="354"/>
    </row>
    <row r="285" spans="1:28" ht="24" hidden="1" customHeight="1" thickTop="1" thickBot="1" x14ac:dyDescent="0.25">
      <c r="A285" s="42"/>
      <c r="B285" s="705" t="s">
        <v>592</v>
      </c>
      <c r="C285" s="44" t="s">
        <v>154</v>
      </c>
      <c r="D285" s="257">
        <f t="shared" ref="D285:Q285" si="39">D148+D275+D284</f>
        <v>137120.5</v>
      </c>
      <c r="E285" s="257">
        <f t="shared" si="39"/>
        <v>32830.370000000003</v>
      </c>
      <c r="F285" s="257">
        <f t="shared" si="39"/>
        <v>4783330.8170000007</v>
      </c>
      <c r="G285" s="257">
        <f t="shared" si="39"/>
        <v>197740</v>
      </c>
      <c r="H285" s="257">
        <f t="shared" si="39"/>
        <v>150591.49600000001</v>
      </c>
      <c r="I285" s="257">
        <f t="shared" si="39"/>
        <v>61283</v>
      </c>
      <c r="J285" s="257">
        <f t="shared" si="39"/>
        <v>691116.755</v>
      </c>
      <c r="K285" s="257">
        <f t="shared" si="39"/>
        <v>2700920.0380000002</v>
      </c>
      <c r="L285" s="257">
        <f t="shared" si="39"/>
        <v>3163939.611</v>
      </c>
      <c r="M285" s="689">
        <f t="shared" si="39"/>
        <v>36683</v>
      </c>
      <c r="N285" s="257">
        <f t="shared" si="39"/>
        <v>57843</v>
      </c>
      <c r="O285" s="257">
        <f t="shared" si="39"/>
        <v>10000</v>
      </c>
      <c r="P285" s="257">
        <f t="shared" si="39"/>
        <v>0</v>
      </c>
      <c r="Q285" s="257">
        <f t="shared" si="39"/>
        <v>594156</v>
      </c>
      <c r="R285" s="689">
        <f t="shared" si="36"/>
        <v>12617554.587000001</v>
      </c>
      <c r="S285" s="257"/>
      <c r="T285" s="257">
        <f>T148+T275+T284</f>
        <v>0</v>
      </c>
      <c r="U285" s="257">
        <f>U148+U275+U284</f>
        <v>6060052</v>
      </c>
      <c r="V285" s="257">
        <f>V148+V275+V284</f>
        <v>66267.035000000003</v>
      </c>
      <c r="W285" s="257">
        <f>W148+W275+W284</f>
        <v>0</v>
      </c>
      <c r="X285" s="717">
        <f t="shared" si="33"/>
        <v>6126319.0350000001</v>
      </c>
      <c r="Y285" s="689">
        <f t="shared" si="34"/>
        <v>18743873.622000001</v>
      </c>
      <c r="Z285" s="233">
        <f>Z148+Z275+Z284</f>
        <v>6652621.5860000001</v>
      </c>
      <c r="AA285" s="352"/>
      <c r="AB285" s="85">
        <f>Y285+Z285</f>
        <v>25396495.208000001</v>
      </c>
    </row>
    <row r="286" spans="1:28" ht="24.95" customHeight="1" x14ac:dyDescent="0.2">
      <c r="A286" s="182"/>
      <c r="B286" s="183" t="s">
        <v>593</v>
      </c>
      <c r="C286" s="132" t="s">
        <v>18</v>
      </c>
      <c r="D286" s="234">
        <f t="shared" ref="D286:W286" si="40">D285</f>
        <v>137120.5</v>
      </c>
      <c r="E286" s="234">
        <f t="shared" si="40"/>
        <v>32830.370000000003</v>
      </c>
      <c r="F286" s="234">
        <f t="shared" si="40"/>
        <v>4783330.8170000007</v>
      </c>
      <c r="G286" s="234">
        <f t="shared" si="40"/>
        <v>197740</v>
      </c>
      <c r="H286" s="234">
        <f t="shared" si="40"/>
        <v>150591.49600000001</v>
      </c>
      <c r="I286" s="234">
        <f t="shared" si="40"/>
        <v>61283</v>
      </c>
      <c r="J286" s="234">
        <f t="shared" si="40"/>
        <v>691116.755</v>
      </c>
      <c r="K286" s="234">
        <f t="shared" si="40"/>
        <v>2700920.0380000002</v>
      </c>
      <c r="L286" s="234">
        <f t="shared" si="40"/>
        <v>3163939.611</v>
      </c>
      <c r="M286" s="690">
        <f t="shared" si="40"/>
        <v>36683</v>
      </c>
      <c r="N286" s="234">
        <f t="shared" si="40"/>
        <v>57843</v>
      </c>
      <c r="O286" s="234">
        <f t="shared" si="40"/>
        <v>10000</v>
      </c>
      <c r="P286" s="234">
        <f t="shared" si="40"/>
        <v>0</v>
      </c>
      <c r="Q286" s="234">
        <f t="shared" si="40"/>
        <v>594156</v>
      </c>
      <c r="R286" s="690">
        <f t="shared" si="36"/>
        <v>12617554.587000001</v>
      </c>
      <c r="S286" s="234"/>
      <c r="T286" s="234">
        <f t="shared" si="40"/>
        <v>0</v>
      </c>
      <c r="U286" s="234">
        <f t="shared" si="40"/>
        <v>6060052</v>
      </c>
      <c r="V286" s="234">
        <f t="shared" si="40"/>
        <v>66267.035000000003</v>
      </c>
      <c r="W286" s="234">
        <f t="shared" si="40"/>
        <v>0</v>
      </c>
      <c r="X286" s="718">
        <f t="shared" si="33"/>
        <v>6126319.0350000001</v>
      </c>
      <c r="Y286" s="696">
        <f t="shared" si="34"/>
        <v>18743873.622000001</v>
      </c>
      <c r="Z286" s="381">
        <f>Z285</f>
        <v>6652621.5860000001</v>
      </c>
      <c r="AA286" s="346"/>
    </row>
    <row r="287" spans="1:28" ht="24.95" customHeight="1" x14ac:dyDescent="0.2">
      <c r="A287" s="82">
        <v>1</v>
      </c>
      <c r="B287" s="118" t="s">
        <v>602</v>
      </c>
      <c r="C287" s="28" t="s">
        <v>325</v>
      </c>
      <c r="D287" s="160"/>
      <c r="E287" s="160"/>
      <c r="F287" s="155"/>
      <c r="G287" s="155"/>
      <c r="H287" s="155"/>
      <c r="I287" s="155"/>
      <c r="J287" s="155">
        <f>80</f>
        <v>80</v>
      </c>
      <c r="K287" s="155">
        <f>-80</f>
        <v>-80</v>
      </c>
      <c r="L287" s="155"/>
      <c r="M287" s="160"/>
      <c r="N287" s="155"/>
      <c r="O287" s="155"/>
      <c r="P287" s="155"/>
      <c r="Q287" s="155"/>
      <c r="R287" s="160">
        <f t="shared" si="36"/>
        <v>0</v>
      </c>
      <c r="S287" s="155"/>
      <c r="T287" s="155"/>
      <c r="U287" s="155"/>
      <c r="V287" s="155"/>
      <c r="W287" s="155"/>
      <c r="X287" s="161">
        <f t="shared" si="33"/>
        <v>0</v>
      </c>
      <c r="Y287" s="486">
        <f t="shared" si="34"/>
        <v>0</v>
      </c>
      <c r="Z287" s="329"/>
      <c r="AA287" s="353"/>
    </row>
    <row r="288" spans="1:28" ht="24.95" customHeight="1" x14ac:dyDescent="0.2">
      <c r="A288" s="82">
        <v>2</v>
      </c>
      <c r="B288" s="118" t="s">
        <v>605</v>
      </c>
      <c r="C288" s="28" t="s">
        <v>608</v>
      </c>
      <c r="D288" s="160">
        <f>-795</f>
        <v>-795</v>
      </c>
      <c r="E288" s="160"/>
      <c r="F288" s="155"/>
      <c r="G288" s="155"/>
      <c r="H288" s="155"/>
      <c r="I288" s="155"/>
      <c r="J288" s="155"/>
      <c r="K288" s="155"/>
      <c r="L288" s="155"/>
      <c r="M288" s="160"/>
      <c r="N288" s="155"/>
      <c r="O288" s="155"/>
      <c r="P288" s="155"/>
      <c r="Q288" s="155"/>
      <c r="R288" s="160">
        <f t="shared" si="36"/>
        <v>-795</v>
      </c>
      <c r="S288" s="155"/>
      <c r="T288" s="155"/>
      <c r="U288" s="155"/>
      <c r="V288" s="155"/>
      <c r="W288" s="155"/>
      <c r="X288" s="161">
        <f t="shared" si="33"/>
        <v>0</v>
      </c>
      <c r="Y288" s="486">
        <f t="shared" si="34"/>
        <v>-795</v>
      </c>
      <c r="Z288" s="329">
        <f>795</f>
        <v>795</v>
      </c>
      <c r="AA288" s="353"/>
    </row>
    <row r="289" spans="1:27" ht="24.95" customHeight="1" x14ac:dyDescent="0.2">
      <c r="A289" s="82">
        <v>3</v>
      </c>
      <c r="B289" s="118" t="s">
        <v>603</v>
      </c>
      <c r="C289" s="28" t="s">
        <v>604</v>
      </c>
      <c r="D289" s="160"/>
      <c r="E289" s="160"/>
      <c r="F289" s="155">
        <f>-14824-858+11645</f>
        <v>-4037</v>
      </c>
      <c r="G289" s="155"/>
      <c r="H289" s="155"/>
      <c r="I289" s="155"/>
      <c r="J289" s="155"/>
      <c r="K289" s="155"/>
      <c r="L289" s="155"/>
      <c r="M289" s="160">
        <f>3179+858</f>
        <v>4037</v>
      </c>
      <c r="N289" s="155"/>
      <c r="O289" s="155"/>
      <c r="P289" s="155"/>
      <c r="Q289" s="155"/>
      <c r="R289" s="160">
        <f t="shared" ref="R289" si="41">SUM(D289:Q289)</f>
        <v>0</v>
      </c>
      <c r="S289" s="155"/>
      <c r="T289" s="155"/>
      <c r="U289" s="155"/>
      <c r="V289" s="155"/>
      <c r="W289" s="155"/>
      <c r="X289" s="161">
        <f t="shared" ref="X289" si="42">SUM(T289:W289)</f>
        <v>0</v>
      </c>
      <c r="Y289" s="486">
        <f t="shared" ref="Y289" si="43">R289+X289</f>
        <v>0</v>
      </c>
      <c r="Z289" s="329"/>
      <c r="AA289" s="353"/>
    </row>
    <row r="290" spans="1:27" ht="24.95" customHeight="1" x14ac:dyDescent="0.2">
      <c r="A290" s="82">
        <v>4</v>
      </c>
      <c r="B290" s="118" t="s">
        <v>606</v>
      </c>
      <c r="C290" s="28" t="s">
        <v>607</v>
      </c>
      <c r="D290" s="160"/>
      <c r="E290" s="160"/>
      <c r="F290" s="155"/>
      <c r="G290" s="155"/>
      <c r="H290" s="155"/>
      <c r="I290" s="155"/>
      <c r="J290" s="155"/>
      <c r="K290" s="155"/>
      <c r="L290" s="155">
        <f>190+51</f>
        <v>241</v>
      </c>
      <c r="M290" s="160"/>
      <c r="N290" s="155"/>
      <c r="O290" s="155"/>
      <c r="P290" s="155"/>
      <c r="Q290" s="155"/>
      <c r="R290" s="160">
        <f t="shared" si="36"/>
        <v>241</v>
      </c>
      <c r="S290" s="155"/>
      <c r="T290" s="155"/>
      <c r="U290" s="155"/>
      <c r="V290" s="155"/>
      <c r="W290" s="155"/>
      <c r="X290" s="161">
        <f t="shared" si="33"/>
        <v>0</v>
      </c>
      <c r="Y290" s="486">
        <f t="shared" si="34"/>
        <v>241</v>
      </c>
      <c r="Z290" s="329"/>
      <c r="AA290" s="353"/>
    </row>
    <row r="291" spans="1:27" ht="24.95" customHeight="1" x14ac:dyDescent="0.2">
      <c r="A291" s="82">
        <v>5</v>
      </c>
      <c r="B291" s="118" t="s">
        <v>620</v>
      </c>
      <c r="C291" s="28" t="s">
        <v>621</v>
      </c>
      <c r="D291" s="160"/>
      <c r="E291" s="160"/>
      <c r="F291" s="155">
        <f>77</f>
        <v>77</v>
      </c>
      <c r="G291" s="155"/>
      <c r="H291" s="155"/>
      <c r="I291" s="155"/>
      <c r="J291" s="155"/>
      <c r="K291" s="155"/>
      <c r="L291" s="155">
        <f>-61-16</f>
        <v>-77</v>
      </c>
      <c r="M291" s="160"/>
      <c r="N291" s="155"/>
      <c r="O291" s="155"/>
      <c r="P291" s="155"/>
      <c r="Q291" s="155"/>
      <c r="R291" s="160">
        <f t="shared" si="36"/>
        <v>0</v>
      </c>
      <c r="S291" s="155"/>
      <c r="T291" s="155"/>
      <c r="U291" s="155"/>
      <c r="V291" s="155"/>
      <c r="W291" s="155"/>
      <c r="X291" s="161">
        <f t="shared" si="33"/>
        <v>0</v>
      </c>
      <c r="Y291" s="486">
        <f t="shared" si="34"/>
        <v>0</v>
      </c>
      <c r="Z291" s="329"/>
      <c r="AA291" s="353"/>
    </row>
    <row r="292" spans="1:27" ht="24.95" customHeight="1" x14ac:dyDescent="0.2">
      <c r="A292" s="82">
        <v>6</v>
      </c>
      <c r="B292" s="118" t="s">
        <v>622</v>
      </c>
      <c r="C292" s="28" t="s">
        <v>623</v>
      </c>
      <c r="D292" s="160"/>
      <c r="E292" s="160"/>
      <c r="F292" s="155"/>
      <c r="G292" s="155"/>
      <c r="H292" s="155"/>
      <c r="I292" s="155"/>
      <c r="J292" s="155"/>
      <c r="K292" s="155">
        <f>-14986</f>
        <v>-14986</v>
      </c>
      <c r="L292" s="155">
        <f>11800+3186</f>
        <v>14986</v>
      </c>
      <c r="M292" s="160"/>
      <c r="N292" s="155"/>
      <c r="O292" s="155"/>
      <c r="P292" s="155"/>
      <c r="Q292" s="155"/>
      <c r="R292" s="160">
        <f t="shared" si="36"/>
        <v>0</v>
      </c>
      <c r="S292" s="155"/>
      <c r="T292" s="155"/>
      <c r="U292" s="155"/>
      <c r="V292" s="155"/>
      <c r="W292" s="155"/>
      <c r="X292" s="161">
        <f t="shared" ref="X292" si="44">SUM(T292:W292)</f>
        <v>0</v>
      </c>
      <c r="Y292" s="486">
        <f t="shared" ref="Y292" si="45">R292+X292</f>
        <v>0</v>
      </c>
      <c r="Z292" s="329"/>
      <c r="AA292" s="353"/>
    </row>
    <row r="293" spans="1:27" ht="24.95" customHeight="1" x14ac:dyDescent="0.2">
      <c r="A293" s="82">
        <v>7</v>
      </c>
      <c r="B293" s="118" t="s">
        <v>624</v>
      </c>
      <c r="C293" s="28" t="s">
        <v>623</v>
      </c>
      <c r="D293" s="160"/>
      <c r="E293" s="160"/>
      <c r="F293" s="155"/>
      <c r="G293" s="155"/>
      <c r="H293" s="155"/>
      <c r="I293" s="155"/>
      <c r="J293" s="155"/>
      <c r="K293" s="155">
        <f>-4953</f>
        <v>-4953</v>
      </c>
      <c r="L293" s="155">
        <f>3900+1053</f>
        <v>4953</v>
      </c>
      <c r="M293" s="160"/>
      <c r="N293" s="155"/>
      <c r="O293" s="155"/>
      <c r="P293" s="155"/>
      <c r="Q293" s="155"/>
      <c r="R293" s="160">
        <f t="shared" si="36"/>
        <v>0</v>
      </c>
      <c r="S293" s="155"/>
      <c r="T293" s="155"/>
      <c r="U293" s="155"/>
      <c r="V293" s="155"/>
      <c r="W293" s="155"/>
      <c r="X293" s="161">
        <f t="shared" ref="X293" si="46">SUM(T293:W293)</f>
        <v>0</v>
      </c>
      <c r="Y293" s="486">
        <f t="shared" ref="Y293" si="47">R293+X293</f>
        <v>0</v>
      </c>
      <c r="Z293" s="329"/>
      <c r="AA293" s="353"/>
    </row>
    <row r="294" spans="1:27" ht="24.95" customHeight="1" x14ac:dyDescent="0.2">
      <c r="A294" s="82">
        <v>8</v>
      </c>
      <c r="B294" s="118" t="s">
        <v>625</v>
      </c>
      <c r="C294" s="28" t="s">
        <v>626</v>
      </c>
      <c r="D294" s="160"/>
      <c r="E294" s="160"/>
      <c r="F294" s="155"/>
      <c r="G294" s="155"/>
      <c r="H294" s="155"/>
      <c r="I294" s="155"/>
      <c r="J294" s="155"/>
      <c r="K294" s="155">
        <f>-26164</f>
        <v>-26164</v>
      </c>
      <c r="L294" s="155">
        <f>20601+5563</f>
        <v>26164</v>
      </c>
      <c r="M294" s="160"/>
      <c r="N294" s="155"/>
      <c r="O294" s="155"/>
      <c r="P294" s="155"/>
      <c r="Q294" s="155"/>
      <c r="R294" s="160">
        <f t="shared" si="36"/>
        <v>0</v>
      </c>
      <c r="S294" s="155"/>
      <c r="T294" s="155"/>
      <c r="U294" s="155"/>
      <c r="V294" s="155"/>
      <c r="W294" s="155"/>
      <c r="X294" s="161">
        <f t="shared" ref="X294" si="48">SUM(T294:W294)</f>
        <v>0</v>
      </c>
      <c r="Y294" s="486">
        <f t="shared" ref="Y294" si="49">R294+X294</f>
        <v>0</v>
      </c>
      <c r="Z294" s="329"/>
      <c r="AA294" s="353"/>
    </row>
    <row r="295" spans="1:27" ht="24.95" customHeight="1" x14ac:dyDescent="0.2">
      <c r="A295" s="82">
        <v>9</v>
      </c>
      <c r="B295" s="118" t="s">
        <v>609</v>
      </c>
      <c r="C295" s="28" t="s">
        <v>619</v>
      </c>
      <c r="D295" s="160">
        <f>-1130</f>
        <v>-1130</v>
      </c>
      <c r="E295" s="160">
        <f>-199.558-293.8</f>
        <v>-493.358</v>
      </c>
      <c r="F295" s="155"/>
      <c r="G295" s="155"/>
      <c r="H295" s="155"/>
      <c r="I295" s="155"/>
      <c r="J295" s="155"/>
      <c r="K295" s="155"/>
      <c r="L295" s="155"/>
      <c r="M295" s="160"/>
      <c r="N295" s="155"/>
      <c r="O295" s="155"/>
      <c r="P295" s="155"/>
      <c r="Q295" s="155"/>
      <c r="R295" s="160">
        <f t="shared" si="36"/>
        <v>-1623.3579999999999</v>
      </c>
      <c r="S295" s="155"/>
      <c r="T295" s="155"/>
      <c r="U295" s="155"/>
      <c r="V295" s="155"/>
      <c r="W295" s="155"/>
      <c r="X295" s="161">
        <f t="shared" si="33"/>
        <v>0</v>
      </c>
      <c r="Y295" s="486">
        <f t="shared" si="34"/>
        <v>-1623.3579999999999</v>
      </c>
      <c r="Z295" s="329">
        <f>1623.358</f>
        <v>1623.3579999999999</v>
      </c>
      <c r="AA295" s="353"/>
    </row>
    <row r="296" spans="1:27" ht="24.95" customHeight="1" x14ac:dyDescent="0.2">
      <c r="A296" s="82">
        <v>10</v>
      </c>
      <c r="B296" s="27" t="s">
        <v>610</v>
      </c>
      <c r="C296" s="28" t="s">
        <v>611</v>
      </c>
      <c r="D296" s="160"/>
      <c r="E296" s="160"/>
      <c r="F296" s="155"/>
      <c r="G296" s="155"/>
      <c r="H296" s="155"/>
      <c r="I296" s="155"/>
      <c r="J296" s="155">
        <f>-300-490</f>
        <v>-790</v>
      </c>
      <c r="K296" s="155"/>
      <c r="L296" s="155"/>
      <c r="M296" s="160"/>
      <c r="N296" s="155"/>
      <c r="O296" s="155"/>
      <c r="P296" s="155"/>
      <c r="Q296" s="155"/>
      <c r="R296" s="160">
        <f t="shared" si="36"/>
        <v>-790</v>
      </c>
      <c r="S296" s="155"/>
      <c r="T296" s="155"/>
      <c r="U296" s="155"/>
      <c r="V296" s="155"/>
      <c r="W296" s="155"/>
      <c r="X296" s="161">
        <f t="shared" si="33"/>
        <v>0</v>
      </c>
      <c r="Y296" s="486">
        <f t="shared" si="34"/>
        <v>-790</v>
      </c>
      <c r="Z296" s="329">
        <f>790</f>
        <v>790</v>
      </c>
      <c r="AA296" s="353"/>
    </row>
    <row r="297" spans="1:27" ht="24.95" customHeight="1" x14ac:dyDescent="0.2">
      <c r="A297" s="82">
        <v>11</v>
      </c>
      <c r="B297" s="27" t="s">
        <v>612</v>
      </c>
      <c r="C297" s="28" t="s">
        <v>618</v>
      </c>
      <c r="D297" s="160">
        <f>-2071-170.2</f>
        <v>-2241.1999999999998</v>
      </c>
      <c r="E297" s="160">
        <f>-493.064</f>
        <v>-493.06400000000002</v>
      </c>
      <c r="F297" s="155"/>
      <c r="G297" s="155"/>
      <c r="H297" s="155"/>
      <c r="I297" s="155"/>
      <c r="J297" s="155"/>
      <c r="K297" s="155"/>
      <c r="L297" s="155"/>
      <c r="M297" s="160"/>
      <c r="N297" s="155"/>
      <c r="O297" s="155"/>
      <c r="P297" s="155"/>
      <c r="Q297" s="155"/>
      <c r="R297" s="160">
        <f t="shared" si="36"/>
        <v>-2734.2639999999997</v>
      </c>
      <c r="S297" s="155"/>
      <c r="T297" s="155"/>
      <c r="U297" s="155"/>
      <c r="V297" s="155"/>
      <c r="W297" s="155"/>
      <c r="X297" s="161">
        <f t="shared" si="33"/>
        <v>0</v>
      </c>
      <c r="Y297" s="486">
        <f t="shared" si="34"/>
        <v>-2734.2639999999997</v>
      </c>
      <c r="Z297" s="329">
        <f>2734.264</f>
        <v>2734.2640000000001</v>
      </c>
      <c r="AA297" s="353"/>
    </row>
    <row r="298" spans="1:27" ht="24.95" customHeight="1" x14ac:dyDescent="0.2">
      <c r="A298" s="82">
        <v>12</v>
      </c>
      <c r="B298" s="27" t="s">
        <v>628</v>
      </c>
      <c r="C298" s="28" t="s">
        <v>629</v>
      </c>
      <c r="D298" s="160">
        <f>360.6</f>
        <v>360.6</v>
      </c>
      <c r="E298" s="160">
        <f>79.4</f>
        <v>79.400000000000006</v>
      </c>
      <c r="F298" s="155">
        <f>101+19</f>
        <v>120</v>
      </c>
      <c r="G298" s="155"/>
      <c r="H298" s="155"/>
      <c r="I298" s="155"/>
      <c r="J298" s="155">
        <f>-560</f>
        <v>-560</v>
      </c>
      <c r="K298" s="155"/>
      <c r="L298" s="155"/>
      <c r="M298" s="160"/>
      <c r="N298" s="155"/>
      <c r="O298" s="155"/>
      <c r="P298" s="155"/>
      <c r="Q298" s="155"/>
      <c r="R298" s="160">
        <f t="shared" si="36"/>
        <v>0</v>
      </c>
      <c r="S298" s="155"/>
      <c r="T298" s="155"/>
      <c r="U298" s="155"/>
      <c r="V298" s="155"/>
      <c r="W298" s="155"/>
      <c r="X298" s="161">
        <f t="shared" si="33"/>
        <v>0</v>
      </c>
      <c r="Y298" s="486">
        <f t="shared" si="34"/>
        <v>0</v>
      </c>
      <c r="Z298" s="329"/>
      <c r="AA298" s="353"/>
    </row>
    <row r="299" spans="1:27" ht="24.95" customHeight="1" x14ac:dyDescent="0.2">
      <c r="A299" s="82">
        <v>13</v>
      </c>
      <c r="B299" s="27" t="s">
        <v>627</v>
      </c>
      <c r="C299" s="28" t="s">
        <v>286</v>
      </c>
      <c r="D299" s="160"/>
      <c r="E299" s="160"/>
      <c r="F299" s="155"/>
      <c r="G299" s="155"/>
      <c r="H299" s="155"/>
      <c r="I299" s="155"/>
      <c r="J299" s="155">
        <f>50</f>
        <v>50</v>
      </c>
      <c r="K299" s="155">
        <f>-50</f>
        <v>-50</v>
      </c>
      <c r="L299" s="155"/>
      <c r="M299" s="160"/>
      <c r="N299" s="155"/>
      <c r="O299" s="155"/>
      <c r="P299" s="155"/>
      <c r="Q299" s="155"/>
      <c r="R299" s="160">
        <f t="shared" si="36"/>
        <v>0</v>
      </c>
      <c r="S299" s="155"/>
      <c r="T299" s="155"/>
      <c r="U299" s="155"/>
      <c r="V299" s="155"/>
      <c r="W299" s="155"/>
      <c r="X299" s="161">
        <f t="shared" si="33"/>
        <v>0</v>
      </c>
      <c r="Y299" s="486">
        <f t="shared" si="34"/>
        <v>0</v>
      </c>
      <c r="Z299" s="329"/>
      <c r="AA299" s="353"/>
    </row>
    <row r="300" spans="1:27" ht="24.95" customHeight="1" x14ac:dyDescent="0.2">
      <c r="A300" s="82">
        <v>14</v>
      </c>
      <c r="B300" s="27" t="s">
        <v>613</v>
      </c>
      <c r="C300" s="28" t="s">
        <v>614</v>
      </c>
      <c r="D300" s="160"/>
      <c r="E300" s="160"/>
      <c r="F300" s="155">
        <f>-878.4</f>
        <v>-878.4</v>
      </c>
      <c r="G300" s="155"/>
      <c r="H300" s="155"/>
      <c r="I300" s="155"/>
      <c r="J300" s="155"/>
      <c r="K300" s="155"/>
      <c r="L300" s="155"/>
      <c r="M300" s="160"/>
      <c r="N300" s="155"/>
      <c r="O300" s="155"/>
      <c r="P300" s="155"/>
      <c r="Q300" s="155"/>
      <c r="R300" s="160">
        <f t="shared" si="36"/>
        <v>-878.4</v>
      </c>
      <c r="S300" s="155"/>
      <c r="T300" s="155"/>
      <c r="U300" s="155"/>
      <c r="V300" s="155"/>
      <c r="W300" s="155"/>
      <c r="X300" s="161">
        <f t="shared" si="33"/>
        <v>0</v>
      </c>
      <c r="Y300" s="486">
        <f t="shared" si="34"/>
        <v>-878.4</v>
      </c>
      <c r="Z300" s="329">
        <f>878.4</f>
        <v>878.4</v>
      </c>
      <c r="AA300" s="353"/>
    </row>
    <row r="301" spans="1:27" ht="24.95" customHeight="1" x14ac:dyDescent="0.2">
      <c r="A301" s="82">
        <v>15</v>
      </c>
      <c r="B301" s="30" t="s">
        <v>615</v>
      </c>
      <c r="C301" s="28" t="s">
        <v>616</v>
      </c>
      <c r="D301" s="155"/>
      <c r="E301" s="155"/>
      <c r="F301" s="155">
        <f>-10518.741</f>
        <v>-10518.741</v>
      </c>
      <c r="G301" s="155"/>
      <c r="H301" s="155"/>
      <c r="I301" s="155"/>
      <c r="J301" s="155"/>
      <c r="K301" s="155">
        <f>1771-1771</f>
        <v>0</v>
      </c>
      <c r="L301" s="155"/>
      <c r="M301" s="160"/>
      <c r="N301" s="155"/>
      <c r="O301" s="155"/>
      <c r="P301" s="155"/>
      <c r="Q301" s="155"/>
      <c r="R301" s="160">
        <f t="shared" si="36"/>
        <v>-10518.741</v>
      </c>
      <c r="S301" s="155"/>
      <c r="T301" s="155"/>
      <c r="U301" s="155"/>
      <c r="V301" s="155"/>
      <c r="W301" s="155"/>
      <c r="X301" s="161">
        <f t="shared" si="33"/>
        <v>0</v>
      </c>
      <c r="Y301" s="486">
        <f t="shared" si="34"/>
        <v>-10518.741</v>
      </c>
      <c r="Z301" s="329">
        <f>10518.741</f>
        <v>10518.741</v>
      </c>
      <c r="AA301" s="353"/>
    </row>
    <row r="302" spans="1:27" ht="24.95" customHeight="1" x14ac:dyDescent="0.2">
      <c r="A302" s="82">
        <v>16</v>
      </c>
      <c r="B302" s="706" t="s">
        <v>617</v>
      </c>
      <c r="C302" s="88" t="s">
        <v>297</v>
      </c>
      <c r="D302" s="155"/>
      <c r="E302" s="155"/>
      <c r="F302" s="155"/>
      <c r="G302" s="155"/>
      <c r="H302" s="155"/>
      <c r="I302" s="155"/>
      <c r="J302" s="155"/>
      <c r="K302" s="155"/>
      <c r="L302" s="155"/>
      <c r="M302" s="160"/>
      <c r="N302" s="155"/>
      <c r="O302" s="155"/>
      <c r="P302" s="155"/>
      <c r="Q302" s="155"/>
      <c r="R302" s="160">
        <f t="shared" si="36"/>
        <v>0</v>
      </c>
      <c r="S302" s="155"/>
      <c r="T302" s="155"/>
      <c r="U302" s="155">
        <f>1900000</f>
        <v>1900000</v>
      </c>
      <c r="V302" s="155"/>
      <c r="W302" s="155"/>
      <c r="X302" s="161">
        <f t="shared" si="33"/>
        <v>1900000</v>
      </c>
      <c r="Y302" s="486">
        <f t="shared" si="34"/>
        <v>1900000</v>
      </c>
      <c r="Z302" s="329"/>
      <c r="AA302" s="353"/>
    </row>
    <row r="303" spans="1:27" ht="24.95" customHeight="1" x14ac:dyDescent="0.2">
      <c r="A303" s="82">
        <v>17</v>
      </c>
      <c r="B303" s="228" t="s">
        <v>649</v>
      </c>
      <c r="C303" s="88" t="s">
        <v>650</v>
      </c>
      <c r="D303" s="155"/>
      <c r="E303" s="155"/>
      <c r="F303" s="155">
        <f>-2251-608</f>
        <v>-2859</v>
      </c>
      <c r="G303" s="155"/>
      <c r="H303" s="155"/>
      <c r="I303" s="155"/>
      <c r="J303" s="155"/>
      <c r="K303" s="155"/>
      <c r="L303" s="155"/>
      <c r="M303" s="160">
        <f>2251+207+401</f>
        <v>2859</v>
      </c>
      <c r="N303" s="155"/>
      <c r="O303" s="155"/>
      <c r="P303" s="155"/>
      <c r="Q303" s="155"/>
      <c r="R303" s="160">
        <f t="shared" si="36"/>
        <v>0</v>
      </c>
      <c r="S303" s="155"/>
      <c r="T303" s="155"/>
      <c r="U303" s="155"/>
      <c r="V303" s="155"/>
      <c r="W303" s="155"/>
      <c r="X303" s="161"/>
      <c r="Y303" s="486">
        <f t="shared" si="34"/>
        <v>0</v>
      </c>
      <c r="Z303" s="329"/>
      <c r="AA303" s="353"/>
    </row>
    <row r="304" spans="1:27" ht="24.95" customHeight="1" x14ac:dyDescent="0.2">
      <c r="A304" s="82">
        <v>18</v>
      </c>
      <c r="B304" s="30" t="s">
        <v>630</v>
      </c>
      <c r="C304" s="28" t="s">
        <v>631</v>
      </c>
      <c r="D304" s="155"/>
      <c r="E304" s="155"/>
      <c r="F304" s="155"/>
      <c r="G304" s="155"/>
      <c r="H304" s="155"/>
      <c r="I304" s="155"/>
      <c r="J304" s="155"/>
      <c r="K304" s="155">
        <f>-56000</f>
        <v>-56000</v>
      </c>
      <c r="L304" s="155"/>
      <c r="M304" s="160"/>
      <c r="N304" s="155"/>
      <c r="O304" s="155"/>
      <c r="P304" s="155"/>
      <c r="Q304" s="155"/>
      <c r="R304" s="160">
        <f t="shared" si="36"/>
        <v>-56000</v>
      </c>
      <c r="S304" s="155"/>
      <c r="T304" s="155"/>
      <c r="U304" s="155"/>
      <c r="V304" s="155"/>
      <c r="W304" s="155"/>
      <c r="X304" s="161">
        <f t="shared" si="33"/>
        <v>0</v>
      </c>
      <c r="Y304" s="486">
        <f t="shared" si="34"/>
        <v>-56000</v>
      </c>
      <c r="Z304" s="329">
        <f>56000</f>
        <v>56000</v>
      </c>
      <c r="AA304" s="353"/>
    </row>
    <row r="305" spans="1:27" ht="24.95" customHeight="1" x14ac:dyDescent="0.2">
      <c r="A305" s="82">
        <v>19</v>
      </c>
      <c r="B305" s="30" t="s">
        <v>633</v>
      </c>
      <c r="C305" s="28" t="s">
        <v>286</v>
      </c>
      <c r="D305" s="155"/>
      <c r="E305" s="155"/>
      <c r="F305" s="155"/>
      <c r="G305" s="155"/>
      <c r="H305" s="155"/>
      <c r="I305" s="155"/>
      <c r="J305" s="155">
        <f>100</f>
        <v>100</v>
      </c>
      <c r="K305" s="155">
        <f>-100</f>
        <v>-100</v>
      </c>
      <c r="L305" s="155"/>
      <c r="M305" s="160"/>
      <c r="N305" s="155"/>
      <c r="O305" s="155"/>
      <c r="P305" s="155"/>
      <c r="Q305" s="155"/>
      <c r="R305" s="160">
        <f t="shared" si="36"/>
        <v>0</v>
      </c>
      <c r="S305" s="155"/>
      <c r="T305" s="155"/>
      <c r="U305" s="155"/>
      <c r="V305" s="155"/>
      <c r="W305" s="155"/>
      <c r="X305" s="161">
        <f t="shared" si="33"/>
        <v>0</v>
      </c>
      <c r="Y305" s="486">
        <f t="shared" si="34"/>
        <v>0</v>
      </c>
      <c r="Z305" s="329"/>
      <c r="AA305" s="353"/>
    </row>
    <row r="306" spans="1:27" ht="24.95" customHeight="1" x14ac:dyDescent="0.2">
      <c r="A306" s="82">
        <v>20</v>
      </c>
      <c r="B306" s="230" t="s">
        <v>634</v>
      </c>
      <c r="C306" s="88" t="s">
        <v>584</v>
      </c>
      <c r="D306" s="155"/>
      <c r="E306" s="155"/>
      <c r="F306" s="155">
        <f>95+26</f>
        <v>121</v>
      </c>
      <c r="G306" s="155"/>
      <c r="H306" s="155"/>
      <c r="I306" s="155"/>
      <c r="J306" s="155"/>
      <c r="K306" s="155"/>
      <c r="L306" s="155">
        <f>-95-26</f>
        <v>-121</v>
      </c>
      <c r="M306" s="160"/>
      <c r="N306" s="155"/>
      <c r="O306" s="155"/>
      <c r="P306" s="155"/>
      <c r="Q306" s="155"/>
      <c r="R306" s="160">
        <f t="shared" si="36"/>
        <v>0</v>
      </c>
      <c r="S306" s="155"/>
      <c r="T306" s="155"/>
      <c r="U306" s="155"/>
      <c r="V306" s="155"/>
      <c r="W306" s="155"/>
      <c r="X306" s="161">
        <f t="shared" si="33"/>
        <v>0</v>
      </c>
      <c r="Y306" s="486">
        <f t="shared" si="34"/>
        <v>0</v>
      </c>
      <c r="Z306" s="329"/>
      <c r="AA306" s="353"/>
    </row>
    <row r="307" spans="1:27" ht="24.95" customHeight="1" x14ac:dyDescent="0.2">
      <c r="A307" s="82">
        <v>21</v>
      </c>
      <c r="B307" s="45" t="s">
        <v>635</v>
      </c>
      <c r="C307" s="28" t="s">
        <v>636</v>
      </c>
      <c r="D307" s="155">
        <f>-1300</f>
        <v>-1300</v>
      </c>
      <c r="E307" s="155">
        <f>-286</f>
        <v>-286</v>
      </c>
      <c r="F307" s="155"/>
      <c r="G307" s="155"/>
      <c r="H307" s="155"/>
      <c r="I307" s="155"/>
      <c r="J307" s="155"/>
      <c r="K307" s="155"/>
      <c r="L307" s="155"/>
      <c r="M307" s="160"/>
      <c r="N307" s="155"/>
      <c r="O307" s="155"/>
      <c r="P307" s="155"/>
      <c r="Q307" s="155"/>
      <c r="R307" s="160">
        <f t="shared" si="36"/>
        <v>-1586</v>
      </c>
      <c r="S307" s="155"/>
      <c r="T307" s="155"/>
      <c r="U307" s="155"/>
      <c r="V307" s="155"/>
      <c r="W307" s="155"/>
      <c r="X307" s="161">
        <f t="shared" si="33"/>
        <v>0</v>
      </c>
      <c r="Y307" s="486">
        <f t="shared" si="34"/>
        <v>-1586</v>
      </c>
      <c r="Z307" s="329">
        <f>1300+286</f>
        <v>1586</v>
      </c>
      <c r="AA307" s="353"/>
    </row>
    <row r="308" spans="1:27" ht="24.95" customHeight="1" x14ac:dyDescent="0.2">
      <c r="A308" s="82">
        <v>22</v>
      </c>
      <c r="B308" s="45" t="s">
        <v>637</v>
      </c>
      <c r="C308" s="28" t="s">
        <v>638</v>
      </c>
      <c r="D308" s="155">
        <f>-1300</f>
        <v>-1300</v>
      </c>
      <c r="E308" s="155">
        <f>-286</f>
        <v>-286</v>
      </c>
      <c r="F308" s="155"/>
      <c r="G308" s="155"/>
      <c r="H308" s="155"/>
      <c r="I308" s="155"/>
      <c r="J308" s="155"/>
      <c r="K308" s="155"/>
      <c r="L308" s="155"/>
      <c r="M308" s="160"/>
      <c r="N308" s="155"/>
      <c r="O308" s="155"/>
      <c r="P308" s="155"/>
      <c r="Q308" s="155"/>
      <c r="R308" s="160">
        <f t="shared" si="36"/>
        <v>-1586</v>
      </c>
      <c r="S308" s="155"/>
      <c r="T308" s="155"/>
      <c r="U308" s="155"/>
      <c r="V308" s="155"/>
      <c r="W308" s="155"/>
      <c r="X308" s="161">
        <f t="shared" si="33"/>
        <v>0</v>
      </c>
      <c r="Y308" s="486">
        <f t="shared" si="34"/>
        <v>-1586</v>
      </c>
      <c r="Z308" s="329">
        <f>1586</f>
        <v>1586</v>
      </c>
      <c r="AA308" s="353"/>
    </row>
    <row r="309" spans="1:27" ht="24.95" customHeight="1" x14ac:dyDescent="0.2">
      <c r="A309" s="82">
        <v>23</v>
      </c>
      <c r="B309" s="45" t="s">
        <v>639</v>
      </c>
      <c r="C309" s="28" t="s">
        <v>640</v>
      </c>
      <c r="D309" s="155"/>
      <c r="E309" s="155"/>
      <c r="F309" s="155"/>
      <c r="G309" s="155"/>
      <c r="H309" s="155"/>
      <c r="I309" s="155"/>
      <c r="J309" s="155"/>
      <c r="K309" s="155">
        <f>-13</f>
        <v>-13</v>
      </c>
      <c r="L309" s="155"/>
      <c r="M309" s="160"/>
      <c r="N309" s="155"/>
      <c r="O309" s="155"/>
      <c r="P309" s="155"/>
      <c r="Q309" s="155"/>
      <c r="R309" s="160">
        <f t="shared" si="36"/>
        <v>-13</v>
      </c>
      <c r="S309" s="155"/>
      <c r="T309" s="155"/>
      <c r="U309" s="155"/>
      <c r="V309" s="155"/>
      <c r="W309" s="155"/>
      <c r="X309" s="161">
        <f t="shared" si="33"/>
        <v>0</v>
      </c>
      <c r="Y309" s="486">
        <f t="shared" si="34"/>
        <v>-13</v>
      </c>
      <c r="Z309" s="329">
        <f>13</f>
        <v>13</v>
      </c>
      <c r="AA309" s="353"/>
    </row>
    <row r="310" spans="1:27" ht="24.95" customHeight="1" x14ac:dyDescent="0.2">
      <c r="A310" s="82">
        <v>24</v>
      </c>
      <c r="B310" s="45" t="s">
        <v>641</v>
      </c>
      <c r="C310" s="28" t="s">
        <v>642</v>
      </c>
      <c r="D310" s="155"/>
      <c r="E310" s="155"/>
      <c r="F310" s="155"/>
      <c r="G310" s="155"/>
      <c r="H310" s="155"/>
      <c r="I310" s="155"/>
      <c r="J310" s="155"/>
      <c r="K310" s="155">
        <f>-31534</f>
        <v>-31534</v>
      </c>
      <c r="L310" s="155"/>
      <c r="M310" s="160"/>
      <c r="N310" s="155"/>
      <c r="O310" s="155"/>
      <c r="P310" s="155"/>
      <c r="Q310" s="155"/>
      <c r="R310" s="160">
        <f t="shared" si="36"/>
        <v>-31534</v>
      </c>
      <c r="S310" s="155"/>
      <c r="T310" s="155"/>
      <c r="U310" s="155"/>
      <c r="V310" s="155"/>
      <c r="W310" s="155"/>
      <c r="X310" s="161">
        <f t="shared" si="33"/>
        <v>0</v>
      </c>
      <c r="Y310" s="486">
        <f t="shared" si="34"/>
        <v>-31534</v>
      </c>
      <c r="Z310" s="329">
        <f>31534</f>
        <v>31534</v>
      </c>
      <c r="AA310" s="353"/>
    </row>
    <row r="311" spans="1:27" ht="24.95" customHeight="1" x14ac:dyDescent="0.2">
      <c r="A311" s="82">
        <v>25</v>
      </c>
      <c r="B311" s="45" t="s">
        <v>643</v>
      </c>
      <c r="C311" s="28" t="s">
        <v>644</v>
      </c>
      <c r="D311" s="155">
        <f>-12000-1800-3362-338</f>
        <v>-17500</v>
      </c>
      <c r="E311" s="155">
        <f>-3850</f>
        <v>-3850</v>
      </c>
      <c r="F311" s="155"/>
      <c r="G311" s="155"/>
      <c r="H311" s="155"/>
      <c r="I311" s="155"/>
      <c r="J311" s="155"/>
      <c r="K311" s="155">
        <f>-5197.884</f>
        <v>-5197.884</v>
      </c>
      <c r="L311" s="155"/>
      <c r="M311" s="160"/>
      <c r="N311" s="155"/>
      <c r="O311" s="155"/>
      <c r="P311" s="155"/>
      <c r="Q311" s="155"/>
      <c r="R311" s="160">
        <f t="shared" si="36"/>
        <v>-26547.883999999998</v>
      </c>
      <c r="S311" s="155"/>
      <c r="T311" s="155"/>
      <c r="U311" s="155"/>
      <c r="V311" s="155"/>
      <c r="W311" s="155"/>
      <c r="X311" s="161">
        <f t="shared" si="33"/>
        <v>0</v>
      </c>
      <c r="Y311" s="486">
        <f t="shared" si="34"/>
        <v>-26547.883999999998</v>
      </c>
      <c r="Z311" s="329">
        <f>26547.884</f>
        <v>26547.883999999998</v>
      </c>
      <c r="AA311" s="353"/>
    </row>
    <row r="312" spans="1:27" ht="24.95" customHeight="1" x14ac:dyDescent="0.2">
      <c r="A312" s="82">
        <v>26</v>
      </c>
      <c r="B312" s="45" t="s">
        <v>645</v>
      </c>
      <c r="C312" s="28" t="s">
        <v>646</v>
      </c>
      <c r="D312" s="155"/>
      <c r="E312" s="155"/>
      <c r="F312" s="155"/>
      <c r="G312" s="155"/>
      <c r="H312" s="155"/>
      <c r="I312" s="155"/>
      <c r="J312" s="155"/>
      <c r="K312" s="155"/>
      <c r="L312" s="155">
        <f>-4330.709-1169.291</f>
        <v>-5500</v>
      </c>
      <c r="M312" s="160"/>
      <c r="N312" s="155"/>
      <c r="O312" s="155"/>
      <c r="P312" s="155"/>
      <c r="Q312" s="155"/>
      <c r="R312" s="160">
        <f t="shared" si="36"/>
        <v>-5500</v>
      </c>
      <c r="S312" s="155"/>
      <c r="T312" s="155"/>
      <c r="U312" s="155"/>
      <c r="V312" s="155"/>
      <c r="W312" s="155"/>
      <c r="X312" s="161">
        <f t="shared" si="33"/>
        <v>0</v>
      </c>
      <c r="Y312" s="486">
        <f t="shared" si="34"/>
        <v>-5500</v>
      </c>
      <c r="Z312" s="329">
        <f>5500</f>
        <v>5500</v>
      </c>
      <c r="AA312" s="353"/>
    </row>
    <row r="313" spans="1:27" ht="24.95" customHeight="1" x14ac:dyDescent="0.2">
      <c r="A313" s="82">
        <v>27</v>
      </c>
      <c r="B313" s="230" t="s">
        <v>647</v>
      </c>
      <c r="C313" s="28" t="s">
        <v>648</v>
      </c>
      <c r="D313" s="155"/>
      <c r="E313" s="155"/>
      <c r="F313" s="155"/>
      <c r="G313" s="155"/>
      <c r="H313" s="155"/>
      <c r="I313" s="155"/>
      <c r="K313" s="155">
        <f>-10000</f>
        <v>-10000</v>
      </c>
      <c r="L313" s="155"/>
      <c r="M313" s="160"/>
      <c r="N313" s="155"/>
      <c r="P313" s="155"/>
      <c r="Q313" s="155"/>
      <c r="R313" s="160">
        <f>SUM(D313:Q313)</f>
        <v>-10000</v>
      </c>
      <c r="S313" s="155"/>
      <c r="T313" s="155"/>
      <c r="U313" s="155"/>
      <c r="V313" s="155"/>
      <c r="W313" s="155"/>
      <c r="X313" s="161">
        <f t="shared" si="33"/>
        <v>0</v>
      </c>
      <c r="Y313" s="486">
        <f t="shared" si="34"/>
        <v>-10000</v>
      </c>
      <c r="Z313" s="329">
        <f>10000</f>
        <v>10000</v>
      </c>
      <c r="AA313" s="353"/>
    </row>
    <row r="314" spans="1:27" ht="24.95" customHeight="1" x14ac:dyDescent="0.2">
      <c r="A314" s="82">
        <v>28</v>
      </c>
      <c r="B314" s="45" t="s">
        <v>653</v>
      </c>
      <c r="C314" s="28" t="s">
        <v>652</v>
      </c>
      <c r="D314" s="155"/>
      <c r="E314" s="155"/>
      <c r="F314" s="155"/>
      <c r="G314" s="155"/>
      <c r="H314" s="155"/>
      <c r="I314" s="155"/>
      <c r="J314" s="155"/>
      <c r="K314" s="155">
        <f>-11000</f>
        <v>-11000</v>
      </c>
      <c r="L314" s="155">
        <f>8661+2339</f>
        <v>11000</v>
      </c>
      <c r="M314" s="160"/>
      <c r="N314" s="155"/>
      <c r="O314" s="155"/>
      <c r="P314" s="155"/>
      <c r="Q314" s="155"/>
      <c r="R314" s="160">
        <f t="shared" si="36"/>
        <v>0</v>
      </c>
      <c r="S314" s="155"/>
      <c r="T314" s="155"/>
      <c r="U314" s="155"/>
      <c r="V314" s="155"/>
      <c r="W314" s="155"/>
      <c r="X314" s="161">
        <f t="shared" si="33"/>
        <v>0</v>
      </c>
      <c r="Y314" s="486">
        <f t="shared" si="34"/>
        <v>0</v>
      </c>
      <c r="Z314" s="329"/>
      <c r="AA314" s="353"/>
    </row>
    <row r="315" spans="1:27" ht="24.95" customHeight="1" x14ac:dyDescent="0.2">
      <c r="A315" s="82">
        <v>29</v>
      </c>
      <c r="B315" s="45" t="s">
        <v>654</v>
      </c>
      <c r="C315" s="28" t="s">
        <v>655</v>
      </c>
      <c r="D315" s="155"/>
      <c r="E315" s="155"/>
      <c r="F315" s="155"/>
      <c r="G315" s="155"/>
      <c r="H315" s="155"/>
      <c r="I315" s="155"/>
      <c r="J315" s="155"/>
      <c r="K315" s="155">
        <f>-10000-15000</f>
        <v>-25000</v>
      </c>
      <c r="L315" s="155">
        <f>19685+5315</f>
        <v>25000</v>
      </c>
      <c r="M315" s="160"/>
      <c r="N315" s="155"/>
      <c r="O315" s="155"/>
      <c r="P315" s="155"/>
      <c r="Q315" s="155"/>
      <c r="R315" s="160">
        <f t="shared" si="36"/>
        <v>0</v>
      </c>
      <c r="S315" s="155"/>
      <c r="T315" s="155"/>
      <c r="U315" s="155"/>
      <c r="V315" s="155"/>
      <c r="W315" s="155"/>
      <c r="X315" s="161">
        <f t="shared" si="33"/>
        <v>0</v>
      </c>
      <c r="Y315" s="486">
        <f t="shared" si="34"/>
        <v>0</v>
      </c>
      <c r="Z315" s="329"/>
      <c r="AA315" s="353"/>
    </row>
    <row r="316" spans="1:27" ht="24.95" customHeight="1" x14ac:dyDescent="0.2">
      <c r="A316" s="82">
        <v>30</v>
      </c>
      <c r="B316" s="45" t="s">
        <v>656</v>
      </c>
      <c r="C316" s="33" t="s">
        <v>657</v>
      </c>
      <c r="D316" s="155"/>
      <c r="E316" s="155"/>
      <c r="F316" s="155"/>
      <c r="G316" s="155"/>
      <c r="H316" s="155"/>
      <c r="I316" s="155"/>
      <c r="J316" s="155"/>
      <c r="K316" s="155">
        <f>-15500</f>
        <v>-15500</v>
      </c>
      <c r="L316" s="155"/>
      <c r="M316" s="160"/>
      <c r="N316" s="155"/>
      <c r="O316" s="155"/>
      <c r="P316" s="155"/>
      <c r="Q316" s="155"/>
      <c r="R316" s="160">
        <f t="shared" si="36"/>
        <v>-15500</v>
      </c>
      <c r="S316" s="155"/>
      <c r="T316" s="155"/>
      <c r="U316" s="155"/>
      <c r="V316" s="155"/>
      <c r="W316" s="155"/>
      <c r="X316" s="161">
        <f t="shared" si="33"/>
        <v>0</v>
      </c>
      <c r="Y316" s="486">
        <f t="shared" si="34"/>
        <v>-15500</v>
      </c>
      <c r="Z316" s="329">
        <v>15500</v>
      </c>
      <c r="AA316" s="353"/>
    </row>
    <row r="317" spans="1:27" ht="24.95" customHeight="1" x14ac:dyDescent="0.2">
      <c r="A317" s="82">
        <v>31</v>
      </c>
      <c r="B317" s="708" t="s">
        <v>659</v>
      </c>
      <c r="C317" s="33" t="s">
        <v>660</v>
      </c>
      <c r="D317" s="155"/>
      <c r="E317" s="155"/>
      <c r="F317" s="155">
        <f>-1026-91-283-1185-1544-1115</f>
        <v>-5244</v>
      </c>
      <c r="G317" s="155"/>
      <c r="H317" s="155"/>
      <c r="I317" s="155"/>
      <c r="J317" s="155"/>
      <c r="K317" s="155"/>
      <c r="L317" s="155">
        <f>-1600-3248-1309-17600-4752-11308-3053</f>
        <v>-42870</v>
      </c>
      <c r="M317" s="160"/>
      <c r="N317" s="155"/>
      <c r="O317" s="155"/>
      <c r="P317" s="155"/>
      <c r="Q317" s="155"/>
      <c r="R317" s="160">
        <f t="shared" si="36"/>
        <v>-48114</v>
      </c>
      <c r="S317" s="155"/>
      <c r="T317" s="155"/>
      <c r="U317" s="155"/>
      <c r="V317" s="155"/>
      <c r="W317" s="155"/>
      <c r="X317" s="161">
        <f t="shared" si="33"/>
        <v>0</v>
      </c>
      <c r="Y317" s="486">
        <f t="shared" si="34"/>
        <v>-48114</v>
      </c>
      <c r="Z317" s="329"/>
      <c r="AA317" s="353"/>
    </row>
    <row r="318" spans="1:27" ht="24.95" customHeight="1" x14ac:dyDescent="0.2">
      <c r="A318" s="82">
        <v>32</v>
      </c>
      <c r="B318" s="516" t="s">
        <v>661</v>
      </c>
      <c r="C318" s="28" t="s">
        <v>403</v>
      </c>
      <c r="D318" s="155"/>
      <c r="E318" s="155"/>
      <c r="F318" s="155"/>
      <c r="G318" s="155"/>
      <c r="H318" s="155"/>
      <c r="I318" s="155"/>
      <c r="J318" s="155"/>
      <c r="K318" s="155">
        <f>-10842</f>
        <v>-10842</v>
      </c>
      <c r="L318" s="155"/>
      <c r="M318" s="160"/>
      <c r="N318" s="155"/>
      <c r="O318" s="155"/>
      <c r="P318" s="155"/>
      <c r="Q318" s="155">
        <f>10842</f>
        <v>10842</v>
      </c>
      <c r="R318" s="160">
        <f t="shared" si="36"/>
        <v>0</v>
      </c>
      <c r="S318" s="155"/>
      <c r="T318" s="155"/>
      <c r="U318" s="155"/>
      <c r="V318" s="155"/>
      <c r="W318" s="155"/>
      <c r="X318" s="161">
        <f t="shared" si="33"/>
        <v>0</v>
      </c>
      <c r="Y318" s="486">
        <f t="shared" si="34"/>
        <v>0</v>
      </c>
      <c r="Z318" s="329"/>
      <c r="AA318" s="353"/>
    </row>
    <row r="319" spans="1:27" ht="24.95" customHeight="1" x14ac:dyDescent="0.2">
      <c r="A319" s="82">
        <v>33</v>
      </c>
      <c r="B319" s="516" t="s">
        <v>662</v>
      </c>
      <c r="C319" s="28" t="s">
        <v>286</v>
      </c>
      <c r="D319" s="155"/>
      <c r="E319" s="155"/>
      <c r="F319" s="155"/>
      <c r="G319" s="155"/>
      <c r="H319" s="155"/>
      <c r="I319" s="155"/>
      <c r="J319" s="155">
        <f>50</f>
        <v>50</v>
      </c>
      <c r="K319" s="155">
        <f>-50</f>
        <v>-50</v>
      </c>
      <c r="L319" s="155"/>
      <c r="M319" s="160"/>
      <c r="N319" s="155"/>
      <c r="O319" s="155"/>
      <c r="P319" s="155"/>
      <c r="Q319" s="155"/>
      <c r="R319" s="160">
        <f t="shared" si="36"/>
        <v>0</v>
      </c>
      <c r="S319" s="155"/>
      <c r="T319" s="155"/>
      <c r="U319" s="155"/>
      <c r="V319" s="155"/>
      <c r="W319" s="155"/>
      <c r="X319" s="161">
        <f t="shared" si="33"/>
        <v>0</v>
      </c>
      <c r="Y319" s="486">
        <f t="shared" si="34"/>
        <v>0</v>
      </c>
      <c r="Z319" s="329"/>
      <c r="AA319" s="353"/>
    </row>
    <row r="320" spans="1:27" ht="24.95" customHeight="1" x14ac:dyDescent="0.2">
      <c r="A320" s="82">
        <v>34</v>
      </c>
      <c r="B320" s="516" t="s">
        <v>668</v>
      </c>
      <c r="C320" s="28" t="s">
        <v>667</v>
      </c>
      <c r="D320" s="155"/>
      <c r="E320" s="155"/>
      <c r="F320" s="155"/>
      <c r="G320" s="155"/>
      <c r="H320" s="155"/>
      <c r="I320" s="155"/>
      <c r="J320" s="155">
        <f>1201</f>
        <v>1201</v>
      </c>
      <c r="K320" s="155">
        <f>-1201</f>
        <v>-1201</v>
      </c>
      <c r="L320" s="155"/>
      <c r="M320" s="160"/>
      <c r="N320" s="155"/>
      <c r="O320" s="155"/>
      <c r="P320" s="155"/>
      <c r="Q320" s="155"/>
      <c r="R320" s="160">
        <f t="shared" si="36"/>
        <v>0</v>
      </c>
      <c r="S320" s="155"/>
      <c r="T320" s="155"/>
      <c r="U320" s="155"/>
      <c r="V320" s="155"/>
      <c r="W320" s="155"/>
      <c r="X320" s="161">
        <f t="shared" si="33"/>
        <v>0</v>
      </c>
      <c r="Y320" s="486">
        <f t="shared" si="34"/>
        <v>0</v>
      </c>
      <c r="Z320" s="329"/>
      <c r="AA320" s="353"/>
    </row>
    <row r="321" spans="1:27" ht="24.95" customHeight="1" x14ac:dyDescent="0.2">
      <c r="A321" s="82">
        <v>35</v>
      </c>
      <c r="B321" s="516" t="s">
        <v>669</v>
      </c>
      <c r="C321" s="28" t="s">
        <v>670</v>
      </c>
      <c r="D321" s="155"/>
      <c r="E321" s="155"/>
      <c r="F321" s="155"/>
      <c r="G321" s="155"/>
      <c r="H321" s="155"/>
      <c r="I321" s="155">
        <f>2710</f>
        <v>2710</v>
      </c>
      <c r="J321" s="155">
        <f>-1200-1510</f>
        <v>-2710</v>
      </c>
      <c r="K321" s="155"/>
      <c r="L321" s="155"/>
      <c r="M321" s="160"/>
      <c r="N321" s="155"/>
      <c r="O321" s="155"/>
      <c r="P321" s="155"/>
      <c r="Q321" s="155"/>
      <c r="R321" s="160">
        <f t="shared" si="36"/>
        <v>0</v>
      </c>
      <c r="S321" s="155"/>
      <c r="T321" s="155"/>
      <c r="U321" s="155"/>
      <c r="V321" s="155"/>
      <c r="W321" s="155"/>
      <c r="X321" s="161">
        <f t="shared" si="33"/>
        <v>0</v>
      </c>
      <c r="Y321" s="486">
        <f t="shared" si="34"/>
        <v>0</v>
      </c>
      <c r="Z321" s="329"/>
      <c r="AA321" s="353"/>
    </row>
    <row r="322" spans="1:27" ht="24.95" customHeight="1" x14ac:dyDescent="0.2">
      <c r="A322" s="82">
        <v>36</v>
      </c>
      <c r="B322" s="45" t="s">
        <v>671</v>
      </c>
      <c r="C322" s="28" t="s">
        <v>286</v>
      </c>
      <c r="D322" s="155"/>
      <c r="E322" s="155"/>
      <c r="F322" s="155"/>
      <c r="G322" s="155"/>
      <c r="H322" s="155"/>
      <c r="I322" s="155"/>
      <c r="J322" s="155"/>
      <c r="K322" s="155">
        <f>-635</f>
        <v>-635</v>
      </c>
      <c r="L322" s="155"/>
      <c r="M322" s="160"/>
      <c r="N322" s="155">
        <f>635</f>
        <v>635</v>
      </c>
      <c r="O322" s="155"/>
      <c r="P322" s="155"/>
      <c r="Q322" s="155"/>
      <c r="R322" s="160">
        <f t="shared" si="36"/>
        <v>0</v>
      </c>
      <c r="S322" s="155"/>
      <c r="T322" s="155"/>
      <c r="U322" s="155"/>
      <c r="V322" s="155"/>
      <c r="W322" s="155"/>
      <c r="X322" s="161">
        <f t="shared" si="33"/>
        <v>0</v>
      </c>
      <c r="Y322" s="486">
        <f t="shared" si="34"/>
        <v>0</v>
      </c>
      <c r="Z322" s="329"/>
      <c r="AA322" s="353"/>
    </row>
    <row r="323" spans="1:27" ht="24.95" customHeight="1" x14ac:dyDescent="0.2">
      <c r="A323" s="82">
        <v>37</v>
      </c>
      <c r="B323" s="228" t="s">
        <v>672</v>
      </c>
      <c r="C323" s="28" t="s">
        <v>325</v>
      </c>
      <c r="D323" s="155"/>
      <c r="E323" s="155"/>
      <c r="F323" s="155"/>
      <c r="G323" s="155"/>
      <c r="H323" s="155"/>
      <c r="I323" s="155"/>
      <c r="J323" s="155">
        <f>101</f>
        <v>101</v>
      </c>
      <c r="K323" s="155">
        <f>-521</f>
        <v>-521</v>
      </c>
      <c r="L323" s="155"/>
      <c r="M323" s="160"/>
      <c r="N323" s="155"/>
      <c r="O323" s="155"/>
      <c r="P323" s="155"/>
      <c r="Q323" s="155">
        <f>420</f>
        <v>420</v>
      </c>
      <c r="R323" s="160">
        <f t="shared" si="36"/>
        <v>0</v>
      </c>
      <c r="S323" s="155"/>
      <c r="T323" s="155"/>
      <c r="U323" s="155"/>
      <c r="V323" s="155"/>
      <c r="W323" s="155"/>
      <c r="X323" s="161">
        <f t="shared" si="33"/>
        <v>0</v>
      </c>
      <c r="Y323" s="486">
        <f t="shared" si="34"/>
        <v>0</v>
      </c>
      <c r="Z323" s="329"/>
      <c r="AA323" s="353"/>
    </row>
    <row r="324" spans="1:27" ht="24.95" customHeight="1" x14ac:dyDescent="0.2">
      <c r="A324" s="82">
        <v>38</v>
      </c>
      <c r="B324" s="228" t="s">
        <v>673</v>
      </c>
      <c r="C324" s="28" t="s">
        <v>286</v>
      </c>
      <c r="D324" s="155"/>
      <c r="E324" s="155"/>
      <c r="F324" s="155"/>
      <c r="G324" s="155"/>
      <c r="H324" s="155"/>
      <c r="I324" s="155"/>
      <c r="J324" s="155"/>
      <c r="K324" s="155">
        <f>-788</f>
        <v>-788</v>
      </c>
      <c r="L324" s="155"/>
      <c r="M324" s="160"/>
      <c r="N324" s="155"/>
      <c r="O324" s="155"/>
      <c r="P324" s="155"/>
      <c r="Q324" s="155">
        <f>788</f>
        <v>788</v>
      </c>
      <c r="R324" s="160">
        <f t="shared" si="36"/>
        <v>0</v>
      </c>
      <c r="S324" s="155"/>
      <c r="T324" s="155"/>
      <c r="U324" s="155"/>
      <c r="V324" s="155"/>
      <c r="W324" s="155"/>
      <c r="X324" s="161">
        <f t="shared" si="33"/>
        <v>0</v>
      </c>
      <c r="Y324" s="486">
        <f t="shared" si="34"/>
        <v>0</v>
      </c>
      <c r="Z324" s="329"/>
      <c r="AA324" s="353"/>
    </row>
    <row r="325" spans="1:27" ht="24.95" customHeight="1" x14ac:dyDescent="0.2">
      <c r="A325" s="82">
        <v>39</v>
      </c>
      <c r="B325" s="228" t="s">
        <v>701</v>
      </c>
      <c r="C325" s="28" t="s">
        <v>702</v>
      </c>
      <c r="D325" s="155">
        <f>-3300</f>
        <v>-3300</v>
      </c>
      <c r="E325" s="155">
        <f>-726</f>
        <v>-726</v>
      </c>
      <c r="F325" s="155"/>
      <c r="G325" s="155"/>
      <c r="H325" s="155"/>
      <c r="I325" s="155"/>
      <c r="J325" s="155"/>
      <c r="K325" s="155"/>
      <c r="L325" s="155"/>
      <c r="M325" s="160"/>
      <c r="N325" s="155"/>
      <c r="O325" s="155"/>
      <c r="P325" s="155"/>
      <c r="Q325" s="155"/>
      <c r="R325" s="160">
        <f t="shared" si="36"/>
        <v>-4026</v>
      </c>
      <c r="S325" s="155"/>
      <c r="T325" s="155"/>
      <c r="U325" s="155"/>
      <c r="V325" s="155"/>
      <c r="W325" s="155"/>
      <c r="X325" s="161">
        <f t="shared" ref="X325:X327" si="50">SUM(T325:W325)</f>
        <v>0</v>
      </c>
      <c r="Y325" s="486">
        <f t="shared" ref="Y325:Y327" si="51">R325+X325</f>
        <v>-4026</v>
      </c>
      <c r="Z325" s="329">
        <f>3300+726</f>
        <v>4026</v>
      </c>
      <c r="AA325" s="353"/>
    </row>
    <row r="326" spans="1:27" ht="24.95" customHeight="1" x14ac:dyDescent="0.2">
      <c r="A326" s="82">
        <v>40</v>
      </c>
      <c r="B326" s="228" t="s">
        <v>704</v>
      </c>
      <c r="C326" s="28" t="s">
        <v>703</v>
      </c>
      <c r="D326" s="155"/>
      <c r="E326" s="155"/>
      <c r="F326" s="155"/>
      <c r="G326" s="155"/>
      <c r="H326" s="155"/>
      <c r="I326" s="155"/>
      <c r="J326" s="155">
        <f>-1500</f>
        <v>-1500</v>
      </c>
      <c r="K326" s="155"/>
      <c r="L326" s="155"/>
      <c r="M326" s="160"/>
      <c r="N326" s="155"/>
      <c r="O326" s="155"/>
      <c r="P326" s="155"/>
      <c r="Q326" s="155"/>
      <c r="R326" s="160">
        <f t="shared" si="36"/>
        <v>-1500</v>
      </c>
      <c r="S326" s="155"/>
      <c r="T326" s="155"/>
      <c r="U326" s="155"/>
      <c r="V326" s="155"/>
      <c r="W326" s="155"/>
      <c r="X326" s="161">
        <f t="shared" si="50"/>
        <v>0</v>
      </c>
      <c r="Y326" s="486">
        <f t="shared" si="51"/>
        <v>-1500</v>
      </c>
      <c r="Z326" s="329">
        <f>1500</f>
        <v>1500</v>
      </c>
      <c r="AA326" s="353"/>
    </row>
    <row r="327" spans="1:27" ht="24.95" customHeight="1" x14ac:dyDescent="0.2">
      <c r="A327" s="82">
        <v>41</v>
      </c>
      <c r="B327" s="228" t="s">
        <v>705</v>
      </c>
      <c r="C327" s="28" t="s">
        <v>708</v>
      </c>
      <c r="D327" s="155"/>
      <c r="E327" s="155"/>
      <c r="F327" s="155">
        <f>-338.4-381-72.19</f>
        <v>-791.58999999999992</v>
      </c>
      <c r="G327" s="155"/>
      <c r="H327" s="155"/>
      <c r="I327" s="155"/>
      <c r="J327" s="155"/>
      <c r="K327" s="155"/>
      <c r="L327" s="155"/>
      <c r="M327" s="160"/>
      <c r="N327" s="155"/>
      <c r="O327" s="155"/>
      <c r="P327" s="155"/>
      <c r="Q327" s="155"/>
      <c r="R327" s="160">
        <f t="shared" si="36"/>
        <v>-791.58999999999992</v>
      </c>
      <c r="S327" s="155"/>
      <c r="T327" s="155"/>
      <c r="U327" s="155"/>
      <c r="V327" s="155"/>
      <c r="W327" s="155"/>
      <c r="X327" s="161">
        <f t="shared" si="50"/>
        <v>0</v>
      </c>
      <c r="Y327" s="486">
        <f t="shared" si="51"/>
        <v>-791.58999999999992</v>
      </c>
      <c r="Z327" s="329">
        <f>791.59</f>
        <v>791.59</v>
      </c>
      <c r="AA327" s="353"/>
    </row>
    <row r="328" spans="1:27" ht="24.95" customHeight="1" x14ac:dyDescent="0.2">
      <c r="A328" s="82">
        <v>42</v>
      </c>
      <c r="B328" s="228" t="s">
        <v>707</v>
      </c>
      <c r="C328" s="28" t="s">
        <v>706</v>
      </c>
      <c r="D328" s="155">
        <f>-1450-300</f>
        <v>-1750</v>
      </c>
      <c r="E328" s="155">
        <f>-385.732</f>
        <v>-385.73200000000003</v>
      </c>
      <c r="F328" s="155"/>
      <c r="G328" s="155"/>
      <c r="H328" s="155"/>
      <c r="I328" s="155"/>
      <c r="J328" s="155"/>
      <c r="K328" s="155"/>
      <c r="L328" s="155"/>
      <c r="M328" s="160"/>
      <c r="N328" s="155"/>
      <c r="O328" s="155"/>
      <c r="P328" s="155"/>
      <c r="Q328" s="155"/>
      <c r="R328" s="160">
        <f t="shared" si="36"/>
        <v>-2135.732</v>
      </c>
      <c r="S328" s="155"/>
      <c r="T328" s="155"/>
      <c r="U328" s="155"/>
      <c r="V328" s="155"/>
      <c r="W328" s="155"/>
      <c r="X328" s="161">
        <f t="shared" ref="X328" si="52">SUM(T328:W328)</f>
        <v>0</v>
      </c>
      <c r="Y328" s="486">
        <f t="shared" ref="Y328" si="53">R328+X328</f>
        <v>-2135.732</v>
      </c>
      <c r="Z328" s="329">
        <f>2135.732</f>
        <v>2135.732</v>
      </c>
      <c r="AA328" s="353"/>
    </row>
    <row r="329" spans="1:27" ht="24.95" customHeight="1" x14ac:dyDescent="0.2">
      <c r="A329" s="82">
        <v>43</v>
      </c>
      <c r="B329" s="228" t="s">
        <v>709</v>
      </c>
      <c r="C329" s="28" t="s">
        <v>748</v>
      </c>
      <c r="D329" s="155"/>
      <c r="E329" s="155"/>
      <c r="F329" s="155"/>
      <c r="G329" s="155"/>
      <c r="H329" s="155"/>
      <c r="I329" s="155"/>
      <c r="J329" s="155"/>
      <c r="K329" s="155"/>
      <c r="L329" s="155"/>
      <c r="M329" s="160"/>
      <c r="N329" s="155"/>
      <c r="O329" s="155"/>
      <c r="P329" s="155"/>
      <c r="Q329" s="155"/>
      <c r="R329" s="160">
        <f t="shared" si="36"/>
        <v>0</v>
      </c>
      <c r="S329" s="155"/>
      <c r="T329" s="155"/>
      <c r="U329" s="155"/>
      <c r="V329" s="155"/>
      <c r="W329" s="155"/>
      <c r="X329" s="161">
        <f t="shared" ref="X329" si="54">SUM(T329:W329)</f>
        <v>0</v>
      </c>
      <c r="Y329" s="486">
        <f t="shared" ref="Y329" si="55">R329+X329</f>
        <v>0</v>
      </c>
      <c r="Z329" s="329">
        <f>23303.248</f>
        <v>23303.248</v>
      </c>
      <c r="AA329" s="353"/>
    </row>
    <row r="330" spans="1:27" ht="34.5" customHeight="1" x14ac:dyDescent="0.2">
      <c r="A330" s="82">
        <v>44</v>
      </c>
      <c r="B330" s="228" t="s">
        <v>711</v>
      </c>
      <c r="C330" s="28" t="s">
        <v>712</v>
      </c>
      <c r="D330" s="155"/>
      <c r="E330" s="155"/>
      <c r="F330" s="155"/>
      <c r="G330" s="155"/>
      <c r="H330" s="155"/>
      <c r="I330" s="155"/>
      <c r="J330" s="155"/>
      <c r="K330" s="155"/>
      <c r="L330" s="155"/>
      <c r="M330" s="160"/>
      <c r="N330" s="155"/>
      <c r="O330" s="155"/>
      <c r="P330" s="155"/>
      <c r="Q330" s="155"/>
      <c r="R330" s="160">
        <f t="shared" si="36"/>
        <v>0</v>
      </c>
      <c r="S330" s="155"/>
      <c r="T330" s="155"/>
      <c r="U330" s="155"/>
      <c r="V330" s="155"/>
      <c r="W330" s="155"/>
      <c r="X330" s="161">
        <f t="shared" ref="X330" si="56">SUM(T330:W330)</f>
        <v>0</v>
      </c>
      <c r="Y330" s="486">
        <f t="shared" ref="Y330" si="57">R330+X330</f>
        <v>0</v>
      </c>
      <c r="Z330" s="329">
        <f>7239.401</f>
        <v>7239.4009999999998</v>
      </c>
      <c r="AA330" s="353"/>
    </row>
    <row r="331" spans="1:27" ht="24.95" customHeight="1" x14ac:dyDescent="0.2">
      <c r="A331" s="82">
        <v>45</v>
      </c>
      <c r="B331" s="228" t="s">
        <v>678</v>
      </c>
      <c r="C331" s="28" t="s">
        <v>713</v>
      </c>
      <c r="D331" s="155"/>
      <c r="E331" s="155"/>
      <c r="F331" s="155"/>
      <c r="G331" s="155"/>
      <c r="H331" s="155"/>
      <c r="I331" s="155"/>
      <c r="J331" s="155"/>
      <c r="K331" s="155"/>
      <c r="L331" s="155"/>
      <c r="M331" s="160"/>
      <c r="N331" s="155"/>
      <c r="O331" s="155"/>
      <c r="P331" s="155"/>
      <c r="Q331" s="155"/>
      <c r="R331" s="160">
        <f t="shared" si="36"/>
        <v>0</v>
      </c>
      <c r="S331" s="155"/>
      <c r="T331" s="155"/>
      <c r="U331" s="155"/>
      <c r="V331" s="155"/>
      <c r="W331" s="155"/>
      <c r="X331" s="161">
        <f t="shared" ref="X331" si="58">SUM(T331:W331)</f>
        <v>0</v>
      </c>
      <c r="Y331" s="486">
        <f t="shared" ref="Y331" si="59">R331+X331</f>
        <v>0</v>
      </c>
      <c r="Z331" s="329">
        <f>3270.055</f>
        <v>3270.0549999999998</v>
      </c>
      <c r="AA331" s="353"/>
    </row>
    <row r="332" spans="1:27" ht="34.5" customHeight="1" x14ac:dyDescent="0.2">
      <c r="A332" s="82">
        <v>46</v>
      </c>
      <c r="B332" s="228" t="s">
        <v>678</v>
      </c>
      <c r="C332" s="28" t="s">
        <v>714</v>
      </c>
      <c r="D332" s="155"/>
      <c r="E332" s="155"/>
      <c r="F332" s="155"/>
      <c r="G332" s="155"/>
      <c r="H332" s="155"/>
      <c r="I332" s="155"/>
      <c r="J332" s="155"/>
      <c r="K332" s="155"/>
      <c r="L332" s="155"/>
      <c r="M332" s="160"/>
      <c r="N332" s="155"/>
      <c r="O332" s="155"/>
      <c r="P332" s="155"/>
      <c r="Q332" s="155"/>
      <c r="R332" s="160">
        <f t="shared" si="36"/>
        <v>0</v>
      </c>
      <c r="S332" s="155"/>
      <c r="T332" s="155"/>
      <c r="U332" s="155"/>
      <c r="V332" s="155"/>
      <c r="W332" s="155"/>
      <c r="X332" s="161">
        <f t="shared" ref="X332" si="60">SUM(T332:W332)</f>
        <v>0</v>
      </c>
      <c r="Y332" s="486">
        <f t="shared" ref="Y332" si="61">R332+X332</f>
        <v>0</v>
      </c>
      <c r="Z332" s="329">
        <f>3369.395-42.953</f>
        <v>3326.442</v>
      </c>
      <c r="AA332" s="353"/>
    </row>
    <row r="333" spans="1:27" ht="24.95" customHeight="1" x14ac:dyDescent="0.2">
      <c r="A333" s="82">
        <v>47</v>
      </c>
      <c r="B333" s="30" t="s">
        <v>678</v>
      </c>
      <c r="C333" s="88" t="s">
        <v>679</v>
      </c>
      <c r="D333" s="155"/>
      <c r="E333" s="155"/>
      <c r="F333" s="155"/>
      <c r="G333" s="155"/>
      <c r="H333" s="155"/>
      <c r="I333" s="155"/>
      <c r="J333" s="155"/>
      <c r="K333" s="155"/>
      <c r="L333" s="155"/>
      <c r="M333" s="160"/>
      <c r="N333" s="155"/>
      <c r="O333" s="155"/>
      <c r="P333" s="155"/>
      <c r="Q333" s="155"/>
      <c r="R333" s="160">
        <f t="shared" si="36"/>
        <v>0</v>
      </c>
      <c r="S333" s="155"/>
      <c r="T333" s="155"/>
      <c r="U333" s="155"/>
      <c r="V333" s="155"/>
      <c r="W333" s="155"/>
      <c r="X333" s="161">
        <f t="shared" si="33"/>
        <v>0</v>
      </c>
      <c r="Y333" s="486">
        <f t="shared" si="34"/>
        <v>0</v>
      </c>
      <c r="Z333" s="329">
        <f>924.565</f>
        <v>924.56500000000005</v>
      </c>
      <c r="AA333" s="353"/>
    </row>
    <row r="334" spans="1:27" ht="24.95" customHeight="1" x14ac:dyDescent="0.2">
      <c r="A334" s="82">
        <v>48</v>
      </c>
      <c r="B334" s="30" t="s">
        <v>715</v>
      </c>
      <c r="C334" s="28" t="s">
        <v>716</v>
      </c>
      <c r="D334" s="155"/>
      <c r="E334" s="155"/>
      <c r="F334" s="155">
        <f>-3308.132</f>
        <v>-3308.1320000000001</v>
      </c>
      <c r="G334" s="155"/>
      <c r="H334" s="155"/>
      <c r="I334" s="155"/>
      <c r="J334" s="155"/>
      <c r="K334" s="155"/>
      <c r="L334" s="155"/>
      <c r="M334" s="160"/>
      <c r="N334" s="155"/>
      <c r="O334" s="155"/>
      <c r="P334" s="155"/>
      <c r="Q334" s="155"/>
      <c r="R334" s="160">
        <f t="shared" si="36"/>
        <v>-3308.1320000000001</v>
      </c>
      <c r="S334" s="155"/>
      <c r="T334" s="155"/>
      <c r="U334" s="155"/>
      <c r="V334" s="155"/>
      <c r="W334" s="155"/>
      <c r="X334" s="161">
        <f t="shared" ref="X334" si="62">SUM(T334:W334)</f>
        <v>0</v>
      </c>
      <c r="Y334" s="486">
        <f t="shared" ref="Y334" si="63">R334+X334</f>
        <v>-3308.1320000000001</v>
      </c>
      <c r="Z334" s="329">
        <f>3308.132</f>
        <v>3308.1320000000001</v>
      </c>
      <c r="AA334" s="353"/>
    </row>
    <row r="335" spans="1:27" ht="24.95" customHeight="1" x14ac:dyDescent="0.2">
      <c r="A335" s="82">
        <v>49</v>
      </c>
      <c r="B335" s="30" t="s">
        <v>681</v>
      </c>
      <c r="C335" s="28" t="s">
        <v>682</v>
      </c>
      <c r="D335" s="155"/>
      <c r="E335" s="155"/>
      <c r="F335" s="155"/>
      <c r="G335" s="155"/>
      <c r="H335" s="155"/>
      <c r="I335" s="155"/>
      <c r="J335" s="155"/>
      <c r="K335" s="155">
        <f>-10025</f>
        <v>-10025</v>
      </c>
      <c r="L335" s="155"/>
      <c r="M335" s="160"/>
      <c r="N335" s="155"/>
      <c r="O335" s="155"/>
      <c r="P335" s="155"/>
      <c r="Q335" s="155">
        <f>10025</f>
        <v>10025</v>
      </c>
      <c r="R335" s="160">
        <f t="shared" si="36"/>
        <v>0</v>
      </c>
      <c r="S335" s="155"/>
      <c r="T335" s="155"/>
      <c r="U335" s="155"/>
      <c r="V335" s="155"/>
      <c r="W335" s="155"/>
      <c r="X335" s="161">
        <f t="shared" si="33"/>
        <v>0</v>
      </c>
      <c r="Y335" s="486">
        <f t="shared" si="34"/>
        <v>0</v>
      </c>
      <c r="Z335" s="329"/>
      <c r="AA335" s="353"/>
    </row>
    <row r="336" spans="1:27" ht="24.95" customHeight="1" x14ac:dyDescent="0.2">
      <c r="A336" s="82">
        <v>50</v>
      </c>
      <c r="B336" s="228" t="s">
        <v>683</v>
      </c>
      <c r="C336" s="28" t="s">
        <v>684</v>
      </c>
      <c r="D336" s="155"/>
      <c r="E336" s="155"/>
      <c r="F336" s="155">
        <f>479+121</f>
        <v>600</v>
      </c>
      <c r="G336" s="155"/>
      <c r="H336" s="155"/>
      <c r="I336" s="155"/>
      <c r="J336" s="155"/>
      <c r="K336" s="155"/>
      <c r="L336" s="155">
        <f>-472-128</f>
        <v>-600</v>
      </c>
      <c r="M336" s="160"/>
      <c r="N336" s="155"/>
      <c r="O336" s="155"/>
      <c r="P336" s="155"/>
      <c r="Q336" s="155"/>
      <c r="R336" s="160">
        <f t="shared" si="36"/>
        <v>0</v>
      </c>
      <c r="S336" s="155"/>
      <c r="T336" s="155"/>
      <c r="U336" s="155"/>
      <c r="V336" s="155"/>
      <c r="W336" s="155"/>
      <c r="X336" s="161">
        <f t="shared" si="33"/>
        <v>0</v>
      </c>
      <c r="Y336" s="486">
        <f t="shared" si="34"/>
        <v>0</v>
      </c>
      <c r="Z336" s="329"/>
      <c r="AA336" s="353"/>
    </row>
    <row r="337" spans="1:27" ht="24.95" customHeight="1" x14ac:dyDescent="0.2">
      <c r="A337" s="82">
        <v>51</v>
      </c>
      <c r="B337" s="30" t="s">
        <v>685</v>
      </c>
      <c r="C337" s="28" t="s">
        <v>286</v>
      </c>
      <c r="D337" s="155"/>
      <c r="E337" s="155"/>
      <c r="F337" s="155"/>
      <c r="G337" s="155"/>
      <c r="H337" s="155"/>
      <c r="I337" s="155"/>
      <c r="J337" s="155">
        <f>240</f>
        <v>240</v>
      </c>
      <c r="K337" s="155">
        <f>-240</f>
        <v>-240</v>
      </c>
      <c r="L337" s="155"/>
      <c r="M337" s="160"/>
      <c r="N337" s="155"/>
      <c r="O337" s="155"/>
      <c r="P337" s="155"/>
      <c r="Q337" s="155"/>
      <c r="R337" s="160">
        <f t="shared" si="36"/>
        <v>0</v>
      </c>
      <c r="S337" s="155"/>
      <c r="T337" s="155"/>
      <c r="U337" s="155"/>
      <c r="V337" s="155"/>
      <c r="W337" s="155"/>
      <c r="X337" s="161">
        <f t="shared" si="33"/>
        <v>0</v>
      </c>
      <c r="Y337" s="486">
        <f t="shared" si="34"/>
        <v>0</v>
      </c>
      <c r="Z337" s="329"/>
      <c r="AA337" s="353"/>
    </row>
    <row r="338" spans="1:27" ht="24.95" customHeight="1" x14ac:dyDescent="0.2">
      <c r="A338" s="82">
        <v>52</v>
      </c>
      <c r="B338" s="30" t="s">
        <v>686</v>
      </c>
      <c r="C338" s="28" t="s">
        <v>687</v>
      </c>
      <c r="D338" s="155"/>
      <c r="E338" s="155"/>
      <c r="F338" s="155"/>
      <c r="G338" s="155"/>
      <c r="H338" s="155"/>
      <c r="I338" s="155"/>
      <c r="J338" s="155"/>
      <c r="K338" s="155">
        <f>-80000</f>
        <v>-80000</v>
      </c>
      <c r="L338" s="155"/>
      <c r="M338" s="160"/>
      <c r="N338" s="155"/>
      <c r="O338" s="155"/>
      <c r="P338" s="155"/>
      <c r="Q338" s="155">
        <f>80000</f>
        <v>80000</v>
      </c>
      <c r="R338" s="160">
        <f t="shared" si="36"/>
        <v>0</v>
      </c>
      <c r="S338" s="155"/>
      <c r="T338" s="155"/>
      <c r="U338" s="155"/>
      <c r="V338" s="155"/>
      <c r="W338" s="155"/>
      <c r="X338" s="161">
        <f t="shared" si="33"/>
        <v>0</v>
      </c>
      <c r="Y338" s="486">
        <f t="shared" si="34"/>
        <v>0</v>
      </c>
      <c r="Z338" s="329"/>
      <c r="AA338" s="353"/>
    </row>
    <row r="339" spans="1:27" ht="24.95" customHeight="1" x14ac:dyDescent="0.2">
      <c r="A339" s="82">
        <v>53</v>
      </c>
      <c r="B339" s="30" t="s">
        <v>688</v>
      </c>
      <c r="C339" s="28" t="s">
        <v>689</v>
      </c>
      <c r="D339" s="155"/>
      <c r="E339" s="155"/>
      <c r="F339" s="155"/>
      <c r="G339" s="155"/>
      <c r="H339" s="155"/>
      <c r="I339" s="155"/>
      <c r="J339" s="155"/>
      <c r="K339" s="155">
        <f>-1155000</f>
        <v>-1155000</v>
      </c>
      <c r="L339" s="155">
        <f>1155000</f>
        <v>1155000</v>
      </c>
      <c r="M339" s="160"/>
      <c r="N339" s="155"/>
      <c r="O339" s="155"/>
      <c r="P339" s="155"/>
      <c r="Q339" s="155"/>
      <c r="R339" s="160">
        <f t="shared" si="36"/>
        <v>0</v>
      </c>
      <c r="S339" s="155"/>
      <c r="T339" s="155"/>
      <c r="U339" s="155"/>
      <c r="V339" s="155"/>
      <c r="W339" s="155"/>
      <c r="X339" s="161">
        <f t="shared" si="33"/>
        <v>0</v>
      </c>
      <c r="Y339" s="486">
        <f t="shared" si="34"/>
        <v>0</v>
      </c>
      <c r="Z339" s="329"/>
      <c r="AA339" s="353"/>
    </row>
    <row r="340" spans="1:27" ht="24.95" customHeight="1" x14ac:dyDescent="0.2">
      <c r="A340" s="82">
        <v>54</v>
      </c>
      <c r="B340" s="30" t="s">
        <v>690</v>
      </c>
      <c r="C340" s="28" t="s">
        <v>403</v>
      </c>
      <c r="D340" s="155"/>
      <c r="E340" s="155"/>
      <c r="F340" s="155"/>
      <c r="G340" s="155"/>
      <c r="H340" s="155"/>
      <c r="I340" s="155"/>
      <c r="J340" s="155"/>
      <c r="K340" s="155">
        <f>-2148</f>
        <v>-2148</v>
      </c>
      <c r="L340" s="155"/>
      <c r="M340" s="160"/>
      <c r="N340" s="155"/>
      <c r="O340" s="155"/>
      <c r="P340" s="155"/>
      <c r="Q340" s="155">
        <f>2148</f>
        <v>2148</v>
      </c>
      <c r="R340" s="160">
        <f t="shared" si="36"/>
        <v>0</v>
      </c>
      <c r="S340" s="155"/>
      <c r="T340" s="155"/>
      <c r="U340" s="155"/>
      <c r="V340" s="155"/>
      <c r="W340" s="155"/>
      <c r="X340" s="161">
        <f t="shared" si="33"/>
        <v>0</v>
      </c>
      <c r="Y340" s="486">
        <f t="shared" si="34"/>
        <v>0</v>
      </c>
      <c r="Z340" s="329"/>
      <c r="AA340" s="353"/>
    </row>
    <row r="341" spans="1:27" ht="24.95" customHeight="1" x14ac:dyDescent="0.2">
      <c r="A341" s="82">
        <v>55</v>
      </c>
      <c r="B341" s="30" t="s">
        <v>691</v>
      </c>
      <c r="C341" s="28" t="s">
        <v>692</v>
      </c>
      <c r="D341" s="155"/>
      <c r="E341" s="155"/>
      <c r="F341" s="155"/>
      <c r="G341" s="155"/>
      <c r="H341" s="155"/>
      <c r="I341" s="155"/>
      <c r="J341" s="155"/>
      <c r="K341" s="155">
        <f>-7659</f>
        <v>-7659</v>
      </c>
      <c r="L341" s="155">
        <f>3120+843+2910+786</f>
        <v>7659</v>
      </c>
      <c r="M341" s="160"/>
      <c r="N341" s="155"/>
      <c r="O341" s="155"/>
      <c r="P341" s="155"/>
      <c r="Q341" s="155"/>
      <c r="R341" s="160">
        <f t="shared" si="36"/>
        <v>0</v>
      </c>
      <c r="S341" s="155"/>
      <c r="T341" s="155"/>
      <c r="U341" s="155"/>
      <c r="V341" s="155"/>
      <c r="W341" s="155"/>
      <c r="X341" s="161">
        <f t="shared" si="33"/>
        <v>0</v>
      </c>
      <c r="Y341" s="486">
        <f t="shared" si="34"/>
        <v>0</v>
      </c>
      <c r="Z341" s="329"/>
      <c r="AA341" s="353"/>
    </row>
    <row r="342" spans="1:27" ht="24.95" customHeight="1" x14ac:dyDescent="0.2">
      <c r="A342" s="82">
        <v>56</v>
      </c>
      <c r="B342" s="30" t="s">
        <v>693</v>
      </c>
      <c r="C342" s="28" t="s">
        <v>694</v>
      </c>
      <c r="D342" s="155"/>
      <c r="E342" s="155"/>
      <c r="F342" s="155"/>
      <c r="G342" s="155"/>
      <c r="H342" s="155"/>
      <c r="I342" s="155"/>
      <c r="J342" s="155"/>
      <c r="K342" s="155">
        <f>-11176</f>
        <v>-11176</v>
      </c>
      <c r="L342" s="155">
        <f>8800+2376</f>
        <v>11176</v>
      </c>
      <c r="M342" s="160"/>
      <c r="N342" s="155"/>
      <c r="O342" s="155"/>
      <c r="P342" s="155"/>
      <c r="Q342" s="155"/>
      <c r="R342" s="160">
        <f t="shared" si="36"/>
        <v>0</v>
      </c>
      <c r="S342" s="155"/>
      <c r="T342" s="155"/>
      <c r="U342" s="155"/>
      <c r="V342" s="155"/>
      <c r="W342" s="155"/>
      <c r="X342" s="161">
        <f t="shared" si="33"/>
        <v>0</v>
      </c>
      <c r="Y342" s="486">
        <f t="shared" si="34"/>
        <v>0</v>
      </c>
      <c r="Z342" s="329"/>
      <c r="AA342" s="353"/>
    </row>
    <row r="343" spans="1:27" ht="24.95" customHeight="1" x14ac:dyDescent="0.2">
      <c r="A343" s="82">
        <v>57</v>
      </c>
      <c r="B343" s="228" t="s">
        <v>695</v>
      </c>
      <c r="C343" s="28" t="s">
        <v>696</v>
      </c>
      <c r="D343" s="155"/>
      <c r="E343" s="155"/>
      <c r="F343" s="155"/>
      <c r="G343" s="155"/>
      <c r="H343" s="155"/>
      <c r="I343" s="155"/>
      <c r="J343" s="155"/>
      <c r="K343" s="155">
        <f>-19000</f>
        <v>-19000</v>
      </c>
      <c r="L343" s="155">
        <f>14960+4040</f>
        <v>19000</v>
      </c>
      <c r="M343" s="160"/>
      <c r="N343" s="155"/>
      <c r="O343" s="155"/>
      <c r="P343" s="155"/>
      <c r="Q343" s="155"/>
      <c r="R343" s="160">
        <f t="shared" si="36"/>
        <v>0</v>
      </c>
      <c r="S343" s="155"/>
      <c r="T343" s="155"/>
      <c r="U343" s="155"/>
      <c r="V343" s="155"/>
      <c r="W343" s="155"/>
      <c r="X343" s="161">
        <f t="shared" si="33"/>
        <v>0</v>
      </c>
      <c r="Y343" s="486">
        <f t="shared" si="34"/>
        <v>0</v>
      </c>
      <c r="Z343" s="329"/>
      <c r="AA343" s="353"/>
    </row>
    <row r="344" spans="1:27" ht="24.95" customHeight="1" x14ac:dyDescent="0.2">
      <c r="A344" s="82">
        <v>58</v>
      </c>
      <c r="B344" s="30" t="s">
        <v>698</v>
      </c>
      <c r="C344" s="28" t="s">
        <v>697</v>
      </c>
      <c r="D344" s="155"/>
      <c r="E344" s="155"/>
      <c r="F344" s="155"/>
      <c r="G344" s="155"/>
      <c r="H344" s="155"/>
      <c r="I344" s="155"/>
      <c r="J344" s="155"/>
      <c r="K344" s="155">
        <f>-18796</f>
        <v>-18796</v>
      </c>
      <c r="L344" s="155">
        <f>14800+3996</f>
        <v>18796</v>
      </c>
      <c r="M344" s="160"/>
      <c r="N344" s="155"/>
      <c r="O344" s="155"/>
      <c r="P344" s="155"/>
      <c r="Q344" s="155"/>
      <c r="R344" s="160">
        <f t="shared" si="36"/>
        <v>0</v>
      </c>
      <c r="S344" s="155"/>
      <c r="T344" s="155"/>
      <c r="U344" s="155"/>
      <c r="V344" s="155"/>
      <c r="W344" s="155"/>
      <c r="X344" s="161">
        <f t="shared" si="33"/>
        <v>0</v>
      </c>
      <c r="Y344" s="486">
        <f t="shared" si="34"/>
        <v>0</v>
      </c>
      <c r="Z344" s="329"/>
      <c r="AA344" s="353"/>
    </row>
    <row r="345" spans="1:27" ht="24.95" customHeight="1" x14ac:dyDescent="0.2">
      <c r="A345" s="82">
        <v>59</v>
      </c>
      <c r="B345" s="228" t="s">
        <v>699</v>
      </c>
      <c r="C345" s="28" t="s">
        <v>700</v>
      </c>
      <c r="D345" s="155"/>
      <c r="E345" s="155"/>
      <c r="F345" s="155"/>
      <c r="G345" s="155"/>
      <c r="H345" s="155"/>
      <c r="I345" s="155"/>
      <c r="J345" s="355"/>
      <c r="K345" s="155">
        <f>-4064</f>
        <v>-4064</v>
      </c>
      <c r="L345" s="155">
        <f>3200+864</f>
        <v>4064</v>
      </c>
      <c r="M345" s="160"/>
      <c r="N345" s="155"/>
      <c r="O345" s="155"/>
      <c r="P345" s="155"/>
      <c r="Q345" s="155"/>
      <c r="R345" s="160">
        <f t="shared" si="36"/>
        <v>0</v>
      </c>
      <c r="S345" s="155"/>
      <c r="T345" s="155"/>
      <c r="U345" s="155"/>
      <c r="V345" s="155"/>
      <c r="W345" s="155"/>
      <c r="X345" s="161">
        <f t="shared" si="33"/>
        <v>0</v>
      </c>
      <c r="Y345" s="486">
        <f t="shared" si="34"/>
        <v>0</v>
      </c>
      <c r="Z345" s="329"/>
      <c r="AA345" s="353"/>
    </row>
    <row r="346" spans="1:27" ht="24.95" customHeight="1" x14ac:dyDescent="0.2">
      <c r="A346" s="82">
        <v>60</v>
      </c>
      <c r="B346" s="228" t="s">
        <v>718</v>
      </c>
      <c r="C346" s="28" t="s">
        <v>717</v>
      </c>
      <c r="D346" s="155"/>
      <c r="E346" s="155"/>
      <c r="F346" s="155"/>
      <c r="G346" s="155"/>
      <c r="H346" s="155"/>
      <c r="I346" s="155"/>
      <c r="K346" s="155">
        <f>-38100</f>
        <v>-38100</v>
      </c>
      <c r="L346" s="155">
        <f>30000+8100</f>
        <v>38100</v>
      </c>
      <c r="M346" s="160"/>
      <c r="N346" s="155"/>
      <c r="O346" s="155"/>
      <c r="P346" s="155"/>
      <c r="Q346" s="155"/>
      <c r="R346" s="160">
        <f t="shared" si="36"/>
        <v>0</v>
      </c>
      <c r="S346" s="155"/>
      <c r="T346" s="155"/>
      <c r="U346" s="155"/>
      <c r="V346" s="155"/>
      <c r="W346" s="155"/>
      <c r="X346" s="161">
        <f t="shared" si="33"/>
        <v>0</v>
      </c>
      <c r="Y346" s="486">
        <f t="shared" si="34"/>
        <v>0</v>
      </c>
      <c r="Z346" s="329"/>
      <c r="AA346" s="353"/>
    </row>
    <row r="347" spans="1:27" ht="24.95" customHeight="1" x14ac:dyDescent="0.2">
      <c r="A347" s="82">
        <v>61</v>
      </c>
      <c r="B347" s="228" t="s">
        <v>719</v>
      </c>
      <c r="C347" s="28" t="s">
        <v>286</v>
      </c>
      <c r="D347" s="155"/>
      <c r="E347" s="155"/>
      <c r="F347" s="155">
        <f>1095+295</f>
        <v>1390</v>
      </c>
      <c r="G347" s="155"/>
      <c r="H347" s="155"/>
      <c r="I347" s="155"/>
      <c r="K347" s="155">
        <f>-1390</f>
        <v>-1390</v>
      </c>
      <c r="L347" s="155"/>
      <c r="M347" s="160"/>
      <c r="N347" s="155"/>
      <c r="O347" s="155"/>
      <c r="P347" s="155"/>
      <c r="Q347" s="155"/>
      <c r="R347" s="160">
        <f t="shared" si="36"/>
        <v>0</v>
      </c>
      <c r="S347" s="155"/>
      <c r="T347" s="155"/>
      <c r="U347" s="155"/>
      <c r="V347" s="155"/>
      <c r="W347" s="155"/>
      <c r="X347" s="161">
        <f t="shared" si="33"/>
        <v>0</v>
      </c>
      <c r="Y347" s="486">
        <f t="shared" si="34"/>
        <v>0</v>
      </c>
      <c r="Z347" s="329"/>
      <c r="AA347" s="353"/>
    </row>
    <row r="348" spans="1:27" ht="24.95" customHeight="1" x14ac:dyDescent="0.2">
      <c r="A348" s="82">
        <v>62</v>
      </c>
      <c r="B348" s="228" t="s">
        <v>723</v>
      </c>
      <c r="C348" s="28" t="s">
        <v>724</v>
      </c>
      <c r="D348" s="155"/>
      <c r="E348" s="155"/>
      <c r="F348" s="155"/>
      <c r="G348" s="155"/>
      <c r="H348" s="155"/>
      <c r="I348" s="155"/>
      <c r="K348" s="155">
        <f>540</f>
        <v>540</v>
      </c>
      <c r="L348" s="155"/>
      <c r="M348" s="160"/>
      <c r="N348" s="155"/>
      <c r="O348" s="155"/>
      <c r="P348" s="155"/>
      <c r="Q348" s="155"/>
      <c r="R348" s="160">
        <f t="shared" si="36"/>
        <v>540</v>
      </c>
      <c r="S348" s="155"/>
      <c r="T348" s="155"/>
      <c r="U348" s="155"/>
      <c r="V348" s="155"/>
      <c r="W348" s="155"/>
      <c r="X348" s="161">
        <f t="shared" si="33"/>
        <v>0</v>
      </c>
      <c r="Y348" s="486">
        <f t="shared" si="34"/>
        <v>540</v>
      </c>
      <c r="Z348" s="329">
        <f>-540</f>
        <v>-540</v>
      </c>
      <c r="AA348" s="353"/>
    </row>
    <row r="349" spans="1:27" ht="24.95" customHeight="1" x14ac:dyDescent="0.2">
      <c r="A349" s="82">
        <v>63</v>
      </c>
      <c r="B349" s="228" t="s">
        <v>725</v>
      </c>
      <c r="C349" s="28" t="s">
        <v>726</v>
      </c>
      <c r="D349" s="155"/>
      <c r="E349" s="155"/>
      <c r="F349" s="155">
        <f>200+54</f>
        <v>254</v>
      </c>
      <c r="G349" s="155"/>
      <c r="H349" s="155"/>
      <c r="I349" s="155"/>
      <c r="J349" s="155">
        <f>-254</f>
        <v>-254</v>
      </c>
      <c r="K349" s="155"/>
      <c r="L349" s="155"/>
      <c r="M349" s="160"/>
      <c r="N349" s="155"/>
      <c r="O349" s="155"/>
      <c r="P349" s="155"/>
      <c r="Q349" s="155"/>
      <c r="R349" s="160">
        <f t="shared" si="36"/>
        <v>0</v>
      </c>
      <c r="S349" s="155"/>
      <c r="T349" s="155"/>
      <c r="U349" s="155"/>
      <c r="V349" s="155"/>
      <c r="W349" s="155"/>
      <c r="X349" s="161">
        <f t="shared" si="33"/>
        <v>0</v>
      </c>
      <c r="Y349" s="486">
        <f t="shared" si="34"/>
        <v>0</v>
      </c>
      <c r="Z349" s="329"/>
      <c r="AA349" s="353"/>
    </row>
    <row r="350" spans="1:27" ht="24.95" customHeight="1" x14ac:dyDescent="0.2">
      <c r="A350" s="82">
        <v>64</v>
      </c>
      <c r="B350" s="228" t="s">
        <v>727</v>
      </c>
      <c r="C350" s="28" t="s">
        <v>728</v>
      </c>
      <c r="D350" s="155"/>
      <c r="E350" s="155"/>
      <c r="F350" s="155"/>
      <c r="G350" s="155"/>
      <c r="H350" s="155"/>
      <c r="I350" s="155"/>
      <c r="K350" s="155">
        <f>3228.079</f>
        <v>3228.0790000000002</v>
      </c>
      <c r="L350" s="155"/>
      <c r="M350" s="160"/>
      <c r="N350" s="155"/>
      <c r="O350" s="155"/>
      <c r="P350" s="155"/>
      <c r="Q350" s="155"/>
      <c r="R350" s="160">
        <f t="shared" si="36"/>
        <v>3228.0790000000002</v>
      </c>
      <c r="S350" s="155"/>
      <c r="T350" s="155"/>
      <c r="U350" s="155"/>
      <c r="V350" s="155"/>
      <c r="W350" s="155"/>
      <c r="X350" s="161">
        <f t="shared" si="33"/>
        <v>0</v>
      </c>
      <c r="Y350" s="486">
        <f t="shared" si="34"/>
        <v>3228.0790000000002</v>
      </c>
      <c r="Z350" s="329"/>
      <c r="AA350" s="353"/>
    </row>
    <row r="351" spans="1:27" ht="24.95" customHeight="1" x14ac:dyDescent="0.2">
      <c r="A351" s="82">
        <v>65</v>
      </c>
      <c r="B351" s="228" t="s">
        <v>731</v>
      </c>
      <c r="C351" s="28" t="s">
        <v>732</v>
      </c>
      <c r="D351" s="155"/>
      <c r="E351" s="155"/>
      <c r="F351" s="155"/>
      <c r="G351" s="155"/>
      <c r="H351" s="155"/>
      <c r="I351" s="155">
        <f>4375+2125</f>
        <v>6500</v>
      </c>
      <c r="J351" s="155">
        <f>-4375-2125</f>
        <v>-6500</v>
      </c>
      <c r="K351" s="155"/>
      <c r="L351" s="155"/>
      <c r="M351" s="160"/>
      <c r="N351" s="155"/>
      <c r="O351" s="155"/>
      <c r="P351" s="155"/>
      <c r="Q351" s="155"/>
      <c r="R351" s="160">
        <f t="shared" si="36"/>
        <v>0</v>
      </c>
      <c r="S351" s="155"/>
      <c r="T351" s="155"/>
      <c r="U351" s="155"/>
      <c r="V351" s="155"/>
      <c r="W351" s="155"/>
      <c r="X351" s="161">
        <f t="shared" si="33"/>
        <v>0</v>
      </c>
      <c r="Y351" s="486">
        <f t="shared" si="34"/>
        <v>0</v>
      </c>
      <c r="Z351" s="329"/>
      <c r="AA351" s="353"/>
    </row>
    <row r="352" spans="1:27" ht="24.95" customHeight="1" x14ac:dyDescent="0.2">
      <c r="A352" s="82">
        <v>66</v>
      </c>
      <c r="B352" s="517" t="s">
        <v>729</v>
      </c>
      <c r="C352" s="28" t="s">
        <v>730</v>
      </c>
      <c r="D352" s="155"/>
      <c r="E352" s="155"/>
      <c r="F352" s="155">
        <f>-3722.136</f>
        <v>-3722.136</v>
      </c>
      <c r="G352" s="155"/>
      <c r="H352" s="155"/>
      <c r="I352" s="155"/>
      <c r="K352" s="155"/>
      <c r="L352" s="155"/>
      <c r="M352" s="160"/>
      <c r="N352" s="155"/>
      <c r="O352" s="155"/>
      <c r="P352" s="155"/>
      <c r="Q352" s="155"/>
      <c r="R352" s="160">
        <f t="shared" si="36"/>
        <v>-3722.136</v>
      </c>
      <c r="S352" s="155"/>
      <c r="T352" s="155"/>
      <c r="U352" s="155"/>
      <c r="V352" s="155"/>
      <c r="W352" s="155"/>
      <c r="X352" s="161">
        <f>SUM(T352:W352)</f>
        <v>0</v>
      </c>
      <c r="Y352" s="486">
        <f>R352+X352</f>
        <v>-3722.136</v>
      </c>
      <c r="Z352" s="329">
        <f>3722.136</f>
        <v>3722.136</v>
      </c>
      <c r="AA352" s="353"/>
    </row>
    <row r="353" spans="1:27" ht="24.95" customHeight="1" x14ac:dyDescent="0.2">
      <c r="A353" s="82">
        <v>67</v>
      </c>
      <c r="B353" s="517" t="s">
        <v>733</v>
      </c>
      <c r="C353" s="28" t="s">
        <v>734</v>
      </c>
      <c r="D353" s="155"/>
      <c r="E353" s="155"/>
      <c r="F353" s="155"/>
      <c r="G353" s="155"/>
      <c r="H353" s="155"/>
      <c r="I353" s="155"/>
      <c r="J353" s="155"/>
      <c r="K353" s="155">
        <f>806</f>
        <v>806</v>
      </c>
      <c r="L353" s="155"/>
      <c r="M353" s="160"/>
      <c r="N353" s="155"/>
      <c r="O353" s="155"/>
      <c r="P353" s="155"/>
      <c r="Q353" s="155"/>
      <c r="R353" s="160">
        <f t="shared" si="36"/>
        <v>806</v>
      </c>
      <c r="S353" s="155"/>
      <c r="T353" s="155"/>
      <c r="U353" s="155"/>
      <c r="V353" s="155"/>
      <c r="W353" s="155"/>
      <c r="X353" s="161">
        <f t="shared" si="33"/>
        <v>0</v>
      </c>
      <c r="Y353" s="486">
        <f t="shared" si="34"/>
        <v>806</v>
      </c>
      <c r="Z353" s="329"/>
      <c r="AA353" s="353"/>
    </row>
    <row r="354" spans="1:27" ht="24.95" customHeight="1" x14ac:dyDescent="0.2">
      <c r="A354" s="82">
        <v>68</v>
      </c>
      <c r="B354" s="517" t="s">
        <v>735</v>
      </c>
      <c r="C354" s="28" t="s">
        <v>736</v>
      </c>
      <c r="D354" s="155"/>
      <c r="E354" s="155"/>
      <c r="F354" s="155"/>
      <c r="G354" s="155"/>
      <c r="H354" s="155"/>
      <c r="I354" s="155"/>
      <c r="J354" s="155"/>
      <c r="K354" s="155">
        <f>-0.92</f>
        <v>-0.92</v>
      </c>
      <c r="L354" s="155"/>
      <c r="M354" s="160"/>
      <c r="N354" s="155"/>
      <c r="O354" s="155"/>
      <c r="P354" s="155"/>
      <c r="Q354" s="155"/>
      <c r="R354" s="160">
        <f t="shared" si="36"/>
        <v>-0.92</v>
      </c>
      <c r="S354" s="155"/>
      <c r="T354" s="155"/>
      <c r="U354" s="155"/>
      <c r="V354" s="155"/>
      <c r="W354" s="155"/>
      <c r="X354" s="161">
        <f t="shared" si="33"/>
        <v>0</v>
      </c>
      <c r="Y354" s="486">
        <f t="shared" si="34"/>
        <v>-0.92</v>
      </c>
      <c r="Z354" s="329"/>
      <c r="AA354" s="353"/>
    </row>
    <row r="355" spans="1:27" ht="24.95" customHeight="1" x14ac:dyDescent="0.2">
      <c r="A355" s="82">
        <v>69</v>
      </c>
      <c r="B355" s="517" t="s">
        <v>737</v>
      </c>
      <c r="C355" s="28" t="s">
        <v>738</v>
      </c>
      <c r="D355" s="155"/>
      <c r="E355" s="155"/>
      <c r="F355" s="155"/>
      <c r="G355" s="155"/>
      <c r="H355" s="155"/>
      <c r="I355" s="155"/>
      <c r="J355" s="155"/>
      <c r="K355" s="155"/>
      <c r="L355" s="155">
        <f>170348+45994</f>
        <v>216342</v>
      </c>
      <c r="M355" s="160"/>
      <c r="N355" s="155"/>
      <c r="O355" s="155"/>
      <c r="P355" s="155"/>
      <c r="Q355" s="155"/>
      <c r="R355" s="160">
        <f t="shared" si="36"/>
        <v>216342</v>
      </c>
      <c r="S355" s="155"/>
      <c r="T355" s="155"/>
      <c r="U355" s="155"/>
      <c r="V355" s="155"/>
      <c r="W355" s="155"/>
      <c r="X355" s="161">
        <f t="shared" si="33"/>
        <v>0</v>
      </c>
      <c r="Y355" s="486">
        <f t="shared" si="34"/>
        <v>216342</v>
      </c>
      <c r="Z355" s="329"/>
      <c r="AA355" s="353"/>
    </row>
    <row r="356" spans="1:27" ht="24.95" customHeight="1" x14ac:dyDescent="0.2">
      <c r="A356" s="82">
        <v>70</v>
      </c>
      <c r="B356" s="517" t="s">
        <v>739</v>
      </c>
      <c r="C356" s="28" t="s">
        <v>740</v>
      </c>
      <c r="D356" s="155"/>
      <c r="E356" s="155"/>
      <c r="F356" s="155">
        <f>17387+4694</f>
        <v>22081</v>
      </c>
      <c r="G356" s="155"/>
      <c r="H356" s="155"/>
      <c r="I356" s="155"/>
      <c r="J356" s="155"/>
      <c r="K356" s="155"/>
      <c r="L356" s="155"/>
      <c r="M356" s="160"/>
      <c r="N356" s="155"/>
      <c r="O356" s="155"/>
      <c r="P356" s="155"/>
      <c r="Q356" s="155"/>
      <c r="R356" s="160">
        <f t="shared" si="36"/>
        <v>22081</v>
      </c>
      <c r="S356" s="155"/>
      <c r="T356" s="155"/>
      <c r="U356" s="155"/>
      <c r="V356" s="155"/>
      <c r="W356" s="155"/>
      <c r="X356" s="161">
        <f t="shared" si="33"/>
        <v>0</v>
      </c>
      <c r="Y356" s="486">
        <f t="shared" si="34"/>
        <v>22081</v>
      </c>
      <c r="Z356" s="329"/>
      <c r="AA356" s="353"/>
    </row>
    <row r="357" spans="1:27" ht="24.95" customHeight="1" x14ac:dyDescent="0.2">
      <c r="A357" s="82">
        <v>71</v>
      </c>
      <c r="B357" s="716" t="s">
        <v>742</v>
      </c>
      <c r="C357" s="28" t="s">
        <v>741</v>
      </c>
      <c r="D357" s="155"/>
      <c r="E357" s="155"/>
      <c r="F357" s="155"/>
      <c r="G357" s="155"/>
      <c r="H357" s="155"/>
      <c r="I357" s="155"/>
      <c r="J357" s="155"/>
      <c r="K357" s="155">
        <f>31900.55</f>
        <v>31900.55</v>
      </c>
      <c r="L357" s="155"/>
      <c r="M357" s="160"/>
      <c r="N357" s="155"/>
      <c r="O357" s="155"/>
      <c r="P357" s="155"/>
      <c r="Q357" s="155"/>
      <c r="R357" s="160">
        <f t="shared" si="36"/>
        <v>31900.55</v>
      </c>
      <c r="S357" s="155"/>
      <c r="T357" s="155"/>
      <c r="U357" s="155"/>
      <c r="V357" s="155"/>
      <c r="W357" s="155"/>
      <c r="X357" s="161">
        <f t="shared" si="33"/>
        <v>0</v>
      </c>
      <c r="Y357" s="486">
        <f t="shared" si="34"/>
        <v>31900.55</v>
      </c>
      <c r="Z357" s="329"/>
      <c r="AA357" s="353"/>
    </row>
    <row r="358" spans="1:27" ht="24.95" customHeight="1" x14ac:dyDescent="0.2">
      <c r="A358" s="82">
        <v>72</v>
      </c>
      <c r="B358" s="714" t="s">
        <v>744</v>
      </c>
      <c r="C358" s="28" t="s">
        <v>743</v>
      </c>
      <c r="D358" s="155"/>
      <c r="E358" s="155"/>
      <c r="F358" s="155">
        <f>-388-105</f>
        <v>-493</v>
      </c>
      <c r="G358" s="155"/>
      <c r="H358" s="155"/>
      <c r="I358" s="155"/>
      <c r="J358" s="155"/>
      <c r="K358" s="155"/>
      <c r="L358" s="155">
        <f>388+105</f>
        <v>493</v>
      </c>
      <c r="M358" s="160"/>
      <c r="N358" s="155"/>
      <c r="O358" s="155"/>
      <c r="P358" s="155"/>
      <c r="Q358" s="155"/>
      <c r="R358" s="160">
        <f t="shared" si="36"/>
        <v>0</v>
      </c>
      <c r="S358" s="155"/>
      <c r="T358" s="155"/>
      <c r="U358" s="155"/>
      <c r="V358" s="155"/>
      <c r="W358" s="155"/>
      <c r="X358" s="161">
        <f t="shared" si="33"/>
        <v>0</v>
      </c>
      <c r="Y358" s="486">
        <f t="shared" si="34"/>
        <v>0</v>
      </c>
      <c r="Z358" s="329"/>
      <c r="AA358" s="353"/>
    </row>
    <row r="359" spans="1:27" ht="24.95" customHeight="1" x14ac:dyDescent="0.2">
      <c r="A359" s="82">
        <v>73</v>
      </c>
      <c r="B359" s="227" t="s">
        <v>745</v>
      </c>
      <c r="C359" s="41" t="s">
        <v>746</v>
      </c>
      <c r="D359" s="155"/>
      <c r="E359" s="155"/>
      <c r="F359" s="155"/>
      <c r="G359" s="155"/>
      <c r="H359" s="155"/>
      <c r="I359" s="155"/>
      <c r="J359" s="155"/>
      <c r="K359" s="155"/>
      <c r="L359" s="155"/>
      <c r="M359" s="160"/>
      <c r="N359" s="155"/>
      <c r="O359" s="155"/>
      <c r="P359" s="155"/>
      <c r="Q359" s="155"/>
      <c r="R359" s="160">
        <f t="shared" si="36"/>
        <v>0</v>
      </c>
      <c r="S359" s="155"/>
      <c r="T359" s="155"/>
      <c r="U359" s="155"/>
      <c r="V359" s="169">
        <v>43460.5</v>
      </c>
      <c r="W359" s="155"/>
      <c r="X359" s="161">
        <f t="shared" si="33"/>
        <v>43460.5</v>
      </c>
      <c r="Y359" s="486">
        <f t="shared" si="34"/>
        <v>43460.5</v>
      </c>
      <c r="Z359" s="329"/>
      <c r="AA359" s="353"/>
    </row>
    <row r="360" spans="1:27" ht="24.95" customHeight="1" x14ac:dyDescent="0.2">
      <c r="A360" s="82"/>
      <c r="B360" s="30"/>
      <c r="C360" s="28"/>
      <c r="D360" s="155"/>
      <c r="E360" s="155"/>
      <c r="F360" s="155"/>
      <c r="G360" s="155"/>
      <c r="H360" s="155"/>
      <c r="I360" s="155"/>
      <c r="J360" s="155"/>
      <c r="K360" s="155"/>
      <c r="L360" s="155"/>
      <c r="M360" s="160"/>
      <c r="N360" s="155"/>
      <c r="O360" s="155"/>
      <c r="P360" s="155"/>
      <c r="Q360" s="155"/>
      <c r="R360" s="160"/>
      <c r="S360" s="155"/>
      <c r="T360" s="155"/>
      <c r="U360" s="155"/>
      <c r="V360" s="155"/>
      <c r="W360" s="155"/>
      <c r="X360" s="161"/>
      <c r="Y360" s="486"/>
      <c r="Z360" s="329"/>
      <c r="AA360" s="353"/>
    </row>
    <row r="361" spans="1:27" ht="24.95" hidden="1" customHeight="1" x14ac:dyDescent="0.2">
      <c r="A361" s="82"/>
      <c r="B361" s="30"/>
      <c r="C361" s="28"/>
      <c r="D361" s="155"/>
      <c r="E361" s="155"/>
      <c r="F361" s="155"/>
      <c r="G361" s="155"/>
      <c r="H361" s="155"/>
      <c r="I361" s="155"/>
      <c r="J361" s="155"/>
      <c r="K361" s="155"/>
      <c r="L361" s="155"/>
      <c r="M361" s="160"/>
      <c r="N361" s="155"/>
      <c r="O361" s="155"/>
      <c r="P361" s="155"/>
      <c r="Q361" s="155"/>
      <c r="R361" s="160"/>
      <c r="S361" s="155"/>
      <c r="T361" s="155"/>
      <c r="U361" s="155"/>
      <c r="V361" s="155"/>
      <c r="W361" s="155"/>
      <c r="X361" s="161"/>
      <c r="Y361" s="486"/>
      <c r="Z361" s="329"/>
      <c r="AA361" s="353"/>
    </row>
    <row r="362" spans="1:27" ht="24.95" hidden="1" customHeight="1" x14ac:dyDescent="0.2">
      <c r="A362" s="82"/>
      <c r="B362" s="30"/>
      <c r="C362" s="28"/>
      <c r="D362" s="155"/>
      <c r="E362" s="155"/>
      <c r="F362" s="155"/>
      <c r="G362" s="155"/>
      <c r="H362" s="155"/>
      <c r="I362" s="155"/>
      <c r="J362" s="155"/>
      <c r="K362" s="155"/>
      <c r="L362" s="155"/>
      <c r="M362" s="160"/>
      <c r="N362" s="155"/>
      <c r="O362" s="155"/>
      <c r="P362" s="155"/>
      <c r="Q362" s="155"/>
      <c r="R362" s="160"/>
      <c r="S362" s="155"/>
      <c r="T362" s="155"/>
      <c r="U362" s="155"/>
      <c r="V362" s="155"/>
      <c r="W362" s="155"/>
      <c r="X362" s="161"/>
      <c r="Y362" s="486"/>
      <c r="Z362" s="329"/>
      <c r="AA362" s="353"/>
    </row>
    <row r="363" spans="1:27" ht="24.95" hidden="1" customHeight="1" x14ac:dyDescent="0.2">
      <c r="A363" s="82"/>
      <c r="B363" s="30"/>
      <c r="C363" s="28"/>
      <c r="D363" s="155"/>
      <c r="E363" s="155"/>
      <c r="F363" s="155"/>
      <c r="G363" s="155"/>
      <c r="H363" s="155"/>
      <c r="I363" s="155"/>
      <c r="J363" s="155"/>
      <c r="K363" s="155"/>
      <c r="L363" s="155"/>
      <c r="M363" s="160"/>
      <c r="N363" s="155"/>
      <c r="O363" s="155"/>
      <c r="P363" s="155"/>
      <c r="Q363" s="155"/>
      <c r="R363" s="160"/>
      <c r="S363" s="155"/>
      <c r="T363" s="155"/>
      <c r="U363" s="155"/>
      <c r="V363" s="155"/>
      <c r="W363" s="155"/>
      <c r="X363" s="161"/>
      <c r="Y363" s="486"/>
      <c r="Z363" s="329"/>
      <c r="AA363" s="353"/>
    </row>
    <row r="364" spans="1:27" ht="24.95" hidden="1" customHeight="1" x14ac:dyDescent="0.2">
      <c r="A364" s="82"/>
      <c r="B364" s="30"/>
      <c r="C364" s="28"/>
      <c r="D364" s="155"/>
      <c r="E364" s="155"/>
      <c r="F364" s="155"/>
      <c r="G364" s="155"/>
      <c r="H364" s="155"/>
      <c r="I364" s="155"/>
      <c r="J364" s="155"/>
      <c r="K364" s="155"/>
      <c r="L364" s="155"/>
      <c r="M364" s="160"/>
      <c r="N364" s="155"/>
      <c r="O364" s="155"/>
      <c r="P364" s="155"/>
      <c r="Q364" s="155"/>
      <c r="R364" s="160"/>
      <c r="S364" s="155"/>
      <c r="T364" s="155"/>
      <c r="U364" s="155"/>
      <c r="V364" s="155"/>
      <c r="W364" s="155"/>
      <c r="X364" s="161"/>
      <c r="Y364" s="486"/>
      <c r="Z364" s="329"/>
      <c r="AA364" s="353"/>
    </row>
    <row r="365" spans="1:27" ht="24.95" hidden="1" customHeight="1" x14ac:dyDescent="0.2">
      <c r="A365" s="82"/>
      <c r="B365" s="30"/>
      <c r="C365" s="28"/>
      <c r="D365" s="155"/>
      <c r="E365" s="155"/>
      <c r="F365" s="155"/>
      <c r="G365" s="155"/>
      <c r="H365" s="155"/>
      <c r="I365" s="155"/>
      <c r="J365" s="155"/>
      <c r="K365" s="155"/>
      <c r="L365" s="155"/>
      <c r="M365" s="160"/>
      <c r="N365" s="155"/>
      <c r="O365" s="155"/>
      <c r="P365" s="155"/>
      <c r="Q365" s="155"/>
      <c r="R365" s="160"/>
      <c r="S365" s="155"/>
      <c r="T365" s="155"/>
      <c r="U365" s="155"/>
      <c r="V365" s="155"/>
      <c r="W365" s="155"/>
      <c r="X365" s="161"/>
      <c r="Y365" s="486"/>
      <c r="Z365" s="329"/>
      <c r="AA365" s="353"/>
    </row>
    <row r="366" spans="1:27" ht="24.95" hidden="1" customHeight="1" x14ac:dyDescent="0.2">
      <c r="A366" s="82"/>
      <c r="B366" s="30"/>
      <c r="C366" s="28"/>
      <c r="D366" s="155"/>
      <c r="E366" s="155"/>
      <c r="F366" s="155"/>
      <c r="G366" s="155"/>
      <c r="H366" s="155"/>
      <c r="I366" s="155"/>
      <c r="J366" s="155"/>
      <c r="K366" s="155"/>
      <c r="L366" s="155"/>
      <c r="M366" s="160"/>
      <c r="N366" s="155"/>
      <c r="O366" s="155"/>
      <c r="P366" s="155"/>
      <c r="Q366" s="155"/>
      <c r="R366" s="160"/>
      <c r="S366" s="155"/>
      <c r="T366" s="155"/>
      <c r="U366" s="155"/>
      <c r="V366" s="155"/>
      <c r="W366" s="155"/>
      <c r="X366" s="161"/>
      <c r="Y366" s="486"/>
      <c r="Z366" s="329"/>
      <c r="AA366" s="353"/>
    </row>
    <row r="367" spans="1:27" ht="24.95" hidden="1" customHeight="1" x14ac:dyDescent="0.2">
      <c r="A367" s="82"/>
      <c r="B367" s="30"/>
      <c r="C367" s="28"/>
      <c r="D367" s="155"/>
      <c r="E367" s="155"/>
      <c r="F367" s="155"/>
      <c r="G367" s="155"/>
      <c r="H367" s="155"/>
      <c r="I367" s="155"/>
      <c r="J367" s="155"/>
      <c r="K367" s="155"/>
      <c r="L367" s="155"/>
      <c r="M367" s="160"/>
      <c r="N367" s="155"/>
      <c r="O367" s="155"/>
      <c r="P367" s="155"/>
      <c r="Q367" s="155"/>
      <c r="R367" s="160"/>
      <c r="S367" s="155"/>
      <c r="T367" s="155"/>
      <c r="U367" s="155"/>
      <c r="V367" s="155"/>
      <c r="W367" s="155"/>
      <c r="X367" s="161"/>
      <c r="Y367" s="486"/>
      <c r="Z367" s="329"/>
      <c r="AA367" s="353"/>
    </row>
    <row r="368" spans="1:27" ht="24.95" hidden="1" customHeight="1" x14ac:dyDescent="0.2">
      <c r="A368" s="82"/>
      <c r="B368" s="30"/>
      <c r="C368" s="28"/>
      <c r="D368" s="155"/>
      <c r="E368" s="155"/>
      <c r="F368" s="155"/>
      <c r="G368" s="155"/>
      <c r="H368" s="155"/>
      <c r="I368" s="155"/>
      <c r="J368" s="155"/>
      <c r="K368" s="155"/>
      <c r="L368" s="155"/>
      <c r="M368" s="160"/>
      <c r="N368" s="155"/>
      <c r="O368" s="155"/>
      <c r="P368" s="155"/>
      <c r="Q368" s="155"/>
      <c r="R368" s="160"/>
      <c r="S368" s="155"/>
      <c r="T368" s="155"/>
      <c r="U368" s="155"/>
      <c r="V368" s="155"/>
      <c r="W368" s="155"/>
      <c r="X368" s="161"/>
      <c r="Y368" s="486"/>
      <c r="Z368" s="329"/>
      <c r="AA368" s="353"/>
    </row>
    <row r="369" spans="1:27" ht="24.95" hidden="1" customHeight="1" x14ac:dyDescent="0.2">
      <c r="A369" s="82"/>
      <c r="B369" s="30"/>
      <c r="C369" s="28"/>
      <c r="D369" s="155"/>
      <c r="E369" s="155"/>
      <c r="F369" s="155"/>
      <c r="G369" s="155"/>
      <c r="H369" s="155"/>
      <c r="I369" s="155"/>
      <c r="J369" s="155"/>
      <c r="K369" s="155"/>
      <c r="L369" s="155"/>
      <c r="M369" s="160"/>
      <c r="N369" s="155"/>
      <c r="O369" s="155"/>
      <c r="P369" s="155"/>
      <c r="Q369" s="155"/>
      <c r="R369" s="160"/>
      <c r="S369" s="155"/>
      <c r="T369" s="155"/>
      <c r="U369" s="155"/>
      <c r="V369" s="155"/>
      <c r="W369" s="155"/>
      <c r="X369" s="161"/>
      <c r="Y369" s="486"/>
      <c r="Z369" s="329"/>
      <c r="AA369" s="353"/>
    </row>
    <row r="370" spans="1:27" ht="24.95" hidden="1" customHeight="1" x14ac:dyDescent="0.2">
      <c r="A370" s="82"/>
      <c r="B370" s="30"/>
      <c r="C370" s="28"/>
      <c r="D370" s="155"/>
      <c r="E370" s="155"/>
      <c r="F370" s="155"/>
      <c r="G370" s="155"/>
      <c r="H370" s="155"/>
      <c r="I370" s="155"/>
      <c r="J370" s="155"/>
      <c r="K370" s="155"/>
      <c r="L370" s="155"/>
      <c r="M370" s="160"/>
      <c r="N370" s="155"/>
      <c r="O370" s="155"/>
      <c r="P370" s="155"/>
      <c r="Q370" s="155"/>
      <c r="R370" s="160"/>
      <c r="S370" s="155"/>
      <c r="T370" s="155"/>
      <c r="U370" s="155"/>
      <c r="V370" s="155"/>
      <c r="W370" s="155"/>
      <c r="X370" s="161"/>
      <c r="Y370" s="486"/>
      <c r="Z370" s="329"/>
      <c r="AA370" s="353"/>
    </row>
    <row r="371" spans="1:27" ht="24.95" hidden="1" customHeight="1" x14ac:dyDescent="0.2">
      <c r="A371" s="82"/>
      <c r="B371" s="30"/>
      <c r="C371" s="28"/>
      <c r="D371" s="155"/>
      <c r="E371" s="155"/>
      <c r="F371" s="155"/>
      <c r="G371" s="155"/>
      <c r="H371" s="155"/>
      <c r="I371" s="155"/>
      <c r="J371" s="155"/>
      <c r="K371" s="155"/>
      <c r="L371" s="155"/>
      <c r="M371" s="160"/>
      <c r="N371" s="155"/>
      <c r="O371" s="155"/>
      <c r="P371" s="155"/>
      <c r="Q371" s="155"/>
      <c r="R371" s="160"/>
      <c r="S371" s="155"/>
      <c r="T371" s="155"/>
      <c r="U371" s="155"/>
      <c r="V371" s="155"/>
      <c r="W371" s="155"/>
      <c r="X371" s="161"/>
      <c r="Y371" s="486"/>
      <c r="Z371" s="329"/>
      <c r="AA371" s="353"/>
    </row>
    <row r="372" spans="1:27" ht="24.95" hidden="1" customHeight="1" x14ac:dyDescent="0.2">
      <c r="A372" s="82"/>
      <c r="B372" s="30"/>
      <c r="C372" s="28"/>
      <c r="D372" s="155"/>
      <c r="E372" s="155"/>
      <c r="F372" s="155"/>
      <c r="G372" s="155"/>
      <c r="H372" s="155"/>
      <c r="I372" s="155"/>
      <c r="J372" s="155"/>
      <c r="K372" s="155"/>
      <c r="L372" s="155"/>
      <c r="M372" s="160"/>
      <c r="N372" s="155"/>
      <c r="O372" s="155"/>
      <c r="P372" s="155"/>
      <c r="Q372" s="155"/>
      <c r="R372" s="160"/>
      <c r="S372" s="155"/>
      <c r="T372" s="155"/>
      <c r="U372" s="155"/>
      <c r="V372" s="155"/>
      <c r="W372" s="155"/>
      <c r="X372" s="161"/>
      <c r="Y372" s="486"/>
      <c r="Z372" s="329"/>
      <c r="AA372" s="353"/>
    </row>
    <row r="373" spans="1:27" ht="24.95" hidden="1" customHeight="1" x14ac:dyDescent="0.2">
      <c r="A373" s="82"/>
      <c r="B373" s="30"/>
      <c r="C373" s="28"/>
      <c r="D373" s="155"/>
      <c r="E373" s="155"/>
      <c r="F373" s="155"/>
      <c r="G373" s="155"/>
      <c r="H373" s="155"/>
      <c r="I373" s="155"/>
      <c r="J373" s="155"/>
      <c r="K373" s="155"/>
      <c r="L373" s="155"/>
      <c r="M373" s="160"/>
      <c r="N373" s="155"/>
      <c r="O373" s="155"/>
      <c r="P373" s="155"/>
      <c r="Q373" s="155"/>
      <c r="R373" s="160"/>
      <c r="S373" s="155"/>
      <c r="T373" s="155"/>
      <c r="U373" s="155"/>
      <c r="V373" s="155"/>
      <c r="W373" s="155"/>
      <c r="X373" s="161"/>
      <c r="Y373" s="486"/>
      <c r="Z373" s="329"/>
      <c r="AA373" s="353"/>
    </row>
    <row r="374" spans="1:27" ht="24.95" hidden="1" customHeight="1" x14ac:dyDescent="0.2">
      <c r="A374" s="82"/>
      <c r="B374" s="30"/>
      <c r="C374" s="28"/>
      <c r="D374" s="155"/>
      <c r="E374" s="155"/>
      <c r="F374" s="155"/>
      <c r="G374" s="155"/>
      <c r="H374" s="155"/>
      <c r="I374" s="155"/>
      <c r="J374" s="155"/>
      <c r="K374" s="155"/>
      <c r="L374" s="155"/>
      <c r="M374" s="160"/>
      <c r="N374" s="155"/>
      <c r="O374" s="155"/>
      <c r="P374" s="155"/>
      <c r="Q374" s="155"/>
      <c r="R374" s="160"/>
      <c r="S374" s="155"/>
      <c r="T374" s="155"/>
      <c r="U374" s="155"/>
      <c r="V374" s="155"/>
      <c r="W374" s="155"/>
      <c r="X374" s="161"/>
      <c r="Y374" s="486"/>
      <c r="Z374" s="329"/>
      <c r="AA374" s="353"/>
    </row>
    <row r="375" spans="1:27" ht="24.95" hidden="1" customHeight="1" x14ac:dyDescent="0.2">
      <c r="A375" s="82"/>
      <c r="B375" s="30"/>
      <c r="C375" s="28"/>
      <c r="D375" s="155"/>
      <c r="E375" s="155"/>
      <c r="F375" s="155"/>
      <c r="G375" s="155"/>
      <c r="H375" s="155"/>
      <c r="I375" s="155"/>
      <c r="J375" s="155"/>
      <c r="K375" s="155"/>
      <c r="L375" s="155"/>
      <c r="M375" s="160"/>
      <c r="N375" s="155"/>
      <c r="O375" s="155"/>
      <c r="P375" s="155"/>
      <c r="Q375" s="155"/>
      <c r="R375" s="160"/>
      <c r="S375" s="155"/>
      <c r="T375" s="155"/>
      <c r="U375" s="155"/>
      <c r="V375" s="155"/>
      <c r="W375" s="155"/>
      <c r="X375" s="161"/>
      <c r="Y375" s="486"/>
      <c r="Z375" s="329"/>
      <c r="AA375" s="353"/>
    </row>
    <row r="376" spans="1:27" ht="24.95" hidden="1" customHeight="1" x14ac:dyDescent="0.2">
      <c r="A376" s="82"/>
      <c r="B376" s="30"/>
      <c r="C376" s="28"/>
      <c r="D376" s="155"/>
      <c r="E376" s="155"/>
      <c r="F376" s="155"/>
      <c r="G376" s="155"/>
      <c r="H376" s="155"/>
      <c r="I376" s="155"/>
      <c r="J376" s="155"/>
      <c r="K376" s="155"/>
      <c r="L376" s="155"/>
      <c r="M376" s="160"/>
      <c r="N376" s="155"/>
      <c r="O376" s="155"/>
      <c r="P376" s="155"/>
      <c r="Q376" s="155"/>
      <c r="R376" s="160"/>
      <c r="S376" s="155"/>
      <c r="T376" s="155"/>
      <c r="U376" s="155"/>
      <c r="V376" s="155"/>
      <c r="W376" s="155"/>
      <c r="X376" s="161"/>
      <c r="Y376" s="486"/>
      <c r="Z376" s="329"/>
      <c r="AA376" s="353"/>
    </row>
    <row r="377" spans="1:27" ht="24.95" hidden="1" customHeight="1" x14ac:dyDescent="0.2">
      <c r="A377" s="82"/>
      <c r="B377" s="228"/>
      <c r="C377" s="28"/>
      <c r="D377" s="155"/>
      <c r="E377" s="155"/>
      <c r="F377" s="155"/>
      <c r="G377" s="155"/>
      <c r="H377" s="155"/>
      <c r="I377" s="155"/>
      <c r="J377" s="155"/>
      <c r="K377" s="155"/>
      <c r="L377" s="155"/>
      <c r="M377" s="160"/>
      <c r="N377" s="155"/>
      <c r="O377" s="155"/>
      <c r="P377" s="155"/>
      <c r="Q377" s="155"/>
      <c r="R377" s="160"/>
      <c r="S377" s="155"/>
      <c r="T377" s="155"/>
      <c r="U377" s="155"/>
      <c r="V377" s="155"/>
      <c r="W377" s="155"/>
      <c r="X377" s="161"/>
      <c r="Y377" s="486"/>
      <c r="Z377" s="329"/>
      <c r="AA377" s="353"/>
    </row>
    <row r="378" spans="1:27" ht="24.95" hidden="1" customHeight="1" x14ac:dyDescent="0.2">
      <c r="A378" s="82"/>
      <c r="B378" s="228"/>
      <c r="C378" s="28"/>
      <c r="D378" s="155"/>
      <c r="E378" s="155"/>
      <c r="F378" s="155"/>
      <c r="G378" s="155"/>
      <c r="H378" s="155"/>
      <c r="I378" s="155"/>
      <c r="J378" s="155"/>
      <c r="K378" s="155"/>
      <c r="L378" s="155"/>
      <c r="M378" s="160"/>
      <c r="N378" s="155"/>
      <c r="O378" s="155"/>
      <c r="P378" s="155"/>
      <c r="Q378" s="155"/>
      <c r="R378" s="160"/>
      <c r="S378" s="155"/>
      <c r="T378" s="155"/>
      <c r="U378" s="155"/>
      <c r="V378" s="155"/>
      <c r="W378" s="155"/>
      <c r="X378" s="161"/>
      <c r="Y378" s="486"/>
      <c r="Z378" s="329"/>
      <c r="AA378" s="353"/>
    </row>
    <row r="379" spans="1:27" ht="24.95" hidden="1" customHeight="1" x14ac:dyDescent="0.2">
      <c r="A379" s="82"/>
      <c r="B379" s="228"/>
      <c r="C379" s="28"/>
      <c r="D379" s="155"/>
      <c r="E379" s="155"/>
      <c r="F379" s="155"/>
      <c r="G379" s="155"/>
      <c r="H379" s="155"/>
      <c r="I379" s="155"/>
      <c r="J379" s="155"/>
      <c r="K379" s="155"/>
      <c r="L379" s="155"/>
      <c r="M379" s="160"/>
      <c r="N379" s="155"/>
      <c r="O379" s="155"/>
      <c r="P379" s="155"/>
      <c r="Q379" s="155"/>
      <c r="R379" s="160"/>
      <c r="S379" s="155"/>
      <c r="T379" s="155"/>
      <c r="U379" s="155"/>
      <c r="V379" s="155"/>
      <c r="W379" s="155"/>
      <c r="X379" s="161"/>
      <c r="Y379" s="486"/>
      <c r="Z379" s="329"/>
      <c r="AA379" s="353"/>
    </row>
    <row r="380" spans="1:27" ht="24.95" hidden="1" customHeight="1" x14ac:dyDescent="0.2">
      <c r="A380" s="82"/>
      <c r="B380" s="228"/>
      <c r="C380" s="28"/>
      <c r="D380" s="155"/>
      <c r="E380" s="155"/>
      <c r="F380" s="155"/>
      <c r="G380" s="155"/>
      <c r="H380" s="155"/>
      <c r="I380" s="155"/>
      <c r="J380" s="155"/>
      <c r="K380" s="155"/>
      <c r="L380" s="155"/>
      <c r="M380" s="160"/>
      <c r="N380" s="155"/>
      <c r="O380" s="155"/>
      <c r="P380" s="155"/>
      <c r="Q380" s="155"/>
      <c r="R380" s="160"/>
      <c r="S380" s="155"/>
      <c r="T380" s="155"/>
      <c r="U380" s="155"/>
      <c r="V380" s="155"/>
      <c r="W380" s="155"/>
      <c r="X380" s="161"/>
      <c r="Y380" s="486"/>
      <c r="Z380" s="329"/>
      <c r="AA380" s="353"/>
    </row>
    <row r="381" spans="1:27" ht="24.95" hidden="1" customHeight="1" x14ac:dyDescent="0.2">
      <c r="A381" s="82"/>
      <c r="B381" s="228"/>
      <c r="C381" s="28"/>
      <c r="D381" s="155"/>
      <c r="E381" s="155"/>
      <c r="F381" s="155"/>
      <c r="G381" s="155"/>
      <c r="H381" s="155"/>
      <c r="I381" s="155"/>
      <c r="J381" s="155"/>
      <c r="K381" s="155"/>
      <c r="L381" s="155"/>
      <c r="M381" s="160"/>
      <c r="N381" s="155"/>
      <c r="O381" s="155"/>
      <c r="P381" s="155"/>
      <c r="Q381" s="155"/>
      <c r="R381" s="160"/>
      <c r="S381" s="155"/>
      <c r="T381" s="155"/>
      <c r="U381" s="155"/>
      <c r="V381" s="155"/>
      <c r="W381" s="155"/>
      <c r="X381" s="161"/>
      <c r="Y381" s="486"/>
      <c r="Z381" s="329"/>
      <c r="AA381" s="353"/>
    </row>
    <row r="382" spans="1:27" ht="24.95" hidden="1" customHeight="1" x14ac:dyDescent="0.2">
      <c r="A382" s="82"/>
      <c r="B382" s="228"/>
      <c r="C382" s="28"/>
      <c r="D382" s="155"/>
      <c r="E382" s="155"/>
      <c r="F382" s="155"/>
      <c r="G382" s="155"/>
      <c r="H382" s="155"/>
      <c r="I382" s="155"/>
      <c r="J382" s="155"/>
      <c r="K382" s="155"/>
      <c r="L382" s="155"/>
      <c r="M382" s="160"/>
      <c r="N382" s="155"/>
      <c r="O382" s="155"/>
      <c r="P382" s="155"/>
      <c r="Q382" s="155"/>
      <c r="R382" s="160"/>
      <c r="S382" s="155"/>
      <c r="T382" s="155"/>
      <c r="U382" s="155"/>
      <c r="V382" s="155"/>
      <c r="W382" s="155"/>
      <c r="X382" s="161"/>
      <c r="Y382" s="486"/>
      <c r="Z382" s="329"/>
      <c r="AA382" s="353"/>
    </row>
    <row r="383" spans="1:27" ht="24.95" hidden="1" customHeight="1" x14ac:dyDescent="0.2">
      <c r="A383" s="82"/>
      <c r="B383" s="228"/>
      <c r="C383" s="28"/>
      <c r="D383" s="155"/>
      <c r="E383" s="155"/>
      <c r="F383" s="155"/>
      <c r="G383" s="155"/>
      <c r="H383" s="155"/>
      <c r="I383" s="155"/>
      <c r="J383" s="155"/>
      <c r="K383" s="155"/>
      <c r="L383" s="155"/>
      <c r="M383" s="160"/>
      <c r="N383" s="155"/>
      <c r="O383" s="155"/>
      <c r="P383" s="155"/>
      <c r="Q383" s="155"/>
      <c r="R383" s="160"/>
      <c r="S383" s="155"/>
      <c r="T383" s="155"/>
      <c r="U383" s="155"/>
      <c r="V383" s="155"/>
      <c r="W383" s="155"/>
      <c r="X383" s="161"/>
      <c r="Y383" s="486"/>
      <c r="Z383" s="329"/>
      <c r="AA383" s="353"/>
    </row>
    <row r="384" spans="1:27" ht="24.95" hidden="1" customHeight="1" x14ac:dyDescent="0.2">
      <c r="A384" s="82"/>
      <c r="B384" s="228"/>
      <c r="C384" s="28"/>
      <c r="D384" s="155"/>
      <c r="E384" s="155"/>
      <c r="F384" s="155"/>
      <c r="G384" s="155"/>
      <c r="H384" s="155"/>
      <c r="I384" s="155"/>
      <c r="J384" s="155"/>
      <c r="K384" s="155"/>
      <c r="L384" s="155"/>
      <c r="M384" s="160"/>
      <c r="N384" s="155"/>
      <c r="O384" s="155"/>
      <c r="P384" s="155"/>
      <c r="Q384" s="155"/>
      <c r="R384" s="160"/>
      <c r="S384" s="155"/>
      <c r="T384" s="155"/>
      <c r="U384" s="155"/>
      <c r="V384" s="155"/>
      <c r="W384" s="155"/>
      <c r="X384" s="161"/>
      <c r="Y384" s="486"/>
      <c r="Z384" s="329"/>
      <c r="AA384" s="353"/>
    </row>
    <row r="385" spans="1:27" ht="24.95" hidden="1" customHeight="1" x14ac:dyDescent="0.2">
      <c r="A385" s="82"/>
      <c r="B385" s="228"/>
      <c r="C385" s="28"/>
      <c r="D385" s="155"/>
      <c r="E385" s="155"/>
      <c r="F385" s="155"/>
      <c r="G385" s="155"/>
      <c r="H385" s="155"/>
      <c r="I385" s="155"/>
      <c r="J385" s="155"/>
      <c r="K385" s="155"/>
      <c r="L385" s="155"/>
      <c r="M385" s="160"/>
      <c r="N385" s="155"/>
      <c r="O385" s="155"/>
      <c r="P385" s="155"/>
      <c r="Q385" s="155"/>
      <c r="R385" s="160"/>
      <c r="S385" s="155"/>
      <c r="T385" s="155"/>
      <c r="U385" s="155"/>
      <c r="V385" s="155"/>
      <c r="W385" s="155"/>
      <c r="X385" s="161"/>
      <c r="Y385" s="486"/>
      <c r="Z385" s="329"/>
      <c r="AA385" s="353"/>
    </row>
    <row r="386" spans="1:27" ht="24.95" hidden="1" customHeight="1" x14ac:dyDescent="0.2">
      <c r="A386" s="82"/>
      <c r="B386" s="30"/>
      <c r="C386" s="28"/>
      <c r="D386" s="155"/>
      <c r="E386" s="155"/>
      <c r="F386" s="155"/>
      <c r="G386" s="155"/>
      <c r="H386" s="155"/>
      <c r="I386" s="155"/>
      <c r="J386" s="155"/>
      <c r="K386" s="155"/>
      <c r="L386" s="155"/>
      <c r="M386" s="160"/>
      <c r="N386" s="155"/>
      <c r="O386" s="155"/>
      <c r="P386" s="155"/>
      <c r="Q386" s="155"/>
      <c r="R386" s="160"/>
      <c r="S386" s="155"/>
      <c r="T386" s="155"/>
      <c r="U386" s="155"/>
      <c r="V386" s="155"/>
      <c r="W386" s="155"/>
      <c r="X386" s="161"/>
      <c r="Y386" s="486"/>
      <c r="Z386" s="329"/>
      <c r="AA386" s="353"/>
    </row>
    <row r="387" spans="1:27" ht="24.95" hidden="1" customHeight="1" x14ac:dyDescent="0.2">
      <c r="A387" s="82"/>
      <c r="B387" s="30"/>
      <c r="C387" s="28"/>
      <c r="D387" s="155"/>
      <c r="E387" s="155"/>
      <c r="F387" s="155"/>
      <c r="G387" s="155"/>
      <c r="H387" s="155"/>
      <c r="I387" s="155"/>
      <c r="J387" s="155"/>
      <c r="K387" s="155"/>
      <c r="L387" s="155"/>
      <c r="M387" s="160"/>
      <c r="N387" s="155"/>
      <c r="O387" s="155"/>
      <c r="P387" s="155"/>
      <c r="Q387" s="155"/>
      <c r="R387" s="160"/>
      <c r="S387" s="155"/>
      <c r="T387" s="155"/>
      <c r="U387" s="155"/>
      <c r="V387" s="155"/>
      <c r="W387" s="155"/>
      <c r="X387" s="161"/>
      <c r="Y387" s="486"/>
      <c r="Z387" s="329"/>
      <c r="AA387" s="353"/>
    </row>
    <row r="388" spans="1:27" ht="24.95" hidden="1" customHeight="1" x14ac:dyDescent="0.2">
      <c r="A388" s="82"/>
      <c r="B388" s="30"/>
      <c r="C388" s="28"/>
      <c r="D388" s="155"/>
      <c r="E388" s="155"/>
      <c r="F388" s="155"/>
      <c r="G388" s="155"/>
      <c r="H388" s="155"/>
      <c r="I388" s="155"/>
      <c r="J388" s="155"/>
      <c r="K388" s="155"/>
      <c r="L388" s="155"/>
      <c r="M388" s="160"/>
      <c r="N388" s="155"/>
      <c r="O388" s="155"/>
      <c r="P388" s="155"/>
      <c r="Q388" s="155"/>
      <c r="R388" s="160"/>
      <c r="S388" s="155"/>
      <c r="T388" s="155"/>
      <c r="U388" s="155"/>
      <c r="V388" s="155"/>
      <c r="W388" s="155"/>
      <c r="X388" s="161"/>
      <c r="Y388" s="486"/>
      <c r="Z388" s="329"/>
      <c r="AA388" s="353"/>
    </row>
    <row r="389" spans="1:27" ht="24.95" hidden="1" customHeight="1" x14ac:dyDescent="0.2">
      <c r="A389" s="82"/>
      <c r="B389" s="30"/>
      <c r="C389" s="28"/>
      <c r="D389" s="155"/>
      <c r="E389" s="155"/>
      <c r="F389" s="155"/>
      <c r="G389" s="155"/>
      <c r="H389" s="155"/>
      <c r="I389" s="155"/>
      <c r="J389" s="155"/>
      <c r="K389" s="155"/>
      <c r="L389" s="155"/>
      <c r="M389" s="160"/>
      <c r="N389" s="155"/>
      <c r="O389" s="155"/>
      <c r="P389" s="155"/>
      <c r="Q389" s="155"/>
      <c r="R389" s="160"/>
      <c r="S389" s="155"/>
      <c r="T389" s="155"/>
      <c r="U389" s="155"/>
      <c r="V389" s="155"/>
      <c r="W389" s="155"/>
      <c r="X389" s="161"/>
      <c r="Y389" s="486"/>
      <c r="Z389" s="329"/>
      <c r="AA389" s="353"/>
    </row>
    <row r="390" spans="1:27" ht="24.95" hidden="1" customHeight="1" x14ac:dyDescent="0.2">
      <c r="A390" s="82"/>
      <c r="B390" s="30"/>
      <c r="C390" s="28"/>
      <c r="D390" s="155"/>
      <c r="E390" s="155"/>
      <c r="F390" s="155"/>
      <c r="G390" s="155"/>
      <c r="H390" s="155"/>
      <c r="I390" s="155"/>
      <c r="J390" s="155"/>
      <c r="K390" s="155"/>
      <c r="L390" s="155"/>
      <c r="M390" s="160"/>
      <c r="N390" s="155"/>
      <c r="O390" s="155"/>
      <c r="P390" s="155"/>
      <c r="Q390" s="155"/>
      <c r="R390" s="160"/>
      <c r="S390" s="155"/>
      <c r="T390" s="155"/>
      <c r="U390" s="155"/>
      <c r="V390" s="155"/>
      <c r="W390" s="155"/>
      <c r="X390" s="161"/>
      <c r="Y390" s="486"/>
      <c r="Z390" s="329"/>
      <c r="AA390" s="353"/>
    </row>
    <row r="391" spans="1:27" ht="24.95" hidden="1" customHeight="1" x14ac:dyDescent="0.2">
      <c r="A391" s="82"/>
      <c r="B391" s="30"/>
      <c r="C391" s="28"/>
      <c r="D391" s="155"/>
      <c r="E391" s="155"/>
      <c r="F391" s="155"/>
      <c r="G391" s="155"/>
      <c r="H391" s="155"/>
      <c r="I391" s="155"/>
      <c r="J391" s="155"/>
      <c r="K391" s="155"/>
      <c r="L391" s="155"/>
      <c r="M391" s="160"/>
      <c r="N391" s="155"/>
      <c r="O391" s="155"/>
      <c r="P391" s="155"/>
      <c r="Q391" s="155"/>
      <c r="R391" s="160"/>
      <c r="S391" s="155"/>
      <c r="T391" s="155"/>
      <c r="U391" s="155"/>
      <c r="V391" s="155"/>
      <c r="W391" s="155"/>
      <c r="X391" s="161"/>
      <c r="Y391" s="486"/>
      <c r="Z391" s="329"/>
      <c r="AA391" s="353"/>
    </row>
    <row r="392" spans="1:27" ht="24.95" hidden="1" customHeight="1" x14ac:dyDescent="0.2">
      <c r="A392" s="82"/>
      <c r="B392" s="30"/>
      <c r="C392" s="28"/>
      <c r="D392" s="155"/>
      <c r="E392" s="155"/>
      <c r="F392" s="155"/>
      <c r="G392" s="155"/>
      <c r="H392" s="155"/>
      <c r="I392" s="155"/>
      <c r="J392" s="155"/>
      <c r="K392" s="155"/>
      <c r="L392" s="155"/>
      <c r="M392" s="160"/>
      <c r="N392" s="155"/>
      <c r="O392" s="155"/>
      <c r="P392" s="155"/>
      <c r="Q392" s="155"/>
      <c r="R392" s="160"/>
      <c r="S392" s="155"/>
      <c r="T392" s="155"/>
      <c r="U392" s="155"/>
      <c r="V392" s="155"/>
      <c r="W392" s="155"/>
      <c r="X392" s="161"/>
      <c r="Y392" s="486"/>
      <c r="Z392" s="329"/>
      <c r="AA392" s="353"/>
    </row>
    <row r="393" spans="1:27" ht="24.95" hidden="1" customHeight="1" x14ac:dyDescent="0.2">
      <c r="A393" s="82"/>
      <c r="B393" s="30"/>
      <c r="C393" s="28"/>
      <c r="D393" s="155"/>
      <c r="E393" s="155"/>
      <c r="F393" s="155"/>
      <c r="G393" s="155"/>
      <c r="H393" s="155"/>
      <c r="I393" s="155"/>
      <c r="J393" s="155"/>
      <c r="K393" s="155"/>
      <c r="L393" s="155"/>
      <c r="M393" s="160"/>
      <c r="N393" s="155"/>
      <c r="O393" s="155"/>
      <c r="P393" s="155"/>
      <c r="Q393" s="155"/>
      <c r="R393" s="160"/>
      <c r="S393" s="155"/>
      <c r="T393" s="155"/>
      <c r="U393" s="155"/>
      <c r="V393" s="155"/>
      <c r="W393" s="155"/>
      <c r="X393" s="161"/>
      <c r="Y393" s="486"/>
      <c r="Z393" s="329"/>
      <c r="AA393" s="353"/>
    </row>
    <row r="394" spans="1:27" ht="24.95" hidden="1" customHeight="1" x14ac:dyDescent="0.2">
      <c r="A394" s="82"/>
      <c r="B394" s="30"/>
      <c r="C394" s="28"/>
      <c r="D394" s="155"/>
      <c r="E394" s="155"/>
      <c r="F394" s="155"/>
      <c r="G394" s="155"/>
      <c r="H394" s="155"/>
      <c r="I394" s="155"/>
      <c r="J394" s="155"/>
      <c r="K394" s="155"/>
      <c r="L394" s="155"/>
      <c r="M394" s="160"/>
      <c r="N394" s="155"/>
      <c r="O394" s="155"/>
      <c r="P394" s="155"/>
      <c r="Q394" s="155"/>
      <c r="R394" s="160"/>
      <c r="S394" s="155"/>
      <c r="T394" s="155"/>
      <c r="U394" s="155"/>
      <c r="V394" s="155"/>
      <c r="W394" s="155"/>
      <c r="X394" s="161"/>
      <c r="Y394" s="486"/>
      <c r="Z394" s="329"/>
      <c r="AA394" s="353"/>
    </row>
    <row r="395" spans="1:27" ht="24.95" hidden="1" customHeight="1" x14ac:dyDescent="0.2">
      <c r="A395" s="82"/>
      <c r="B395" s="30"/>
      <c r="C395" s="28"/>
      <c r="D395" s="155"/>
      <c r="E395" s="155"/>
      <c r="F395" s="155"/>
      <c r="G395" s="155"/>
      <c r="H395" s="155"/>
      <c r="I395" s="155"/>
      <c r="J395" s="155"/>
      <c r="K395" s="155"/>
      <c r="L395" s="155"/>
      <c r="M395" s="160"/>
      <c r="N395" s="155"/>
      <c r="O395" s="155"/>
      <c r="P395" s="155"/>
      <c r="Q395" s="155"/>
      <c r="R395" s="160"/>
      <c r="S395" s="155"/>
      <c r="T395" s="155"/>
      <c r="U395" s="155"/>
      <c r="V395" s="155"/>
      <c r="W395" s="155"/>
      <c r="X395" s="161"/>
      <c r="Y395" s="486"/>
      <c r="Z395" s="329"/>
      <c r="AA395" s="353"/>
    </row>
    <row r="396" spans="1:27" ht="24.95" hidden="1" customHeight="1" x14ac:dyDescent="0.2">
      <c r="A396" s="82"/>
      <c r="B396" s="498"/>
      <c r="C396" s="41"/>
      <c r="D396" s="155"/>
      <c r="E396" s="155"/>
      <c r="F396" s="155"/>
      <c r="G396" s="155"/>
      <c r="H396" s="155"/>
      <c r="I396" s="155"/>
      <c r="J396" s="155"/>
      <c r="K396" s="155"/>
      <c r="L396" s="155"/>
      <c r="M396" s="160"/>
      <c r="N396" s="155"/>
      <c r="O396" s="155"/>
      <c r="P396" s="155"/>
      <c r="Q396" s="155"/>
      <c r="R396" s="160"/>
      <c r="S396" s="155"/>
      <c r="T396" s="155"/>
      <c r="U396" s="155"/>
      <c r="V396" s="155"/>
      <c r="W396" s="155"/>
      <c r="X396" s="161"/>
      <c r="Y396" s="486"/>
      <c r="Z396" s="329"/>
      <c r="AA396" s="353"/>
    </row>
    <row r="397" spans="1:27" ht="17.25" customHeight="1" thickBot="1" x14ac:dyDescent="0.25">
      <c r="A397" s="82"/>
      <c r="B397" s="89"/>
      <c r="C397" s="41"/>
      <c r="D397" s="155"/>
      <c r="E397" s="155"/>
      <c r="F397" s="155"/>
      <c r="G397" s="155"/>
      <c r="H397" s="155"/>
      <c r="I397" s="155"/>
      <c r="J397" s="155"/>
      <c r="K397" s="155"/>
      <c r="L397" s="155"/>
      <c r="M397" s="160"/>
      <c r="N397" s="155"/>
      <c r="O397" s="155"/>
      <c r="P397" s="155"/>
      <c r="Q397" s="155"/>
      <c r="R397" s="160"/>
      <c r="S397" s="72"/>
      <c r="T397" s="72"/>
      <c r="U397" s="72"/>
      <c r="V397" s="72"/>
      <c r="W397" s="72"/>
      <c r="X397" s="161"/>
      <c r="Y397" s="486"/>
      <c r="Z397" s="329"/>
      <c r="AA397" s="345"/>
    </row>
    <row r="398" spans="1:27" ht="24.95" customHeight="1" thickTop="1" thickBot="1" x14ac:dyDescent="0.25">
      <c r="A398" s="460"/>
      <c r="B398" s="109" t="s">
        <v>593</v>
      </c>
      <c r="C398" s="44" t="s">
        <v>19</v>
      </c>
      <c r="D398" s="86">
        <f t="shared" ref="D398:Q398" si="64">SUM(D287:D397)</f>
        <v>-28955.599999999999</v>
      </c>
      <c r="E398" s="86">
        <f t="shared" si="64"/>
        <v>-6440.7539999999999</v>
      </c>
      <c r="F398" s="86">
        <f t="shared" si="64"/>
        <v>-7208.9989999999998</v>
      </c>
      <c r="G398" s="86">
        <f t="shared" si="64"/>
        <v>0</v>
      </c>
      <c r="H398" s="86">
        <f t="shared" si="64"/>
        <v>0</v>
      </c>
      <c r="I398" s="86">
        <f t="shared" si="64"/>
        <v>9210</v>
      </c>
      <c r="J398" s="86">
        <f t="shared" si="64"/>
        <v>-10492</v>
      </c>
      <c r="K398" s="86">
        <f t="shared" si="64"/>
        <v>-1525739.175</v>
      </c>
      <c r="L398" s="86">
        <f t="shared" si="64"/>
        <v>1503806</v>
      </c>
      <c r="M398" s="127">
        <f t="shared" si="64"/>
        <v>6896</v>
      </c>
      <c r="N398" s="86">
        <f t="shared" si="64"/>
        <v>635</v>
      </c>
      <c r="O398" s="86">
        <f t="shared" si="64"/>
        <v>0</v>
      </c>
      <c r="P398" s="86">
        <f t="shared" si="64"/>
        <v>0</v>
      </c>
      <c r="Q398" s="86">
        <f t="shared" si="64"/>
        <v>104223</v>
      </c>
      <c r="R398" s="127">
        <f t="shared" si="36"/>
        <v>45933.472000000067</v>
      </c>
      <c r="S398" s="86"/>
      <c r="T398" s="86">
        <f>SUM(T287:T397)</f>
        <v>0</v>
      </c>
      <c r="U398" s="86">
        <f>SUM(U287:U397)</f>
        <v>1900000</v>
      </c>
      <c r="V398" s="86">
        <f>SUM(V287:V397)</f>
        <v>43460.5</v>
      </c>
      <c r="W398" s="86">
        <f>SUM(W287:W397)</f>
        <v>0</v>
      </c>
      <c r="X398" s="87">
        <f>SUM(T398:W398)</f>
        <v>1943460.5</v>
      </c>
      <c r="Y398" s="357">
        <f>R398+X398</f>
        <v>1989393.9720000001</v>
      </c>
      <c r="Z398" s="266">
        <f>SUM(Z287:Z397)</f>
        <v>218613.948</v>
      </c>
      <c r="AA398" s="346"/>
    </row>
    <row r="399" spans="1:27" ht="24.95" hidden="1" customHeight="1" thickTop="1" x14ac:dyDescent="0.2">
      <c r="A399" s="207"/>
      <c r="B399" s="222"/>
      <c r="C399" s="223"/>
      <c r="D399" s="259"/>
      <c r="E399" s="259"/>
      <c r="F399" s="259"/>
      <c r="G399" s="259"/>
      <c r="H399" s="259"/>
      <c r="I399" s="259"/>
      <c r="J399" s="259"/>
      <c r="K399" s="259"/>
      <c r="L399" s="259"/>
      <c r="M399" s="691"/>
      <c r="N399" s="259"/>
      <c r="O399" s="259"/>
      <c r="P399" s="259"/>
      <c r="Q399" s="259"/>
      <c r="R399" s="691">
        <f t="shared" ref="R399:R415" si="65">SUM(D399:Q399)</f>
        <v>0</v>
      </c>
      <c r="S399" s="259"/>
      <c r="T399" s="259"/>
      <c r="U399" s="259"/>
      <c r="V399" s="259"/>
      <c r="W399" s="259"/>
      <c r="X399" s="260">
        <f t="shared" ref="X399:X408" si="66">SUM(T399:W399)</f>
        <v>0</v>
      </c>
      <c r="Y399" s="697"/>
      <c r="Z399" s="334"/>
      <c r="AA399" s="346"/>
    </row>
    <row r="400" spans="1:27" ht="16.5" hidden="1" customHeight="1" x14ac:dyDescent="0.2">
      <c r="A400" s="207"/>
      <c r="B400" s="74"/>
      <c r="C400" s="28" t="s">
        <v>181</v>
      </c>
      <c r="D400" s="165"/>
      <c r="E400" s="165"/>
      <c r="F400" s="155"/>
      <c r="G400" s="165"/>
      <c r="H400" s="165"/>
      <c r="I400" s="165"/>
      <c r="J400" s="165"/>
      <c r="K400" s="155"/>
      <c r="L400" s="155"/>
      <c r="M400" s="524"/>
      <c r="N400" s="165"/>
      <c r="O400" s="165"/>
      <c r="P400" s="165"/>
      <c r="Q400" s="165"/>
      <c r="R400" s="524">
        <f t="shared" si="65"/>
        <v>0</v>
      </c>
      <c r="S400" s="165"/>
      <c r="T400" s="165"/>
      <c r="U400" s="165"/>
      <c r="V400" s="165"/>
      <c r="W400" s="165"/>
      <c r="X400" s="166">
        <f t="shared" si="66"/>
        <v>0</v>
      </c>
      <c r="Y400" s="486">
        <f t="shared" ref="Y400:Y408" si="67">R400+X400</f>
        <v>0</v>
      </c>
      <c r="Z400" s="383"/>
      <c r="AA400" s="353"/>
    </row>
    <row r="401" spans="1:27" ht="16.5" hidden="1" customHeight="1" x14ac:dyDescent="0.2">
      <c r="A401" s="207"/>
      <c r="B401" s="719"/>
      <c r="C401" s="28" t="s">
        <v>179</v>
      </c>
      <c r="D401" s="165"/>
      <c r="E401" s="165"/>
      <c r="G401" s="165"/>
      <c r="H401" s="165"/>
      <c r="I401" s="165"/>
      <c r="J401" s="165"/>
      <c r="K401" s="155"/>
      <c r="L401" s="165"/>
      <c r="M401" s="524"/>
      <c r="N401" s="165"/>
      <c r="O401" s="165"/>
      <c r="P401" s="165"/>
      <c r="Q401" s="165"/>
      <c r="R401" s="524">
        <f t="shared" si="65"/>
        <v>0</v>
      </c>
      <c r="S401" s="165"/>
      <c r="T401" s="165"/>
      <c r="U401" s="165"/>
      <c r="V401" s="165"/>
      <c r="W401" s="165"/>
      <c r="X401" s="166"/>
      <c r="Y401" s="486">
        <f t="shared" si="67"/>
        <v>0</v>
      </c>
      <c r="Z401" s="383"/>
      <c r="AA401" s="353"/>
    </row>
    <row r="402" spans="1:27" ht="16.5" hidden="1" customHeight="1" x14ac:dyDescent="0.2">
      <c r="A402" s="207"/>
      <c r="B402" s="719"/>
      <c r="C402" s="28" t="s">
        <v>182</v>
      </c>
      <c r="D402" s="165"/>
      <c r="E402" s="165"/>
      <c r="F402" s="155"/>
      <c r="G402" s="165"/>
      <c r="H402" s="165"/>
      <c r="I402" s="165"/>
      <c r="J402" s="165"/>
      <c r="K402" s="155"/>
      <c r="L402" s="165"/>
      <c r="M402" s="524"/>
      <c r="N402" s="165"/>
      <c r="O402" s="165"/>
      <c r="P402" s="165"/>
      <c r="Q402" s="165"/>
      <c r="R402" s="524">
        <f t="shared" si="65"/>
        <v>0</v>
      </c>
      <c r="S402" s="165"/>
      <c r="T402" s="165"/>
      <c r="U402" s="165"/>
      <c r="V402" s="165"/>
      <c r="W402" s="165"/>
      <c r="X402" s="166"/>
      <c r="Y402" s="486">
        <f t="shared" si="67"/>
        <v>0</v>
      </c>
      <c r="Z402" s="383"/>
      <c r="AA402" s="353"/>
    </row>
    <row r="403" spans="1:27" ht="16.5" hidden="1" customHeight="1" x14ac:dyDescent="0.2">
      <c r="A403" s="207"/>
      <c r="B403" s="719"/>
      <c r="C403" s="28"/>
      <c r="D403" s="165"/>
      <c r="E403" s="165"/>
      <c r="F403" s="355"/>
      <c r="G403" s="165"/>
      <c r="H403" s="165"/>
      <c r="I403" s="165"/>
      <c r="J403" s="165"/>
      <c r="K403" s="155"/>
      <c r="L403" s="165"/>
      <c r="M403" s="524"/>
      <c r="N403" s="165"/>
      <c r="O403" s="165"/>
      <c r="P403" s="165"/>
      <c r="Q403" s="165"/>
      <c r="R403" s="524"/>
      <c r="S403" s="165"/>
      <c r="T403" s="165"/>
      <c r="U403" s="165"/>
      <c r="V403" s="165"/>
      <c r="W403" s="165"/>
      <c r="X403" s="166"/>
      <c r="Y403" s="486"/>
      <c r="Z403" s="383"/>
      <c r="AA403" s="353"/>
    </row>
    <row r="404" spans="1:27" ht="16.5" hidden="1" customHeight="1" x14ac:dyDescent="0.2">
      <c r="A404" s="207"/>
      <c r="B404" s="74" t="s">
        <v>21</v>
      </c>
      <c r="C404" s="39" t="s">
        <v>22</v>
      </c>
      <c r="D404" s="165"/>
      <c r="E404" s="165"/>
      <c r="G404" s="165"/>
      <c r="H404" s="165"/>
      <c r="I404" s="165"/>
      <c r="J404" s="165"/>
      <c r="K404" s="165"/>
      <c r="L404" s="165"/>
      <c r="M404" s="524"/>
      <c r="N404" s="165"/>
      <c r="O404" s="165"/>
      <c r="P404" s="165"/>
      <c r="Q404" s="165"/>
      <c r="R404" s="524">
        <f t="shared" si="65"/>
        <v>0</v>
      </c>
      <c r="S404" s="165"/>
      <c r="T404" s="165"/>
      <c r="U404" s="165"/>
      <c r="V404" s="165"/>
      <c r="W404" s="165"/>
      <c r="X404" s="166"/>
      <c r="Y404" s="486">
        <f t="shared" si="67"/>
        <v>0</v>
      </c>
      <c r="Z404" s="383"/>
      <c r="AA404" s="353"/>
    </row>
    <row r="405" spans="1:27" ht="16.5" hidden="1" customHeight="1" x14ac:dyDescent="0.25">
      <c r="A405" s="207"/>
      <c r="B405" s="720" t="s">
        <v>23</v>
      </c>
      <c r="C405" s="39" t="s">
        <v>22</v>
      </c>
      <c r="D405" s="165"/>
      <c r="E405" s="165"/>
      <c r="F405" s="165"/>
      <c r="G405" s="165"/>
      <c r="H405" s="165"/>
      <c r="I405" s="165"/>
      <c r="J405" s="165"/>
      <c r="K405" s="165"/>
      <c r="L405" s="165"/>
      <c r="M405" s="524"/>
      <c r="N405" s="165"/>
      <c r="O405" s="165"/>
      <c r="P405" s="165"/>
      <c r="Q405" s="165"/>
      <c r="R405" s="524">
        <f t="shared" si="65"/>
        <v>0</v>
      </c>
      <c r="S405" s="165"/>
      <c r="T405" s="165"/>
      <c r="U405" s="165"/>
      <c r="V405" s="165"/>
      <c r="W405" s="165"/>
      <c r="X405" s="166">
        <f t="shared" si="66"/>
        <v>0</v>
      </c>
      <c r="Y405" s="486">
        <f t="shared" si="67"/>
        <v>0</v>
      </c>
      <c r="Z405" s="383"/>
      <c r="AA405" s="353"/>
    </row>
    <row r="406" spans="1:27" ht="16.5" hidden="1" customHeight="1" x14ac:dyDescent="0.25">
      <c r="A406" s="26"/>
      <c r="B406" s="720" t="s">
        <v>80</v>
      </c>
      <c r="C406" s="39" t="s">
        <v>22</v>
      </c>
      <c r="D406" s="165"/>
      <c r="E406" s="165"/>
      <c r="F406" s="165"/>
      <c r="G406" s="165"/>
      <c r="H406" s="165"/>
      <c r="I406" s="165"/>
      <c r="J406" s="165"/>
      <c r="K406" s="165"/>
      <c r="L406" s="165"/>
      <c r="M406" s="524"/>
      <c r="N406" s="165"/>
      <c r="O406" s="165"/>
      <c r="P406" s="165"/>
      <c r="Q406" s="165"/>
      <c r="R406" s="524">
        <f t="shared" si="65"/>
        <v>0</v>
      </c>
      <c r="S406" s="165"/>
      <c r="T406" s="165"/>
      <c r="U406" s="165"/>
      <c r="V406" s="165"/>
      <c r="W406" s="165"/>
      <c r="X406" s="166">
        <f t="shared" si="66"/>
        <v>0</v>
      </c>
      <c r="Y406" s="486">
        <f t="shared" si="67"/>
        <v>0</v>
      </c>
      <c r="Z406" s="383"/>
      <c r="AA406" s="353"/>
    </row>
    <row r="407" spans="1:27" ht="16.5" hidden="1" customHeight="1" x14ac:dyDescent="0.25">
      <c r="A407" s="26"/>
      <c r="B407" s="720" t="s">
        <v>81</v>
      </c>
      <c r="C407" s="39" t="s">
        <v>22</v>
      </c>
      <c r="D407" s="165"/>
      <c r="E407" s="165"/>
      <c r="F407" s="165"/>
      <c r="G407" s="165"/>
      <c r="H407" s="165"/>
      <c r="I407" s="165"/>
      <c r="J407" s="165"/>
      <c r="K407" s="165"/>
      <c r="L407" s="165"/>
      <c r="M407" s="524"/>
      <c r="N407" s="165"/>
      <c r="O407" s="165"/>
      <c r="P407" s="165"/>
      <c r="Q407" s="165"/>
      <c r="R407" s="524">
        <f t="shared" si="65"/>
        <v>0</v>
      </c>
      <c r="S407" s="165"/>
      <c r="T407" s="165"/>
      <c r="U407" s="165"/>
      <c r="V407" s="165"/>
      <c r="W407" s="165"/>
      <c r="X407" s="166">
        <f t="shared" si="66"/>
        <v>0</v>
      </c>
      <c r="Y407" s="486">
        <f t="shared" si="67"/>
        <v>0</v>
      </c>
      <c r="Z407" s="383"/>
      <c r="AA407" s="353"/>
    </row>
    <row r="408" spans="1:27" ht="16.5" hidden="1" customHeight="1" x14ac:dyDescent="0.25">
      <c r="A408" s="26"/>
      <c r="B408" s="720" t="s">
        <v>25</v>
      </c>
      <c r="C408" s="39" t="s">
        <v>22</v>
      </c>
      <c r="D408" s="165"/>
      <c r="E408" s="165"/>
      <c r="F408" s="165"/>
      <c r="G408" s="165"/>
      <c r="H408" s="165"/>
      <c r="I408" s="165"/>
      <c r="J408" s="165"/>
      <c r="K408" s="165"/>
      <c r="L408" s="165"/>
      <c r="M408" s="524"/>
      <c r="N408" s="165"/>
      <c r="O408" s="165"/>
      <c r="P408" s="165"/>
      <c r="Q408" s="165"/>
      <c r="R408" s="524">
        <f t="shared" si="65"/>
        <v>0</v>
      </c>
      <c r="S408" s="165"/>
      <c r="T408" s="165"/>
      <c r="U408" s="165"/>
      <c r="V408" s="165"/>
      <c r="W408" s="165"/>
      <c r="X408" s="166">
        <f t="shared" si="66"/>
        <v>0</v>
      </c>
      <c r="Y408" s="486">
        <f t="shared" si="67"/>
        <v>0</v>
      </c>
      <c r="Z408" s="383"/>
      <c r="AA408" s="353"/>
    </row>
    <row r="409" spans="1:27" ht="16.5" hidden="1" customHeight="1" x14ac:dyDescent="0.25">
      <c r="A409" s="26"/>
      <c r="B409" s="720" t="s">
        <v>71</v>
      </c>
      <c r="C409" s="39" t="s">
        <v>22</v>
      </c>
      <c r="D409" s="165"/>
      <c r="E409" s="165"/>
      <c r="F409" s="165"/>
      <c r="G409" s="165"/>
      <c r="H409" s="165"/>
      <c r="I409" s="165"/>
      <c r="J409" s="165"/>
      <c r="K409" s="165"/>
      <c r="L409" s="165"/>
      <c r="M409" s="524"/>
      <c r="N409" s="165"/>
      <c r="O409" s="165"/>
      <c r="P409" s="165"/>
      <c r="Q409" s="165"/>
      <c r="R409" s="524">
        <f t="shared" si="65"/>
        <v>0</v>
      </c>
      <c r="S409" s="165"/>
      <c r="T409" s="165"/>
      <c r="U409" s="165"/>
      <c r="V409" s="165"/>
      <c r="W409" s="165"/>
      <c r="X409" s="166">
        <f t="shared" ref="X409:X479" si="68">SUM(T409:W409)</f>
        <v>0</v>
      </c>
      <c r="Y409" s="486">
        <f t="shared" ref="Y409:Y479" si="69">R409+X409</f>
        <v>0</v>
      </c>
      <c r="Z409" s="383"/>
      <c r="AA409" s="353"/>
    </row>
    <row r="410" spans="1:27" ht="16.5" hidden="1" customHeight="1" x14ac:dyDescent="0.25">
      <c r="A410" s="26"/>
      <c r="B410" s="720" t="s">
        <v>73</v>
      </c>
      <c r="C410" s="39" t="s">
        <v>22</v>
      </c>
      <c r="D410" s="165"/>
      <c r="E410" s="165"/>
      <c r="F410" s="165"/>
      <c r="G410" s="165"/>
      <c r="H410" s="165"/>
      <c r="I410" s="165"/>
      <c r="J410" s="165"/>
      <c r="K410" s="165"/>
      <c r="L410" s="165"/>
      <c r="M410" s="524"/>
      <c r="N410" s="165"/>
      <c r="O410" s="165"/>
      <c r="P410" s="165"/>
      <c r="Q410" s="165"/>
      <c r="R410" s="524">
        <f t="shared" si="65"/>
        <v>0</v>
      </c>
      <c r="S410" s="165"/>
      <c r="T410" s="165"/>
      <c r="U410" s="165"/>
      <c r="V410" s="165"/>
      <c r="W410" s="165"/>
      <c r="X410" s="166">
        <f t="shared" si="68"/>
        <v>0</v>
      </c>
      <c r="Y410" s="486">
        <f t="shared" si="69"/>
        <v>0</v>
      </c>
      <c r="Z410" s="383"/>
      <c r="AA410" s="353"/>
    </row>
    <row r="411" spans="1:27" ht="16.5" hidden="1" customHeight="1" x14ac:dyDescent="0.25">
      <c r="A411" s="26"/>
      <c r="B411" s="720" t="s">
        <v>118</v>
      </c>
      <c r="C411" s="39" t="s">
        <v>22</v>
      </c>
      <c r="D411" s="165"/>
      <c r="E411" s="165"/>
      <c r="F411" s="165"/>
      <c r="G411" s="165"/>
      <c r="H411" s="165"/>
      <c r="I411" s="165"/>
      <c r="J411" s="165"/>
      <c r="K411" s="165"/>
      <c r="L411" s="165"/>
      <c r="M411" s="524"/>
      <c r="N411" s="165"/>
      <c r="O411" s="165"/>
      <c r="P411" s="165"/>
      <c r="Q411" s="165"/>
      <c r="R411" s="524">
        <f t="shared" si="65"/>
        <v>0</v>
      </c>
      <c r="S411" s="165"/>
      <c r="T411" s="165"/>
      <c r="U411" s="165"/>
      <c r="V411" s="165"/>
      <c r="W411" s="165"/>
      <c r="X411" s="166">
        <f t="shared" si="68"/>
        <v>0</v>
      </c>
      <c r="Y411" s="486">
        <f t="shared" si="69"/>
        <v>0</v>
      </c>
      <c r="Z411" s="383"/>
      <c r="AA411" s="353"/>
    </row>
    <row r="412" spans="1:27" ht="16.5" hidden="1" customHeight="1" x14ac:dyDescent="0.25">
      <c r="A412" s="26"/>
      <c r="B412" s="720" t="s">
        <v>27</v>
      </c>
      <c r="C412" s="39" t="s">
        <v>22</v>
      </c>
      <c r="D412" s="165"/>
      <c r="E412" s="165"/>
      <c r="F412" s="165"/>
      <c r="G412" s="165"/>
      <c r="H412" s="165"/>
      <c r="I412" s="165"/>
      <c r="J412" s="165"/>
      <c r="K412" s="165"/>
      <c r="L412" s="165"/>
      <c r="M412" s="524"/>
      <c r="N412" s="165"/>
      <c r="O412" s="165"/>
      <c r="P412" s="165"/>
      <c r="Q412" s="165"/>
      <c r="R412" s="524">
        <f t="shared" si="65"/>
        <v>0</v>
      </c>
      <c r="S412" s="165"/>
      <c r="T412" s="165"/>
      <c r="U412" s="165"/>
      <c r="V412" s="165"/>
      <c r="W412" s="165"/>
      <c r="X412" s="166">
        <f t="shared" si="68"/>
        <v>0</v>
      </c>
      <c r="Y412" s="486">
        <f t="shared" si="69"/>
        <v>0</v>
      </c>
      <c r="Z412" s="383"/>
      <c r="AA412" s="353"/>
    </row>
    <row r="413" spans="1:27" ht="16.5" hidden="1" customHeight="1" x14ac:dyDescent="0.25">
      <c r="A413" s="26"/>
      <c r="B413" s="720" t="s">
        <v>28</v>
      </c>
      <c r="C413" s="39" t="s">
        <v>22</v>
      </c>
      <c r="D413" s="165"/>
      <c r="E413" s="165"/>
      <c r="F413" s="165"/>
      <c r="G413" s="165"/>
      <c r="H413" s="165"/>
      <c r="I413" s="165"/>
      <c r="J413" s="165"/>
      <c r="K413" s="165"/>
      <c r="L413" s="165"/>
      <c r="M413" s="524"/>
      <c r="N413" s="165"/>
      <c r="O413" s="165"/>
      <c r="P413" s="165"/>
      <c r="Q413" s="165"/>
      <c r="R413" s="524">
        <f t="shared" si="65"/>
        <v>0</v>
      </c>
      <c r="S413" s="165"/>
      <c r="T413" s="165"/>
      <c r="U413" s="165"/>
      <c r="V413" s="165"/>
      <c r="W413" s="165"/>
      <c r="X413" s="166">
        <f t="shared" si="68"/>
        <v>0</v>
      </c>
      <c r="Y413" s="486">
        <f t="shared" si="69"/>
        <v>0</v>
      </c>
      <c r="Z413" s="383"/>
      <c r="AA413" s="353"/>
    </row>
    <row r="414" spans="1:27" ht="16.5" hidden="1" customHeight="1" x14ac:dyDescent="0.2">
      <c r="A414" s="26"/>
      <c r="B414" s="74" t="s">
        <v>75</v>
      </c>
      <c r="C414" s="39" t="s">
        <v>22</v>
      </c>
      <c r="D414" s="165"/>
      <c r="E414" s="165"/>
      <c r="F414" s="165"/>
      <c r="G414" s="165"/>
      <c r="H414" s="165"/>
      <c r="I414" s="165"/>
      <c r="J414" s="165"/>
      <c r="K414" s="165"/>
      <c r="L414" s="165"/>
      <c r="M414" s="524"/>
      <c r="N414" s="165"/>
      <c r="O414" s="165"/>
      <c r="P414" s="165"/>
      <c r="Q414" s="165"/>
      <c r="R414" s="524">
        <f t="shared" si="65"/>
        <v>0</v>
      </c>
      <c r="S414" s="165"/>
      <c r="T414" s="165"/>
      <c r="U414" s="165"/>
      <c r="V414" s="165"/>
      <c r="W414" s="165"/>
      <c r="X414" s="166">
        <f t="shared" si="68"/>
        <v>0</v>
      </c>
      <c r="Y414" s="486">
        <f t="shared" si="69"/>
        <v>0</v>
      </c>
      <c r="Z414" s="383"/>
      <c r="AA414" s="353"/>
    </row>
    <row r="415" spans="1:27" ht="16.5" hidden="1" customHeight="1" x14ac:dyDescent="0.2">
      <c r="A415" s="26"/>
      <c r="B415" s="74" t="s">
        <v>99</v>
      </c>
      <c r="C415" s="39" t="s">
        <v>22</v>
      </c>
      <c r="D415" s="165"/>
      <c r="E415" s="165"/>
      <c r="F415" s="165"/>
      <c r="G415" s="165"/>
      <c r="H415" s="165"/>
      <c r="I415" s="165"/>
      <c r="J415" s="165"/>
      <c r="K415" s="165"/>
      <c r="L415" s="165"/>
      <c r="M415" s="524"/>
      <c r="N415" s="165"/>
      <c r="O415" s="165"/>
      <c r="P415" s="165"/>
      <c r="Q415" s="165"/>
      <c r="R415" s="524">
        <f t="shared" si="65"/>
        <v>0</v>
      </c>
      <c r="S415" s="165"/>
      <c r="T415" s="165"/>
      <c r="U415" s="165"/>
      <c r="V415" s="165"/>
      <c r="W415" s="165"/>
      <c r="X415" s="166">
        <f t="shared" si="68"/>
        <v>0</v>
      </c>
      <c r="Y415" s="486">
        <f t="shared" si="69"/>
        <v>0</v>
      </c>
      <c r="Z415" s="383"/>
      <c r="AA415" s="353"/>
    </row>
    <row r="416" spans="1:27" ht="16.5" hidden="1" customHeight="1" x14ac:dyDescent="0.2">
      <c r="A416" s="26"/>
      <c r="B416" s="74" t="s">
        <v>100</v>
      </c>
      <c r="C416" s="39" t="s">
        <v>22</v>
      </c>
      <c r="D416" s="165"/>
      <c r="E416" s="165"/>
      <c r="F416" s="165"/>
      <c r="G416" s="165"/>
      <c r="H416" s="165"/>
      <c r="I416" s="165"/>
      <c r="J416" s="165"/>
      <c r="K416" s="165"/>
      <c r="L416" s="165"/>
      <c r="M416" s="524"/>
      <c r="N416" s="165"/>
      <c r="O416" s="165"/>
      <c r="P416" s="165"/>
      <c r="Q416" s="165"/>
      <c r="R416" s="524">
        <f t="shared" ref="R416:R486" si="70">SUM(D416:Q416)</f>
        <v>0</v>
      </c>
      <c r="S416" s="165"/>
      <c r="T416" s="165"/>
      <c r="U416" s="165"/>
      <c r="V416" s="165"/>
      <c r="W416" s="165"/>
      <c r="X416" s="166">
        <f t="shared" si="68"/>
        <v>0</v>
      </c>
      <c r="Y416" s="486">
        <f t="shared" si="69"/>
        <v>0</v>
      </c>
      <c r="Z416" s="383"/>
      <c r="AA416" s="353"/>
    </row>
    <row r="417" spans="1:28" ht="16.5" hidden="1" customHeight="1" x14ac:dyDescent="0.2">
      <c r="A417" s="26"/>
      <c r="B417" s="74" t="s">
        <v>120</v>
      </c>
      <c r="C417" s="39" t="s">
        <v>22</v>
      </c>
      <c r="D417" s="165"/>
      <c r="E417" s="165"/>
      <c r="F417" s="165"/>
      <c r="G417" s="165"/>
      <c r="H417" s="165"/>
      <c r="I417" s="165"/>
      <c r="J417" s="165"/>
      <c r="K417" s="165"/>
      <c r="L417" s="165"/>
      <c r="M417" s="524"/>
      <c r="N417" s="165"/>
      <c r="O417" s="165"/>
      <c r="P417" s="165"/>
      <c r="Q417" s="165"/>
      <c r="R417" s="524">
        <f t="shared" si="70"/>
        <v>0</v>
      </c>
      <c r="S417" s="165"/>
      <c r="T417" s="165"/>
      <c r="U417" s="165"/>
      <c r="V417" s="165"/>
      <c r="W417" s="165"/>
      <c r="X417" s="166">
        <f t="shared" si="68"/>
        <v>0</v>
      </c>
      <c r="Y417" s="486">
        <f t="shared" si="69"/>
        <v>0</v>
      </c>
      <c r="Z417" s="383"/>
      <c r="AA417" s="353"/>
    </row>
    <row r="418" spans="1:28" ht="16.5" hidden="1" customHeight="1" x14ac:dyDescent="0.2">
      <c r="A418" s="26"/>
      <c r="B418" s="385" t="s">
        <v>23</v>
      </c>
      <c r="C418" s="721" t="s">
        <v>121</v>
      </c>
      <c r="D418" s="165"/>
      <c r="E418" s="165"/>
      <c r="F418" s="386"/>
      <c r="G418" s="165"/>
      <c r="H418" s="165"/>
      <c r="I418" s="165"/>
      <c r="J418" s="165"/>
      <c r="K418" s="165"/>
      <c r="L418" s="165"/>
      <c r="M418" s="524"/>
      <c r="N418" s="165"/>
      <c r="O418" s="165"/>
      <c r="P418" s="165"/>
      <c r="Q418" s="165"/>
      <c r="R418" s="524">
        <f t="shared" si="70"/>
        <v>0</v>
      </c>
      <c r="S418" s="165"/>
      <c r="T418" s="165"/>
      <c r="U418" s="165"/>
      <c r="V418" s="165"/>
      <c r="W418" s="165"/>
      <c r="X418" s="166">
        <f t="shared" si="68"/>
        <v>0</v>
      </c>
      <c r="Y418" s="698">
        <f t="shared" si="69"/>
        <v>0</v>
      </c>
      <c r="Z418" s="383"/>
      <c r="AA418" s="353"/>
    </row>
    <row r="419" spans="1:28" ht="17.25" hidden="1" customHeight="1" thickBot="1" x14ac:dyDescent="0.25">
      <c r="A419" s="82"/>
      <c r="B419" s="84"/>
      <c r="C419" s="28"/>
      <c r="D419" s="155"/>
      <c r="E419" s="155"/>
      <c r="F419" s="155"/>
      <c r="G419" s="155"/>
      <c r="H419" s="155"/>
      <c r="I419" s="155"/>
      <c r="J419" s="155"/>
      <c r="K419" s="155"/>
      <c r="L419" s="155"/>
      <c r="M419" s="160"/>
      <c r="N419" s="155"/>
      <c r="O419" s="155"/>
      <c r="P419" s="155"/>
      <c r="Q419" s="155"/>
      <c r="R419" s="160">
        <f t="shared" si="70"/>
        <v>0</v>
      </c>
      <c r="S419" s="155"/>
      <c r="T419" s="155"/>
      <c r="U419" s="155"/>
      <c r="V419" s="155"/>
      <c r="W419" s="155"/>
      <c r="X419" s="161">
        <f t="shared" si="68"/>
        <v>0</v>
      </c>
      <c r="Y419" s="486">
        <f t="shared" si="69"/>
        <v>0</v>
      </c>
      <c r="Z419" s="329"/>
      <c r="AA419" s="353"/>
    </row>
    <row r="420" spans="1:28" ht="18.75" hidden="1" customHeight="1" thickTop="1" thickBot="1" x14ac:dyDescent="0.25">
      <c r="A420" s="47"/>
      <c r="B420" s="90"/>
      <c r="C420" s="44" t="s">
        <v>30</v>
      </c>
      <c r="D420" s="162">
        <f>SUM(D399:D419)</f>
        <v>0</v>
      </c>
      <c r="E420" s="162">
        <f>SUM(E399:E419)</f>
        <v>0</v>
      </c>
      <c r="F420" s="162">
        <f>SUM(F399:F419)</f>
        <v>0</v>
      </c>
      <c r="G420" s="162">
        <f t="shared" ref="G420:R420" si="71">SUM(G399:G419)</f>
        <v>0</v>
      </c>
      <c r="H420" s="162">
        <f t="shared" si="71"/>
        <v>0</v>
      </c>
      <c r="I420" s="162">
        <f t="shared" si="71"/>
        <v>0</v>
      </c>
      <c r="J420" s="162">
        <f t="shared" si="71"/>
        <v>0</v>
      </c>
      <c r="K420" s="162">
        <f t="shared" si="71"/>
        <v>0</v>
      </c>
      <c r="L420" s="162">
        <f t="shared" si="71"/>
        <v>0</v>
      </c>
      <c r="M420" s="509">
        <f t="shared" si="71"/>
        <v>0</v>
      </c>
      <c r="N420" s="162">
        <f t="shared" si="71"/>
        <v>0</v>
      </c>
      <c r="O420" s="162">
        <f t="shared" si="71"/>
        <v>0</v>
      </c>
      <c r="P420" s="162">
        <f t="shared" si="71"/>
        <v>0</v>
      </c>
      <c r="Q420" s="162">
        <f t="shared" si="71"/>
        <v>0</v>
      </c>
      <c r="R420" s="509">
        <f t="shared" si="71"/>
        <v>0</v>
      </c>
      <c r="S420" s="162"/>
      <c r="T420" s="162">
        <f t="shared" ref="T420:Z420" si="72">SUM(T399:T419)</f>
        <v>0</v>
      </c>
      <c r="U420" s="162">
        <f t="shared" si="72"/>
        <v>0</v>
      </c>
      <c r="V420" s="162">
        <f t="shared" si="72"/>
        <v>0</v>
      </c>
      <c r="W420" s="162">
        <f t="shared" si="72"/>
        <v>0</v>
      </c>
      <c r="X420" s="164">
        <f t="shared" si="72"/>
        <v>0</v>
      </c>
      <c r="Y420" s="699">
        <f t="shared" si="72"/>
        <v>0</v>
      </c>
      <c r="Z420" s="268">
        <f t="shared" si="72"/>
        <v>0</v>
      </c>
      <c r="AA420" s="354"/>
    </row>
    <row r="421" spans="1:28" ht="9.9499999999999993" hidden="1" customHeight="1" thickTop="1" x14ac:dyDescent="0.2">
      <c r="A421" s="186"/>
      <c r="B421" s="187"/>
      <c r="C421" s="188"/>
      <c r="D421" s="189"/>
      <c r="E421" s="189"/>
      <c r="F421" s="189"/>
      <c r="G421" s="189"/>
      <c r="H421" s="189"/>
      <c r="I421" s="189"/>
      <c r="J421" s="189"/>
      <c r="K421" s="189"/>
      <c r="L421" s="189"/>
      <c r="M421" s="525"/>
      <c r="N421" s="189"/>
      <c r="O421" s="189"/>
      <c r="P421" s="189"/>
      <c r="Q421" s="189"/>
      <c r="R421" s="525"/>
      <c r="S421" s="189"/>
      <c r="T421" s="189"/>
      <c r="U421" s="189"/>
      <c r="V421" s="189"/>
      <c r="W421" s="189"/>
      <c r="X421" s="189"/>
      <c r="Y421" s="525"/>
      <c r="Z421" s="269"/>
      <c r="AA421" s="354"/>
    </row>
    <row r="422" spans="1:28" ht="17.25" hidden="1" customHeight="1" x14ac:dyDescent="0.2">
      <c r="A422" s="191"/>
      <c r="B422" s="192"/>
      <c r="C422" s="200" t="s">
        <v>68</v>
      </c>
      <c r="D422" s="193"/>
      <c r="E422" s="193"/>
      <c r="F422" s="193"/>
      <c r="G422" s="193"/>
      <c r="H422" s="193"/>
      <c r="I422" s="193"/>
      <c r="J422" s="193"/>
      <c r="K422" s="193"/>
      <c r="L422" s="193"/>
      <c r="M422" s="526"/>
      <c r="N422" s="193"/>
      <c r="O422" s="193"/>
      <c r="P422" s="193"/>
      <c r="Q422" s="193"/>
      <c r="R422" s="526">
        <f t="shared" si="70"/>
        <v>0</v>
      </c>
      <c r="S422" s="193"/>
      <c r="T422" s="193"/>
      <c r="U422" s="193"/>
      <c r="V422" s="193"/>
      <c r="W422" s="193"/>
      <c r="X422" s="193">
        <f t="shared" si="68"/>
        <v>0</v>
      </c>
      <c r="Y422" s="526">
        <f t="shared" si="69"/>
        <v>0</v>
      </c>
      <c r="Z422" s="270"/>
      <c r="AA422" s="354"/>
    </row>
    <row r="423" spans="1:28" ht="9.9499999999999993" hidden="1" customHeight="1" thickBot="1" x14ac:dyDescent="0.25">
      <c r="A423" s="195"/>
      <c r="B423" s="196"/>
      <c r="C423" s="197"/>
      <c r="D423" s="198"/>
      <c r="E423" s="198"/>
      <c r="F423" s="198"/>
      <c r="G423" s="198"/>
      <c r="H423" s="198"/>
      <c r="I423" s="198"/>
      <c r="J423" s="198"/>
      <c r="K423" s="198"/>
      <c r="L423" s="198"/>
      <c r="M423" s="527"/>
      <c r="N423" s="198"/>
      <c r="O423" s="198"/>
      <c r="P423" s="198"/>
      <c r="Q423" s="198"/>
      <c r="R423" s="527"/>
      <c r="S423" s="198"/>
      <c r="T423" s="198"/>
      <c r="U423" s="198"/>
      <c r="V423" s="198"/>
      <c r="W423" s="198"/>
      <c r="X423" s="198"/>
      <c r="Y423" s="527"/>
      <c r="Z423" s="271"/>
      <c r="AA423" s="354"/>
    </row>
    <row r="424" spans="1:28" ht="24.75" customHeight="1" thickTop="1" thickBot="1" x14ac:dyDescent="0.25">
      <c r="A424" s="92"/>
      <c r="B424" s="125" t="s">
        <v>594</v>
      </c>
      <c r="C424" s="44" t="s">
        <v>154</v>
      </c>
      <c r="D424" s="571">
        <f t="shared" ref="D424:R424" si="73">D286+D398+D420+D422</f>
        <v>108164.9</v>
      </c>
      <c r="E424" s="571">
        <f t="shared" si="73"/>
        <v>26389.616000000002</v>
      </c>
      <c r="F424" s="571">
        <f t="shared" si="73"/>
        <v>4776121.8180000009</v>
      </c>
      <c r="G424" s="571">
        <f t="shared" si="73"/>
        <v>197740</v>
      </c>
      <c r="H424" s="571">
        <f t="shared" si="73"/>
        <v>150591.49600000001</v>
      </c>
      <c r="I424" s="571">
        <f t="shared" si="73"/>
        <v>70493</v>
      </c>
      <c r="J424" s="571">
        <f t="shared" si="73"/>
        <v>680624.755</v>
      </c>
      <c r="K424" s="571">
        <f t="shared" si="73"/>
        <v>1175180.8630000001</v>
      </c>
      <c r="L424" s="571">
        <f t="shared" si="73"/>
        <v>4667745.6109999996</v>
      </c>
      <c r="M424" s="722">
        <f t="shared" si="73"/>
        <v>43579</v>
      </c>
      <c r="N424" s="571">
        <f t="shared" si="73"/>
        <v>58478</v>
      </c>
      <c r="O424" s="571">
        <f t="shared" si="73"/>
        <v>10000</v>
      </c>
      <c r="P424" s="571">
        <f t="shared" si="73"/>
        <v>0</v>
      </c>
      <c r="Q424" s="571">
        <f t="shared" si="73"/>
        <v>698379</v>
      </c>
      <c r="R424" s="722">
        <f t="shared" si="73"/>
        <v>12663488.059</v>
      </c>
      <c r="S424" s="178"/>
      <c r="T424" s="571">
        <f t="shared" ref="T424:Z424" si="74">T286+T398+T420+T422</f>
        <v>0</v>
      </c>
      <c r="U424" s="571">
        <f t="shared" si="74"/>
        <v>7960052</v>
      </c>
      <c r="V424" s="571">
        <f t="shared" si="74"/>
        <v>109727.535</v>
      </c>
      <c r="W424" s="571">
        <f t="shared" si="74"/>
        <v>0</v>
      </c>
      <c r="X424" s="571">
        <f t="shared" si="74"/>
        <v>8069779.5350000001</v>
      </c>
      <c r="Y424" s="692">
        <f>Y286+Y398+Y420+Y422</f>
        <v>20733267.594000001</v>
      </c>
      <c r="Z424" s="543">
        <f t="shared" si="74"/>
        <v>6871235.534</v>
      </c>
      <c r="AA424" s="356"/>
      <c r="AB424" s="130">
        <f>Y424+Z424</f>
        <v>27604503.127999999</v>
      </c>
    </row>
    <row r="425" spans="1:28" ht="24.95" hidden="1" customHeight="1" thickTop="1" x14ac:dyDescent="0.2">
      <c r="A425" s="546"/>
      <c r="B425" s="546" t="s">
        <v>183</v>
      </c>
      <c r="C425" s="550" t="s">
        <v>18</v>
      </c>
      <c r="D425" s="551">
        <f t="shared" ref="D425:Q425" si="75">D424</f>
        <v>108164.9</v>
      </c>
      <c r="E425" s="551">
        <f t="shared" si="75"/>
        <v>26389.616000000002</v>
      </c>
      <c r="F425" s="551">
        <f t="shared" si="75"/>
        <v>4776121.8180000009</v>
      </c>
      <c r="G425" s="551">
        <f t="shared" si="75"/>
        <v>197740</v>
      </c>
      <c r="H425" s="551">
        <f t="shared" si="75"/>
        <v>150591.49600000001</v>
      </c>
      <c r="I425" s="551">
        <f t="shared" si="75"/>
        <v>70493</v>
      </c>
      <c r="J425" s="551">
        <f t="shared" si="75"/>
        <v>680624.755</v>
      </c>
      <c r="K425" s="551">
        <f t="shared" si="75"/>
        <v>1175180.8630000001</v>
      </c>
      <c r="L425" s="551">
        <f t="shared" si="75"/>
        <v>4667745.6109999996</v>
      </c>
      <c r="M425" s="693">
        <f t="shared" si="75"/>
        <v>43579</v>
      </c>
      <c r="N425" s="551">
        <f t="shared" si="75"/>
        <v>58478</v>
      </c>
      <c r="O425" s="551">
        <f t="shared" si="75"/>
        <v>10000</v>
      </c>
      <c r="P425" s="551">
        <f t="shared" si="75"/>
        <v>0</v>
      </c>
      <c r="Q425" s="551">
        <f t="shared" si="75"/>
        <v>698379</v>
      </c>
      <c r="R425" s="693">
        <f t="shared" si="70"/>
        <v>12663488.059</v>
      </c>
      <c r="S425" s="551"/>
      <c r="T425" s="551">
        <f>T424</f>
        <v>0</v>
      </c>
      <c r="U425" s="551">
        <f>U424</f>
        <v>7960052</v>
      </c>
      <c r="V425" s="551">
        <f>V424</f>
        <v>109727.535</v>
      </c>
      <c r="W425" s="551">
        <f>W424</f>
        <v>0</v>
      </c>
      <c r="X425" s="552">
        <f t="shared" si="68"/>
        <v>8069779.5350000001</v>
      </c>
      <c r="Y425" s="700">
        <f t="shared" si="69"/>
        <v>20733267.594000001</v>
      </c>
      <c r="Z425" s="554">
        <f>Z424</f>
        <v>6871235.534</v>
      </c>
      <c r="AA425" s="346"/>
    </row>
    <row r="426" spans="1:28" ht="20.100000000000001" hidden="1" customHeight="1" x14ac:dyDescent="0.25">
      <c r="A426" s="26">
        <v>1</v>
      </c>
      <c r="B426" s="91"/>
      <c r="C426" s="39"/>
      <c r="D426" s="165"/>
      <c r="E426" s="165"/>
      <c r="F426" s="165"/>
      <c r="G426" s="165"/>
      <c r="H426" s="165"/>
      <c r="I426" s="165"/>
      <c r="J426" s="165"/>
      <c r="K426" s="165"/>
      <c r="L426" s="165"/>
      <c r="M426" s="524"/>
      <c r="N426" s="165"/>
      <c r="O426" s="165"/>
      <c r="P426" s="165"/>
      <c r="Q426" s="165"/>
      <c r="R426" s="524">
        <f t="shared" si="70"/>
        <v>0</v>
      </c>
      <c r="S426" s="165"/>
      <c r="T426" s="165"/>
      <c r="U426" s="165"/>
      <c r="V426" s="165"/>
      <c r="W426" s="165"/>
      <c r="X426" s="166">
        <f t="shared" si="68"/>
        <v>0</v>
      </c>
      <c r="Y426" s="486">
        <f t="shared" si="69"/>
        <v>0</v>
      </c>
      <c r="Z426" s="383"/>
      <c r="AA426" s="353"/>
    </row>
    <row r="427" spans="1:28" ht="20.100000000000001" hidden="1" customHeight="1" x14ac:dyDescent="0.25">
      <c r="A427" s="26">
        <v>2</v>
      </c>
      <c r="B427" s="91"/>
      <c r="C427" s="39"/>
      <c r="D427" s="165"/>
      <c r="E427" s="165"/>
      <c r="F427" s="165"/>
      <c r="G427" s="165"/>
      <c r="H427" s="165"/>
      <c r="I427" s="165"/>
      <c r="J427" s="165"/>
      <c r="K427" s="165"/>
      <c r="L427" s="165"/>
      <c r="M427" s="524"/>
      <c r="N427" s="165"/>
      <c r="O427" s="165"/>
      <c r="P427" s="165"/>
      <c r="Q427" s="165"/>
      <c r="R427" s="524">
        <f t="shared" si="70"/>
        <v>0</v>
      </c>
      <c r="S427" s="165"/>
      <c r="T427" s="165"/>
      <c r="U427" s="165"/>
      <c r="V427" s="165"/>
      <c r="W427" s="165"/>
      <c r="X427" s="166">
        <f t="shared" si="68"/>
        <v>0</v>
      </c>
      <c r="Y427" s="486">
        <f t="shared" si="69"/>
        <v>0</v>
      </c>
      <c r="Z427" s="383"/>
      <c r="AA427" s="353"/>
    </row>
    <row r="428" spans="1:28" ht="20.100000000000001" hidden="1" customHeight="1" x14ac:dyDescent="0.25">
      <c r="A428" s="26">
        <v>3</v>
      </c>
      <c r="B428" s="91"/>
      <c r="C428" s="39"/>
      <c r="D428" s="165"/>
      <c r="E428" s="165"/>
      <c r="F428" s="165"/>
      <c r="G428" s="165"/>
      <c r="H428" s="165"/>
      <c r="I428" s="165"/>
      <c r="J428" s="165"/>
      <c r="K428" s="165"/>
      <c r="L428" s="165"/>
      <c r="M428" s="524"/>
      <c r="N428" s="165"/>
      <c r="O428" s="165"/>
      <c r="P428" s="165"/>
      <c r="Q428" s="165"/>
      <c r="R428" s="524">
        <f t="shared" si="70"/>
        <v>0</v>
      </c>
      <c r="S428" s="165"/>
      <c r="T428" s="165"/>
      <c r="U428" s="165"/>
      <c r="V428" s="165"/>
      <c r="W428" s="165"/>
      <c r="X428" s="166">
        <f t="shared" si="68"/>
        <v>0</v>
      </c>
      <c r="Y428" s="486">
        <f t="shared" si="69"/>
        <v>0</v>
      </c>
      <c r="Z428" s="383"/>
      <c r="AA428" s="353"/>
    </row>
    <row r="429" spans="1:28" ht="20.100000000000001" hidden="1" customHeight="1" x14ac:dyDescent="0.25">
      <c r="A429" s="26">
        <v>4</v>
      </c>
      <c r="B429" s="91"/>
      <c r="C429" s="39"/>
      <c r="D429" s="165"/>
      <c r="E429" s="165"/>
      <c r="F429" s="165"/>
      <c r="G429" s="165"/>
      <c r="H429" s="165"/>
      <c r="I429" s="165"/>
      <c r="J429" s="165"/>
      <c r="K429" s="165"/>
      <c r="L429" s="165"/>
      <c r="M429" s="524"/>
      <c r="N429" s="165"/>
      <c r="O429" s="165"/>
      <c r="P429" s="165"/>
      <c r="Q429" s="165"/>
      <c r="R429" s="524">
        <f>SUM(D429:Q429)</f>
        <v>0</v>
      </c>
      <c r="S429" s="165"/>
      <c r="T429" s="165"/>
      <c r="U429" s="165"/>
      <c r="V429" s="165"/>
      <c r="W429" s="165"/>
      <c r="X429" s="166">
        <f>SUM(T429:W429)</f>
        <v>0</v>
      </c>
      <c r="Y429" s="486">
        <f>R429+X429</f>
        <v>0</v>
      </c>
      <c r="Z429" s="383"/>
      <c r="AA429" s="353"/>
    </row>
    <row r="430" spans="1:28" ht="20.100000000000001" hidden="1" customHeight="1" x14ac:dyDescent="0.2">
      <c r="A430" s="26">
        <v>5</v>
      </c>
      <c r="B430" s="74"/>
      <c r="C430" s="39"/>
      <c r="D430" s="165"/>
      <c r="E430" s="165"/>
      <c r="F430" s="165"/>
      <c r="G430" s="165"/>
      <c r="H430" s="165"/>
      <c r="I430" s="165"/>
      <c r="J430" s="165"/>
      <c r="K430" s="165"/>
      <c r="L430" s="165"/>
      <c r="M430" s="524"/>
      <c r="N430" s="165"/>
      <c r="O430" s="165"/>
      <c r="P430" s="165"/>
      <c r="Q430" s="165"/>
      <c r="R430" s="524">
        <f t="shared" si="70"/>
        <v>0</v>
      </c>
      <c r="S430" s="165"/>
      <c r="T430" s="165"/>
      <c r="U430" s="165"/>
      <c r="V430" s="165"/>
      <c r="W430" s="165"/>
      <c r="X430" s="166">
        <f t="shared" si="68"/>
        <v>0</v>
      </c>
      <c r="Y430" s="486">
        <f t="shared" si="69"/>
        <v>0</v>
      </c>
      <c r="Z430" s="383"/>
      <c r="AA430" s="353"/>
    </row>
    <row r="431" spans="1:28" ht="20.100000000000001" hidden="1" customHeight="1" x14ac:dyDescent="0.25">
      <c r="A431" s="26">
        <v>6</v>
      </c>
      <c r="B431" s="91"/>
      <c r="C431" s="39"/>
      <c r="D431" s="165"/>
      <c r="E431" s="165"/>
      <c r="F431" s="165"/>
      <c r="G431" s="165"/>
      <c r="H431" s="165"/>
      <c r="I431" s="165"/>
      <c r="J431" s="165"/>
      <c r="K431" s="165"/>
      <c r="L431" s="165"/>
      <c r="M431" s="524"/>
      <c r="N431" s="165"/>
      <c r="O431" s="165"/>
      <c r="P431" s="165"/>
      <c r="Q431" s="165"/>
      <c r="R431" s="524">
        <f t="shared" si="70"/>
        <v>0</v>
      </c>
      <c r="S431" s="165"/>
      <c r="T431" s="165"/>
      <c r="U431" s="165"/>
      <c r="V431" s="165"/>
      <c r="W431" s="165"/>
      <c r="X431" s="166">
        <f t="shared" si="68"/>
        <v>0</v>
      </c>
      <c r="Y431" s="486">
        <f t="shared" si="69"/>
        <v>0</v>
      </c>
      <c r="Z431" s="383"/>
      <c r="AA431" s="353"/>
    </row>
    <row r="432" spans="1:28" ht="20.100000000000001" hidden="1" customHeight="1" x14ac:dyDescent="0.25">
      <c r="A432" s="26">
        <v>7</v>
      </c>
      <c r="B432" s="91"/>
      <c r="C432" s="39"/>
      <c r="D432" s="165"/>
      <c r="E432" s="165"/>
      <c r="F432" s="165"/>
      <c r="G432" s="165"/>
      <c r="H432" s="165"/>
      <c r="I432" s="165"/>
      <c r="J432" s="165"/>
      <c r="K432" s="165"/>
      <c r="L432" s="165"/>
      <c r="M432" s="524"/>
      <c r="N432" s="165"/>
      <c r="O432" s="165"/>
      <c r="P432" s="165"/>
      <c r="Q432" s="165"/>
      <c r="R432" s="524">
        <f t="shared" si="70"/>
        <v>0</v>
      </c>
      <c r="S432" s="165"/>
      <c r="T432" s="165"/>
      <c r="U432" s="165"/>
      <c r="V432" s="165"/>
      <c r="W432" s="165"/>
      <c r="X432" s="166">
        <f t="shared" si="68"/>
        <v>0</v>
      </c>
      <c r="Y432" s="486">
        <f t="shared" si="69"/>
        <v>0</v>
      </c>
      <c r="Z432" s="383"/>
      <c r="AA432" s="353"/>
    </row>
    <row r="433" spans="1:42" ht="20.100000000000001" hidden="1" customHeight="1" x14ac:dyDescent="0.25">
      <c r="A433" s="26">
        <v>8</v>
      </c>
      <c r="B433" s="91"/>
      <c r="C433" s="39"/>
      <c r="D433" s="165"/>
      <c r="E433" s="165"/>
      <c r="F433" s="165"/>
      <c r="G433" s="165"/>
      <c r="H433" s="165"/>
      <c r="I433" s="165"/>
      <c r="J433" s="165"/>
      <c r="K433" s="165"/>
      <c r="L433" s="165"/>
      <c r="M433" s="524"/>
      <c r="N433" s="165"/>
      <c r="O433" s="165"/>
      <c r="P433" s="165"/>
      <c r="Q433" s="165"/>
      <c r="R433" s="524">
        <f t="shared" si="70"/>
        <v>0</v>
      </c>
      <c r="S433" s="165"/>
      <c r="T433" s="165"/>
      <c r="U433" s="165"/>
      <c r="V433" s="165"/>
      <c r="W433" s="165"/>
      <c r="X433" s="166">
        <f t="shared" si="68"/>
        <v>0</v>
      </c>
      <c r="Y433" s="486">
        <f t="shared" si="69"/>
        <v>0</v>
      </c>
      <c r="Z433" s="383"/>
      <c r="AA433" s="353"/>
    </row>
    <row r="434" spans="1:42" ht="20.100000000000001" hidden="1" customHeight="1" x14ac:dyDescent="0.25">
      <c r="A434" s="26">
        <v>9</v>
      </c>
      <c r="B434" s="91"/>
      <c r="C434" s="39"/>
      <c r="D434" s="165"/>
      <c r="E434" s="165"/>
      <c r="F434" s="165"/>
      <c r="G434" s="165"/>
      <c r="H434" s="165"/>
      <c r="I434" s="165"/>
      <c r="J434" s="165"/>
      <c r="K434" s="165"/>
      <c r="L434" s="165"/>
      <c r="M434" s="524"/>
      <c r="N434" s="165"/>
      <c r="O434" s="165"/>
      <c r="P434" s="165"/>
      <c r="Q434" s="165"/>
      <c r="R434" s="524">
        <f t="shared" si="70"/>
        <v>0</v>
      </c>
      <c r="S434" s="165"/>
      <c r="T434" s="165"/>
      <c r="U434" s="165"/>
      <c r="V434" s="165"/>
      <c r="W434" s="165"/>
      <c r="X434" s="166">
        <f t="shared" si="68"/>
        <v>0</v>
      </c>
      <c r="Y434" s="486">
        <f t="shared" si="69"/>
        <v>0</v>
      </c>
      <c r="Z434" s="383"/>
      <c r="AA434" s="353"/>
    </row>
    <row r="435" spans="1:42" ht="20.100000000000001" hidden="1" customHeight="1" x14ac:dyDescent="0.25">
      <c r="A435" s="26">
        <v>10</v>
      </c>
      <c r="B435" s="91"/>
      <c r="C435" s="39"/>
      <c r="D435" s="165"/>
      <c r="E435" s="165"/>
      <c r="F435" s="165"/>
      <c r="G435" s="165"/>
      <c r="H435" s="165"/>
      <c r="I435" s="165"/>
      <c r="J435" s="165"/>
      <c r="K435" s="165"/>
      <c r="L435" s="165"/>
      <c r="M435" s="524"/>
      <c r="N435" s="165"/>
      <c r="O435" s="165"/>
      <c r="P435" s="165"/>
      <c r="Q435" s="165"/>
      <c r="R435" s="524">
        <f t="shared" si="70"/>
        <v>0</v>
      </c>
      <c r="S435" s="165"/>
      <c r="T435" s="165"/>
      <c r="U435" s="165"/>
      <c r="V435" s="165"/>
      <c r="W435" s="165"/>
      <c r="X435" s="166">
        <f t="shared" si="68"/>
        <v>0</v>
      </c>
      <c r="Y435" s="486">
        <f t="shared" si="69"/>
        <v>0</v>
      </c>
      <c r="Z435" s="383"/>
      <c r="AA435" s="353"/>
    </row>
    <row r="436" spans="1:42" ht="20.100000000000001" hidden="1" customHeight="1" x14ac:dyDescent="0.25">
      <c r="A436" s="26">
        <v>11</v>
      </c>
      <c r="B436" s="91"/>
      <c r="C436" s="39"/>
      <c r="D436" s="165"/>
      <c r="E436" s="165"/>
      <c r="F436" s="165"/>
      <c r="G436" s="165"/>
      <c r="H436" s="165"/>
      <c r="I436" s="165"/>
      <c r="J436" s="165"/>
      <c r="K436" s="165"/>
      <c r="L436" s="165"/>
      <c r="M436" s="524"/>
      <c r="N436" s="165"/>
      <c r="O436" s="165"/>
      <c r="P436" s="165"/>
      <c r="Q436" s="165"/>
      <c r="R436" s="524">
        <f t="shared" si="70"/>
        <v>0</v>
      </c>
      <c r="S436" s="165"/>
      <c r="T436" s="165"/>
      <c r="U436" s="165"/>
      <c r="V436" s="165"/>
      <c r="W436" s="165"/>
      <c r="X436" s="166">
        <f t="shared" si="68"/>
        <v>0</v>
      </c>
      <c r="Y436" s="486">
        <f t="shared" si="69"/>
        <v>0</v>
      </c>
      <c r="Z436" s="383"/>
      <c r="AA436" s="353"/>
    </row>
    <row r="437" spans="1:42" ht="20.100000000000001" hidden="1" customHeight="1" x14ac:dyDescent="0.25">
      <c r="A437" s="26">
        <v>12</v>
      </c>
      <c r="B437" s="91"/>
      <c r="C437" s="39"/>
      <c r="D437" s="165"/>
      <c r="E437" s="165"/>
      <c r="F437" s="165"/>
      <c r="G437" s="165"/>
      <c r="H437" s="165"/>
      <c r="I437" s="165"/>
      <c r="J437" s="165"/>
      <c r="K437" s="165"/>
      <c r="L437" s="165"/>
      <c r="M437" s="524"/>
      <c r="N437" s="165"/>
      <c r="O437" s="165"/>
      <c r="P437" s="165"/>
      <c r="Q437" s="165"/>
      <c r="R437" s="524">
        <f t="shared" si="70"/>
        <v>0</v>
      </c>
      <c r="S437" s="165"/>
      <c r="T437" s="165"/>
      <c r="U437" s="165"/>
      <c r="V437" s="165"/>
      <c r="W437" s="165"/>
      <c r="X437" s="166">
        <f t="shared" si="68"/>
        <v>0</v>
      </c>
      <c r="Y437" s="486">
        <f t="shared" si="69"/>
        <v>0</v>
      </c>
      <c r="Z437" s="383"/>
      <c r="AA437" s="353"/>
    </row>
    <row r="438" spans="1:42" ht="20.100000000000001" hidden="1" customHeight="1" x14ac:dyDescent="0.25">
      <c r="A438" s="26">
        <v>13</v>
      </c>
      <c r="B438" s="91"/>
      <c r="C438" s="39"/>
      <c r="D438" s="165"/>
      <c r="E438" s="165"/>
      <c r="F438" s="165"/>
      <c r="G438" s="165"/>
      <c r="H438" s="165"/>
      <c r="I438" s="165"/>
      <c r="J438" s="165"/>
      <c r="K438" s="165"/>
      <c r="L438" s="165"/>
      <c r="M438" s="524"/>
      <c r="N438" s="165"/>
      <c r="O438" s="165"/>
      <c r="P438" s="165"/>
      <c r="Q438" s="165"/>
      <c r="R438" s="524">
        <f t="shared" si="70"/>
        <v>0</v>
      </c>
      <c r="S438" s="165"/>
      <c r="T438" s="165"/>
      <c r="U438" s="165"/>
      <c r="V438" s="165"/>
      <c r="W438" s="165"/>
      <c r="X438" s="166">
        <f t="shared" si="68"/>
        <v>0</v>
      </c>
      <c r="Y438" s="486">
        <f t="shared" si="69"/>
        <v>0</v>
      </c>
      <c r="Z438" s="383"/>
      <c r="AA438" s="353"/>
    </row>
    <row r="439" spans="1:42" ht="20.100000000000001" hidden="1" customHeight="1" x14ac:dyDescent="0.25">
      <c r="A439" s="26">
        <v>14</v>
      </c>
      <c r="B439" s="91"/>
      <c r="C439" s="39"/>
      <c r="D439" s="165"/>
      <c r="E439" s="165"/>
      <c r="F439" s="165"/>
      <c r="G439" s="165"/>
      <c r="H439" s="165"/>
      <c r="I439" s="165"/>
      <c r="J439" s="165"/>
      <c r="K439" s="165"/>
      <c r="L439" s="165"/>
      <c r="M439" s="524"/>
      <c r="N439" s="165"/>
      <c r="O439" s="165"/>
      <c r="P439" s="165"/>
      <c r="Q439" s="165"/>
      <c r="R439" s="524">
        <f t="shared" si="70"/>
        <v>0</v>
      </c>
      <c r="S439" s="165"/>
      <c r="T439" s="165"/>
      <c r="U439" s="165"/>
      <c r="V439" s="165"/>
      <c r="W439" s="165"/>
      <c r="X439" s="166">
        <f t="shared" si="68"/>
        <v>0</v>
      </c>
      <c r="Y439" s="486">
        <f t="shared" si="69"/>
        <v>0</v>
      </c>
      <c r="Z439" s="383"/>
      <c r="AA439" s="353"/>
    </row>
    <row r="440" spans="1:42" ht="20.100000000000001" hidden="1" customHeight="1" x14ac:dyDescent="0.25">
      <c r="A440" s="26">
        <v>15</v>
      </c>
      <c r="B440" s="91"/>
      <c r="C440" s="39"/>
      <c r="D440" s="165"/>
      <c r="E440" s="165"/>
      <c r="F440" s="165"/>
      <c r="G440" s="165"/>
      <c r="H440" s="165"/>
      <c r="I440" s="165"/>
      <c r="J440" s="165"/>
      <c r="K440" s="165"/>
      <c r="L440" s="165"/>
      <c r="M440" s="524"/>
      <c r="N440" s="165"/>
      <c r="O440" s="165"/>
      <c r="P440" s="165"/>
      <c r="Q440" s="165"/>
      <c r="R440" s="524">
        <f t="shared" si="70"/>
        <v>0</v>
      </c>
      <c r="S440" s="165"/>
      <c r="T440" s="165"/>
      <c r="U440" s="165"/>
      <c r="V440" s="165"/>
      <c r="W440" s="165"/>
      <c r="X440" s="166">
        <f t="shared" si="68"/>
        <v>0</v>
      </c>
      <c r="Y440" s="486">
        <f t="shared" si="69"/>
        <v>0</v>
      </c>
      <c r="Z440" s="383"/>
      <c r="AA440" s="353"/>
    </row>
    <row r="441" spans="1:42" ht="20.100000000000001" hidden="1" customHeight="1" x14ac:dyDescent="0.25">
      <c r="A441" s="26">
        <v>16</v>
      </c>
      <c r="B441" s="555"/>
      <c r="C441" s="39"/>
      <c r="D441" s="165"/>
      <c r="E441" s="165"/>
      <c r="F441" s="165"/>
      <c r="G441" s="165"/>
      <c r="H441" s="165"/>
      <c r="I441" s="165"/>
      <c r="J441" s="165"/>
      <c r="K441" s="165"/>
      <c r="L441" s="165"/>
      <c r="M441" s="524"/>
      <c r="N441" s="165"/>
      <c r="O441" s="165"/>
      <c r="P441" s="165"/>
      <c r="Q441" s="165"/>
      <c r="R441" s="524">
        <f t="shared" si="70"/>
        <v>0</v>
      </c>
      <c r="S441" s="165"/>
      <c r="T441" s="165"/>
      <c r="U441" s="165"/>
      <c r="V441" s="165"/>
      <c r="W441" s="165"/>
      <c r="X441" s="166">
        <f t="shared" si="68"/>
        <v>0</v>
      </c>
      <c r="Y441" s="486">
        <f t="shared" si="69"/>
        <v>0</v>
      </c>
      <c r="Z441" s="383"/>
      <c r="AA441" s="353"/>
    </row>
    <row r="442" spans="1:42" s="530" customFormat="1" ht="20.100000000000001" hidden="1" customHeight="1" x14ac:dyDescent="0.25">
      <c r="A442" s="26">
        <v>17</v>
      </c>
      <c r="B442" s="555"/>
      <c r="C442" s="39"/>
      <c r="D442" s="524"/>
      <c r="E442" s="524"/>
      <c r="F442" s="524"/>
      <c r="G442" s="524"/>
      <c r="H442" s="524"/>
      <c r="I442" s="524"/>
      <c r="J442" s="524"/>
      <c r="K442" s="524"/>
      <c r="L442" s="524"/>
      <c r="M442" s="524"/>
      <c r="N442" s="524"/>
      <c r="O442" s="524"/>
      <c r="P442" s="524"/>
      <c r="Q442" s="524"/>
      <c r="R442" s="524">
        <f t="shared" si="70"/>
        <v>0</v>
      </c>
      <c r="S442" s="524"/>
      <c r="T442" s="524"/>
      <c r="U442" s="524"/>
      <c r="V442" s="524"/>
      <c r="W442" s="524"/>
      <c r="X442" s="166">
        <f t="shared" si="68"/>
        <v>0</v>
      </c>
      <c r="Y442" s="486">
        <f t="shared" si="69"/>
        <v>0</v>
      </c>
      <c r="Z442" s="556"/>
      <c r="AA442" s="557"/>
      <c r="AB442" s="540"/>
      <c r="AC442" s="540"/>
      <c r="AD442" s="540"/>
      <c r="AE442" s="540"/>
      <c r="AF442" s="540"/>
      <c r="AG442" s="540"/>
      <c r="AH442" s="540"/>
      <c r="AI442" s="540"/>
      <c r="AJ442" s="540"/>
      <c r="AK442" s="540"/>
      <c r="AL442" s="540"/>
      <c r="AM442" s="540"/>
      <c r="AN442" s="540"/>
      <c r="AO442" s="540"/>
      <c r="AP442" s="540"/>
    </row>
    <row r="443" spans="1:42" s="530" customFormat="1" ht="20.100000000000001" hidden="1" customHeight="1" x14ac:dyDescent="0.25">
      <c r="A443" s="26">
        <v>18</v>
      </c>
      <c r="B443" s="555"/>
      <c r="C443" s="39"/>
      <c r="D443" s="524"/>
      <c r="E443" s="524"/>
      <c r="F443" s="524"/>
      <c r="G443" s="524"/>
      <c r="H443" s="524"/>
      <c r="I443" s="524"/>
      <c r="J443" s="524"/>
      <c r="K443" s="524"/>
      <c r="L443" s="524"/>
      <c r="M443" s="524"/>
      <c r="N443" s="524"/>
      <c r="O443" s="524"/>
      <c r="P443" s="524"/>
      <c r="Q443" s="524"/>
      <c r="R443" s="524">
        <f t="shared" si="70"/>
        <v>0</v>
      </c>
      <c r="S443" s="524"/>
      <c r="T443" s="524"/>
      <c r="U443" s="524"/>
      <c r="V443" s="524"/>
      <c r="W443" s="524"/>
      <c r="X443" s="166">
        <f t="shared" si="68"/>
        <v>0</v>
      </c>
      <c r="Y443" s="486">
        <f t="shared" si="69"/>
        <v>0</v>
      </c>
      <c r="Z443" s="556"/>
      <c r="AA443" s="557"/>
      <c r="AB443" s="540"/>
      <c r="AC443" s="540"/>
      <c r="AD443" s="540"/>
      <c r="AE443" s="540"/>
      <c r="AF443" s="540"/>
      <c r="AG443" s="540"/>
      <c r="AH443" s="540"/>
      <c r="AI443" s="540"/>
      <c r="AJ443" s="540"/>
      <c r="AK443" s="540"/>
      <c r="AL443" s="540"/>
      <c r="AM443" s="540"/>
      <c r="AN443" s="540"/>
      <c r="AO443" s="540"/>
      <c r="AP443" s="540"/>
    </row>
    <row r="444" spans="1:42" ht="20.100000000000001" hidden="1" customHeight="1" x14ac:dyDescent="0.25">
      <c r="A444" s="26">
        <v>19</v>
      </c>
      <c r="B444" s="91"/>
      <c r="C444" s="39"/>
      <c r="D444" s="165"/>
      <c r="E444" s="165"/>
      <c r="F444" s="165"/>
      <c r="G444" s="165"/>
      <c r="H444" s="165"/>
      <c r="I444" s="165"/>
      <c r="J444" s="165"/>
      <c r="K444" s="165"/>
      <c r="L444" s="165"/>
      <c r="M444" s="524"/>
      <c r="N444" s="165"/>
      <c r="O444" s="165"/>
      <c r="P444" s="165"/>
      <c r="Q444" s="165"/>
      <c r="R444" s="524">
        <f t="shared" si="70"/>
        <v>0</v>
      </c>
      <c r="S444" s="165"/>
      <c r="T444" s="165"/>
      <c r="U444" s="165"/>
      <c r="V444" s="165"/>
      <c r="W444" s="165"/>
      <c r="X444" s="166">
        <f t="shared" si="68"/>
        <v>0</v>
      </c>
      <c r="Y444" s="486">
        <f t="shared" si="69"/>
        <v>0</v>
      </c>
      <c r="Z444" s="383"/>
      <c r="AA444" s="353"/>
    </row>
    <row r="445" spans="1:42" ht="20.100000000000001" hidden="1" customHeight="1" x14ac:dyDescent="0.2">
      <c r="A445" s="26">
        <v>20</v>
      </c>
      <c r="B445" s="74"/>
      <c r="C445" s="39"/>
      <c r="D445" s="165"/>
      <c r="E445" s="165"/>
      <c r="F445" s="165"/>
      <c r="G445" s="165"/>
      <c r="H445" s="165"/>
      <c r="I445" s="165"/>
      <c r="J445" s="165"/>
      <c r="K445" s="165"/>
      <c r="L445" s="165"/>
      <c r="M445" s="524"/>
      <c r="N445" s="165"/>
      <c r="O445" s="165"/>
      <c r="P445" s="165"/>
      <c r="Q445" s="165"/>
      <c r="R445" s="524">
        <f t="shared" si="70"/>
        <v>0</v>
      </c>
      <c r="S445" s="165"/>
      <c r="T445" s="165"/>
      <c r="U445" s="165"/>
      <c r="V445" s="165"/>
      <c r="W445" s="165"/>
      <c r="X445" s="166">
        <f t="shared" si="68"/>
        <v>0</v>
      </c>
      <c r="Y445" s="486">
        <f t="shared" si="69"/>
        <v>0</v>
      </c>
      <c r="Z445" s="383"/>
      <c r="AA445" s="353"/>
    </row>
    <row r="446" spans="1:42" ht="20.100000000000001" hidden="1" customHeight="1" x14ac:dyDescent="0.2">
      <c r="A446" s="26">
        <v>21</v>
      </c>
      <c r="B446" s="74"/>
      <c r="C446" s="39"/>
      <c r="D446" s="165"/>
      <c r="E446" s="165"/>
      <c r="F446" s="165"/>
      <c r="G446" s="165"/>
      <c r="H446" s="165"/>
      <c r="I446" s="165"/>
      <c r="J446" s="165"/>
      <c r="K446" s="165"/>
      <c r="L446" s="165"/>
      <c r="M446" s="524"/>
      <c r="N446" s="165"/>
      <c r="O446" s="165"/>
      <c r="P446" s="165"/>
      <c r="Q446" s="165"/>
      <c r="R446" s="524">
        <f t="shared" si="70"/>
        <v>0</v>
      </c>
      <c r="S446" s="165"/>
      <c r="T446" s="165"/>
      <c r="U446" s="165"/>
      <c r="V446" s="165"/>
      <c r="W446" s="165"/>
      <c r="X446" s="166">
        <f t="shared" si="68"/>
        <v>0</v>
      </c>
      <c r="Y446" s="486">
        <f t="shared" si="69"/>
        <v>0</v>
      </c>
      <c r="Z446" s="383"/>
      <c r="AA446" s="353"/>
    </row>
    <row r="447" spans="1:42" ht="20.100000000000001" hidden="1" customHeight="1" x14ac:dyDescent="0.2">
      <c r="A447" s="26">
        <v>22</v>
      </c>
      <c r="B447" s="74"/>
      <c r="C447" s="39"/>
      <c r="D447" s="165"/>
      <c r="E447" s="165"/>
      <c r="F447" s="165"/>
      <c r="G447" s="165"/>
      <c r="H447" s="165"/>
      <c r="I447" s="165"/>
      <c r="J447" s="165"/>
      <c r="K447" s="165"/>
      <c r="L447" s="165"/>
      <c r="M447" s="524"/>
      <c r="N447" s="165"/>
      <c r="O447" s="165"/>
      <c r="P447" s="165"/>
      <c r="Q447" s="165"/>
      <c r="R447" s="524">
        <f t="shared" si="70"/>
        <v>0</v>
      </c>
      <c r="S447" s="165"/>
      <c r="T447" s="165"/>
      <c r="U447" s="165"/>
      <c r="V447" s="165"/>
      <c r="W447" s="165"/>
      <c r="X447" s="166">
        <f t="shared" si="68"/>
        <v>0</v>
      </c>
      <c r="Y447" s="486">
        <f t="shared" si="69"/>
        <v>0</v>
      </c>
      <c r="Z447" s="383"/>
      <c r="AA447" s="353"/>
    </row>
    <row r="448" spans="1:42" ht="20.100000000000001" hidden="1" customHeight="1" x14ac:dyDescent="0.2">
      <c r="A448" s="26">
        <v>23</v>
      </c>
      <c r="B448" s="74"/>
      <c r="C448" s="39"/>
      <c r="D448" s="165"/>
      <c r="E448" s="165"/>
      <c r="F448" s="165"/>
      <c r="G448" s="165"/>
      <c r="H448" s="165"/>
      <c r="I448" s="165"/>
      <c r="J448" s="165"/>
      <c r="K448" s="165"/>
      <c r="L448" s="165"/>
      <c r="M448" s="524"/>
      <c r="N448" s="165"/>
      <c r="O448" s="165"/>
      <c r="P448" s="165"/>
      <c r="Q448" s="165"/>
      <c r="R448" s="524">
        <f t="shared" si="70"/>
        <v>0</v>
      </c>
      <c r="S448" s="165"/>
      <c r="T448" s="165"/>
      <c r="U448" s="165"/>
      <c r="V448" s="165"/>
      <c r="W448" s="165"/>
      <c r="X448" s="166">
        <f t="shared" si="68"/>
        <v>0</v>
      </c>
      <c r="Y448" s="486">
        <f t="shared" si="69"/>
        <v>0</v>
      </c>
      <c r="Z448" s="383"/>
      <c r="AA448" s="353"/>
    </row>
    <row r="449" spans="1:27" ht="20.100000000000001" hidden="1" customHeight="1" x14ac:dyDescent="0.2">
      <c r="A449" s="26">
        <v>24</v>
      </c>
      <c r="B449" s="74"/>
      <c r="C449" s="39"/>
      <c r="D449" s="165"/>
      <c r="E449" s="165"/>
      <c r="F449" s="165"/>
      <c r="G449" s="165"/>
      <c r="H449" s="165"/>
      <c r="I449" s="165"/>
      <c r="J449" s="165"/>
      <c r="K449" s="165"/>
      <c r="L449" s="165"/>
      <c r="M449" s="524"/>
      <c r="N449" s="165"/>
      <c r="O449" s="165"/>
      <c r="P449" s="165"/>
      <c r="Q449" s="165"/>
      <c r="R449" s="524">
        <f t="shared" si="70"/>
        <v>0</v>
      </c>
      <c r="S449" s="165"/>
      <c r="T449" s="165"/>
      <c r="U449" s="165"/>
      <c r="V449" s="165"/>
      <c r="W449" s="165"/>
      <c r="X449" s="166">
        <f t="shared" si="68"/>
        <v>0</v>
      </c>
      <c r="Y449" s="486">
        <f t="shared" si="69"/>
        <v>0</v>
      </c>
      <c r="Z449" s="383"/>
      <c r="AA449" s="353"/>
    </row>
    <row r="450" spans="1:27" ht="20.100000000000001" hidden="1" customHeight="1" x14ac:dyDescent="0.2">
      <c r="A450" s="26">
        <v>25</v>
      </c>
      <c r="B450" s="74"/>
      <c r="C450" s="39"/>
      <c r="D450" s="165"/>
      <c r="E450" s="165"/>
      <c r="F450" s="165"/>
      <c r="G450" s="165"/>
      <c r="H450" s="165"/>
      <c r="I450" s="165"/>
      <c r="J450" s="165"/>
      <c r="K450" s="165"/>
      <c r="L450" s="165"/>
      <c r="M450" s="524"/>
      <c r="N450" s="165"/>
      <c r="O450" s="165"/>
      <c r="P450" s="165"/>
      <c r="Q450" s="165"/>
      <c r="R450" s="524">
        <f t="shared" si="70"/>
        <v>0</v>
      </c>
      <c r="S450" s="165"/>
      <c r="T450" s="165"/>
      <c r="U450" s="165"/>
      <c r="V450" s="165"/>
      <c r="W450" s="165"/>
      <c r="X450" s="166">
        <f t="shared" si="68"/>
        <v>0</v>
      </c>
      <c r="Y450" s="486">
        <f t="shared" si="69"/>
        <v>0</v>
      </c>
      <c r="Z450" s="383"/>
      <c r="AA450" s="353"/>
    </row>
    <row r="451" spans="1:27" ht="20.100000000000001" hidden="1" customHeight="1" x14ac:dyDescent="0.2">
      <c r="A451" s="26">
        <v>26</v>
      </c>
      <c r="B451" s="74"/>
      <c r="C451" s="39"/>
      <c r="D451" s="165"/>
      <c r="E451" s="165"/>
      <c r="F451" s="165"/>
      <c r="G451" s="165"/>
      <c r="H451" s="165"/>
      <c r="I451" s="165"/>
      <c r="J451" s="165"/>
      <c r="K451" s="165"/>
      <c r="L451" s="165"/>
      <c r="M451" s="524"/>
      <c r="N451" s="165"/>
      <c r="O451" s="165"/>
      <c r="P451" s="165"/>
      <c r="Q451" s="165"/>
      <c r="R451" s="524">
        <f t="shared" si="70"/>
        <v>0</v>
      </c>
      <c r="S451" s="165"/>
      <c r="T451" s="165"/>
      <c r="U451" s="165"/>
      <c r="V451" s="165"/>
      <c r="W451" s="165"/>
      <c r="X451" s="166">
        <f t="shared" si="68"/>
        <v>0</v>
      </c>
      <c r="Y451" s="486">
        <f t="shared" si="69"/>
        <v>0</v>
      </c>
      <c r="Z451" s="383"/>
      <c r="AA451" s="353"/>
    </row>
    <row r="452" spans="1:27" ht="20.100000000000001" hidden="1" customHeight="1" x14ac:dyDescent="0.2">
      <c r="A452" s="26">
        <v>27</v>
      </c>
      <c r="B452" s="74"/>
      <c r="C452" s="39"/>
      <c r="D452" s="165"/>
      <c r="E452" s="165"/>
      <c r="F452" s="165"/>
      <c r="G452" s="165"/>
      <c r="H452" s="165"/>
      <c r="I452" s="165"/>
      <c r="J452" s="165"/>
      <c r="K452" s="165"/>
      <c r="L452" s="165"/>
      <c r="M452" s="524"/>
      <c r="N452" s="165"/>
      <c r="O452" s="165"/>
      <c r="P452" s="165"/>
      <c r="Q452" s="165"/>
      <c r="R452" s="524">
        <f t="shared" si="70"/>
        <v>0</v>
      </c>
      <c r="S452" s="165"/>
      <c r="T452" s="165"/>
      <c r="U452" s="165"/>
      <c r="V452" s="165"/>
      <c r="W452" s="165"/>
      <c r="X452" s="166">
        <f t="shared" si="68"/>
        <v>0</v>
      </c>
      <c r="Y452" s="486">
        <f t="shared" si="69"/>
        <v>0</v>
      </c>
      <c r="Z452" s="383"/>
      <c r="AA452" s="353"/>
    </row>
    <row r="453" spans="1:27" ht="20.100000000000001" hidden="1" customHeight="1" x14ac:dyDescent="0.2">
      <c r="A453" s="26">
        <v>28</v>
      </c>
      <c r="B453" s="74"/>
      <c r="C453" s="39"/>
      <c r="D453" s="165"/>
      <c r="E453" s="165"/>
      <c r="F453" s="165"/>
      <c r="G453" s="165"/>
      <c r="H453" s="165"/>
      <c r="I453" s="165"/>
      <c r="J453" s="165"/>
      <c r="K453" s="165"/>
      <c r="L453" s="165"/>
      <c r="M453" s="524"/>
      <c r="N453" s="165"/>
      <c r="O453" s="165"/>
      <c r="P453" s="165"/>
      <c r="Q453" s="165"/>
      <c r="R453" s="524">
        <f t="shared" si="70"/>
        <v>0</v>
      </c>
      <c r="S453" s="165"/>
      <c r="T453" s="165"/>
      <c r="U453" s="165"/>
      <c r="V453" s="165"/>
      <c r="W453" s="165"/>
      <c r="X453" s="166">
        <f t="shared" si="68"/>
        <v>0</v>
      </c>
      <c r="Y453" s="486">
        <f t="shared" si="69"/>
        <v>0</v>
      </c>
      <c r="Z453" s="383"/>
      <c r="AA453" s="353"/>
    </row>
    <row r="454" spans="1:27" ht="20.100000000000001" hidden="1" customHeight="1" x14ac:dyDescent="0.2">
      <c r="A454" s="586">
        <v>29</v>
      </c>
      <c r="B454" s="289"/>
      <c r="C454" s="39"/>
      <c r="D454" s="165"/>
      <c r="E454" s="165"/>
      <c r="F454" s="165"/>
      <c r="G454" s="165"/>
      <c r="H454" s="165"/>
      <c r="I454" s="165"/>
      <c r="J454" s="165"/>
      <c r="K454" s="165"/>
      <c r="L454" s="165"/>
      <c r="M454" s="524"/>
      <c r="N454" s="165"/>
      <c r="O454" s="165"/>
      <c r="P454" s="165"/>
      <c r="Q454" s="165"/>
      <c r="R454" s="524">
        <f t="shared" si="70"/>
        <v>0</v>
      </c>
      <c r="S454" s="165"/>
      <c r="T454" s="165"/>
      <c r="U454" s="165"/>
      <c r="V454" s="165"/>
      <c r="W454" s="165"/>
      <c r="X454" s="166">
        <f t="shared" si="68"/>
        <v>0</v>
      </c>
      <c r="Y454" s="486">
        <f t="shared" si="69"/>
        <v>0</v>
      </c>
      <c r="Z454" s="383"/>
      <c r="AA454" s="353"/>
    </row>
    <row r="455" spans="1:27" ht="20.100000000000001" hidden="1" customHeight="1" x14ac:dyDescent="0.2">
      <c r="A455" s="26"/>
      <c r="B455" s="74"/>
      <c r="C455" s="39"/>
      <c r="D455" s="165"/>
      <c r="E455" s="165"/>
      <c r="F455" s="165"/>
      <c r="G455" s="165"/>
      <c r="H455" s="165"/>
      <c r="I455" s="165"/>
      <c r="J455" s="165"/>
      <c r="K455" s="165"/>
      <c r="L455" s="165"/>
      <c r="M455" s="524"/>
      <c r="N455" s="165"/>
      <c r="O455" s="165"/>
      <c r="P455" s="165"/>
      <c r="Q455" s="165"/>
      <c r="R455" s="524">
        <f t="shared" si="70"/>
        <v>0</v>
      </c>
      <c r="S455" s="165"/>
      <c r="T455" s="165"/>
      <c r="U455" s="165"/>
      <c r="V455" s="165"/>
      <c r="W455" s="165"/>
      <c r="X455" s="166">
        <f t="shared" si="68"/>
        <v>0</v>
      </c>
      <c r="Y455" s="486">
        <f t="shared" si="69"/>
        <v>0</v>
      </c>
      <c r="Z455" s="383"/>
      <c r="AA455" s="353"/>
    </row>
    <row r="456" spans="1:27" ht="20.100000000000001" hidden="1" customHeight="1" x14ac:dyDescent="0.2">
      <c r="A456" s="26"/>
      <c r="B456" s="74"/>
      <c r="C456" s="39"/>
      <c r="D456" s="165"/>
      <c r="E456" s="165"/>
      <c r="F456" s="165"/>
      <c r="G456" s="165"/>
      <c r="H456" s="165"/>
      <c r="I456" s="165"/>
      <c r="J456" s="165"/>
      <c r="K456" s="165"/>
      <c r="L456" s="165"/>
      <c r="M456" s="524"/>
      <c r="N456" s="165"/>
      <c r="O456" s="165"/>
      <c r="P456" s="165"/>
      <c r="Q456" s="165"/>
      <c r="R456" s="524">
        <f t="shared" si="70"/>
        <v>0</v>
      </c>
      <c r="S456" s="165"/>
      <c r="T456" s="165"/>
      <c r="U456" s="165"/>
      <c r="V456" s="165"/>
      <c r="W456" s="165"/>
      <c r="X456" s="166">
        <f t="shared" si="68"/>
        <v>0</v>
      </c>
      <c r="Y456" s="486">
        <f t="shared" si="69"/>
        <v>0</v>
      </c>
      <c r="Z456" s="383"/>
      <c r="AA456" s="353"/>
    </row>
    <row r="457" spans="1:27" ht="20.100000000000001" hidden="1" customHeight="1" x14ac:dyDescent="0.2">
      <c r="A457" s="26"/>
      <c r="B457" s="74"/>
      <c r="C457" s="39"/>
      <c r="D457" s="165"/>
      <c r="E457" s="165"/>
      <c r="F457" s="165"/>
      <c r="G457" s="165"/>
      <c r="H457" s="165"/>
      <c r="I457" s="165"/>
      <c r="J457" s="165"/>
      <c r="K457" s="165"/>
      <c r="L457" s="165"/>
      <c r="M457" s="524"/>
      <c r="N457" s="165"/>
      <c r="O457" s="165"/>
      <c r="P457" s="165"/>
      <c r="Q457" s="165"/>
      <c r="R457" s="524">
        <f t="shared" si="70"/>
        <v>0</v>
      </c>
      <c r="S457" s="165"/>
      <c r="T457" s="165"/>
      <c r="U457" s="165"/>
      <c r="V457" s="165"/>
      <c r="W457" s="165"/>
      <c r="X457" s="166">
        <f t="shared" si="68"/>
        <v>0</v>
      </c>
      <c r="Y457" s="486">
        <f t="shared" si="69"/>
        <v>0</v>
      </c>
      <c r="Z457" s="383"/>
      <c r="AA457" s="353"/>
    </row>
    <row r="458" spans="1:27" ht="20.100000000000001" hidden="1" customHeight="1" x14ac:dyDescent="0.2">
      <c r="A458" s="26"/>
      <c r="B458" s="74"/>
      <c r="C458" s="39"/>
      <c r="D458" s="165"/>
      <c r="E458" s="165"/>
      <c r="F458" s="165"/>
      <c r="G458" s="165"/>
      <c r="H458" s="165"/>
      <c r="I458" s="165"/>
      <c r="J458" s="165"/>
      <c r="K458" s="165"/>
      <c r="L458" s="165"/>
      <c r="M458" s="524"/>
      <c r="N458" s="165"/>
      <c r="O458" s="165"/>
      <c r="P458" s="165"/>
      <c r="Q458" s="165"/>
      <c r="R458" s="524">
        <f t="shared" si="70"/>
        <v>0</v>
      </c>
      <c r="S458" s="165"/>
      <c r="T458" s="165"/>
      <c r="U458" s="165"/>
      <c r="V458" s="165"/>
      <c r="W458" s="165"/>
      <c r="X458" s="166">
        <f t="shared" si="68"/>
        <v>0</v>
      </c>
      <c r="Y458" s="486">
        <f t="shared" si="69"/>
        <v>0</v>
      </c>
      <c r="Z458" s="383"/>
      <c r="AA458" s="353"/>
    </row>
    <row r="459" spans="1:27" ht="20.100000000000001" hidden="1" customHeight="1" x14ac:dyDescent="0.2">
      <c r="A459" s="26"/>
      <c r="B459" s="74"/>
      <c r="C459" s="39"/>
      <c r="D459" s="165"/>
      <c r="E459" s="165"/>
      <c r="F459" s="165"/>
      <c r="G459" s="165"/>
      <c r="H459" s="165"/>
      <c r="I459" s="165"/>
      <c r="J459" s="165"/>
      <c r="K459" s="165"/>
      <c r="L459" s="165"/>
      <c r="M459" s="524"/>
      <c r="N459" s="165"/>
      <c r="O459" s="165"/>
      <c r="P459" s="165"/>
      <c r="Q459" s="165"/>
      <c r="R459" s="524">
        <f t="shared" si="70"/>
        <v>0</v>
      </c>
      <c r="S459" s="165"/>
      <c r="T459" s="165"/>
      <c r="U459" s="165"/>
      <c r="V459" s="165"/>
      <c r="W459" s="165"/>
      <c r="X459" s="166">
        <f t="shared" si="68"/>
        <v>0</v>
      </c>
      <c r="Y459" s="486">
        <f t="shared" si="69"/>
        <v>0</v>
      </c>
      <c r="Z459" s="383"/>
      <c r="AA459" s="353"/>
    </row>
    <row r="460" spans="1:27" ht="20.100000000000001" hidden="1" customHeight="1" x14ac:dyDescent="0.2">
      <c r="A460" s="26"/>
      <c r="B460" s="74"/>
      <c r="C460" s="39"/>
      <c r="D460" s="165"/>
      <c r="E460" s="165"/>
      <c r="F460" s="165"/>
      <c r="G460" s="165"/>
      <c r="H460" s="165"/>
      <c r="I460" s="165"/>
      <c r="J460" s="165"/>
      <c r="K460" s="165"/>
      <c r="L460" s="165"/>
      <c r="M460" s="524"/>
      <c r="N460" s="165"/>
      <c r="O460" s="165"/>
      <c r="P460" s="165"/>
      <c r="Q460" s="165"/>
      <c r="R460" s="524">
        <f t="shared" si="70"/>
        <v>0</v>
      </c>
      <c r="S460" s="165"/>
      <c r="T460" s="165"/>
      <c r="U460" s="165"/>
      <c r="V460" s="165"/>
      <c r="W460" s="165"/>
      <c r="X460" s="166">
        <f t="shared" si="68"/>
        <v>0</v>
      </c>
      <c r="Y460" s="486">
        <f t="shared" si="69"/>
        <v>0</v>
      </c>
      <c r="Z460" s="383"/>
      <c r="AA460" s="353"/>
    </row>
    <row r="461" spans="1:27" ht="20.100000000000001" hidden="1" customHeight="1" x14ac:dyDescent="0.2">
      <c r="A461" s="26"/>
      <c r="B461" s="74"/>
      <c r="C461" s="39"/>
      <c r="D461" s="165"/>
      <c r="E461" s="165"/>
      <c r="F461" s="165"/>
      <c r="G461" s="165"/>
      <c r="H461" s="165"/>
      <c r="I461" s="165"/>
      <c r="J461" s="165"/>
      <c r="K461" s="165"/>
      <c r="L461" s="165"/>
      <c r="M461" s="524"/>
      <c r="N461" s="165"/>
      <c r="O461" s="165"/>
      <c r="P461" s="165"/>
      <c r="Q461" s="165"/>
      <c r="R461" s="524">
        <f t="shared" si="70"/>
        <v>0</v>
      </c>
      <c r="S461" s="165"/>
      <c r="T461" s="165"/>
      <c r="U461" s="165"/>
      <c r="V461" s="165"/>
      <c r="W461" s="165"/>
      <c r="X461" s="166">
        <f t="shared" si="68"/>
        <v>0</v>
      </c>
      <c r="Y461" s="486">
        <f t="shared" si="69"/>
        <v>0</v>
      </c>
      <c r="Z461" s="383"/>
      <c r="AA461" s="353"/>
    </row>
    <row r="462" spans="1:27" ht="20.100000000000001" hidden="1" customHeight="1" x14ac:dyDescent="0.2">
      <c r="A462" s="26"/>
      <c r="B462" s="74"/>
      <c r="C462" s="39"/>
      <c r="D462" s="165"/>
      <c r="E462" s="165"/>
      <c r="F462" s="165"/>
      <c r="G462" s="165"/>
      <c r="H462" s="165"/>
      <c r="I462" s="165"/>
      <c r="J462" s="165"/>
      <c r="K462" s="165"/>
      <c r="L462" s="165"/>
      <c r="M462" s="524"/>
      <c r="N462" s="165"/>
      <c r="O462" s="165"/>
      <c r="P462" s="165"/>
      <c r="Q462" s="165"/>
      <c r="R462" s="524">
        <f t="shared" si="70"/>
        <v>0</v>
      </c>
      <c r="S462" s="165"/>
      <c r="T462" s="165"/>
      <c r="U462" s="165"/>
      <c r="V462" s="165"/>
      <c r="W462" s="165"/>
      <c r="X462" s="166">
        <f t="shared" si="68"/>
        <v>0</v>
      </c>
      <c r="Y462" s="486">
        <f t="shared" si="69"/>
        <v>0</v>
      </c>
      <c r="Z462" s="383"/>
      <c r="AA462" s="353"/>
    </row>
    <row r="463" spans="1:27" ht="20.100000000000001" hidden="1" customHeight="1" x14ac:dyDescent="0.2">
      <c r="A463" s="26"/>
      <c r="B463" s="74"/>
      <c r="C463" s="39"/>
      <c r="D463" s="165"/>
      <c r="E463" s="165"/>
      <c r="F463" s="165"/>
      <c r="G463" s="165"/>
      <c r="H463" s="165"/>
      <c r="I463" s="165"/>
      <c r="J463" s="165"/>
      <c r="K463" s="165"/>
      <c r="L463" s="165"/>
      <c r="M463" s="524"/>
      <c r="N463" s="165"/>
      <c r="O463" s="165"/>
      <c r="P463" s="165"/>
      <c r="Q463" s="165"/>
      <c r="R463" s="524">
        <f t="shared" si="70"/>
        <v>0</v>
      </c>
      <c r="S463" s="165"/>
      <c r="T463" s="165"/>
      <c r="U463" s="165"/>
      <c r="V463" s="165"/>
      <c r="W463" s="165"/>
      <c r="X463" s="166">
        <f t="shared" si="68"/>
        <v>0</v>
      </c>
      <c r="Y463" s="486">
        <f t="shared" si="69"/>
        <v>0</v>
      </c>
      <c r="Z463" s="383"/>
      <c r="AA463" s="353"/>
    </row>
    <row r="464" spans="1:27" ht="20.100000000000001" hidden="1" customHeight="1" x14ac:dyDescent="0.2">
      <c r="A464" s="26"/>
      <c r="B464" s="74"/>
      <c r="C464" s="39"/>
      <c r="D464" s="165"/>
      <c r="E464" s="165"/>
      <c r="F464" s="165"/>
      <c r="G464" s="165"/>
      <c r="H464" s="165"/>
      <c r="I464" s="165"/>
      <c r="J464" s="165"/>
      <c r="K464" s="165"/>
      <c r="L464" s="165"/>
      <c r="M464" s="524"/>
      <c r="N464" s="165"/>
      <c r="O464" s="165"/>
      <c r="P464" s="165"/>
      <c r="Q464" s="165"/>
      <c r="R464" s="524">
        <f t="shared" si="70"/>
        <v>0</v>
      </c>
      <c r="S464" s="165"/>
      <c r="T464" s="165"/>
      <c r="U464" s="165"/>
      <c r="V464" s="165"/>
      <c r="W464" s="165"/>
      <c r="X464" s="166">
        <f t="shared" si="68"/>
        <v>0</v>
      </c>
      <c r="Y464" s="486">
        <f t="shared" si="69"/>
        <v>0</v>
      </c>
      <c r="Z464" s="383"/>
      <c r="AA464" s="353"/>
    </row>
    <row r="465" spans="1:27" ht="20.100000000000001" hidden="1" customHeight="1" x14ac:dyDescent="0.2">
      <c r="A465" s="26"/>
      <c r="B465" s="74"/>
      <c r="C465" s="39"/>
      <c r="D465" s="165"/>
      <c r="E465" s="165"/>
      <c r="F465" s="165"/>
      <c r="G465" s="165"/>
      <c r="H465" s="165"/>
      <c r="I465" s="165"/>
      <c r="J465" s="165"/>
      <c r="K465" s="165"/>
      <c r="L465" s="165"/>
      <c r="M465" s="524"/>
      <c r="N465" s="165"/>
      <c r="O465" s="165"/>
      <c r="P465" s="165"/>
      <c r="Q465" s="165"/>
      <c r="R465" s="524">
        <f t="shared" si="70"/>
        <v>0</v>
      </c>
      <c r="S465" s="165"/>
      <c r="T465" s="165"/>
      <c r="U465" s="165"/>
      <c r="V465" s="165"/>
      <c r="W465" s="165"/>
      <c r="X465" s="166">
        <f t="shared" si="68"/>
        <v>0</v>
      </c>
      <c r="Y465" s="486">
        <f t="shared" si="69"/>
        <v>0</v>
      </c>
      <c r="Z465" s="383"/>
      <c r="AA465" s="353"/>
    </row>
    <row r="466" spans="1:27" ht="20.100000000000001" hidden="1" customHeight="1" x14ac:dyDescent="0.2">
      <c r="A466" s="26"/>
      <c r="B466" s="395"/>
      <c r="C466" s="39"/>
      <c r="D466" s="165"/>
      <c r="E466" s="165"/>
      <c r="F466" s="165"/>
      <c r="G466" s="165"/>
      <c r="H466" s="165"/>
      <c r="I466" s="165"/>
      <c r="J466" s="165"/>
      <c r="K466" s="165"/>
      <c r="L466" s="165"/>
      <c r="M466" s="524"/>
      <c r="N466" s="165"/>
      <c r="O466" s="165"/>
      <c r="P466" s="165"/>
      <c r="Q466" s="165"/>
      <c r="R466" s="524">
        <f t="shared" si="70"/>
        <v>0</v>
      </c>
      <c r="S466" s="165"/>
      <c r="T466" s="165"/>
      <c r="U466" s="165"/>
      <c r="V466" s="165"/>
      <c r="W466" s="165"/>
      <c r="X466" s="166">
        <f t="shared" si="68"/>
        <v>0</v>
      </c>
      <c r="Y466" s="486">
        <f t="shared" si="69"/>
        <v>0</v>
      </c>
      <c r="Z466" s="383"/>
      <c r="AA466" s="353"/>
    </row>
    <row r="467" spans="1:27" ht="20.100000000000001" hidden="1" customHeight="1" x14ac:dyDescent="0.2">
      <c r="A467" s="26"/>
      <c r="B467" s="74"/>
      <c r="C467" s="39"/>
      <c r="D467" s="165"/>
      <c r="E467" s="165"/>
      <c r="F467" s="165"/>
      <c r="G467" s="165"/>
      <c r="H467" s="165"/>
      <c r="I467" s="165"/>
      <c r="J467" s="165"/>
      <c r="K467" s="165"/>
      <c r="L467" s="165"/>
      <c r="M467" s="524"/>
      <c r="N467" s="165"/>
      <c r="O467" s="165"/>
      <c r="P467" s="165"/>
      <c r="Q467" s="165"/>
      <c r="R467" s="524">
        <f t="shared" si="70"/>
        <v>0</v>
      </c>
      <c r="S467" s="165"/>
      <c r="T467" s="165"/>
      <c r="U467" s="165"/>
      <c r="V467" s="165"/>
      <c r="W467" s="165"/>
      <c r="X467" s="166">
        <f t="shared" si="68"/>
        <v>0</v>
      </c>
      <c r="Y467" s="486">
        <f t="shared" si="69"/>
        <v>0</v>
      </c>
      <c r="Z467" s="383"/>
      <c r="AA467" s="353"/>
    </row>
    <row r="468" spans="1:27" ht="20.100000000000001" hidden="1" customHeight="1" x14ac:dyDescent="0.2">
      <c r="A468" s="26"/>
      <c r="B468" s="74"/>
      <c r="C468" s="39"/>
      <c r="D468" s="165"/>
      <c r="E468" s="165"/>
      <c r="F468" s="165"/>
      <c r="G468" s="165"/>
      <c r="H468" s="165"/>
      <c r="I468" s="165"/>
      <c r="J468" s="165"/>
      <c r="K468" s="165"/>
      <c r="L468" s="165"/>
      <c r="M468" s="524"/>
      <c r="N468" s="165"/>
      <c r="O468" s="165"/>
      <c r="P468" s="165"/>
      <c r="Q468" s="165"/>
      <c r="R468" s="524">
        <f t="shared" si="70"/>
        <v>0</v>
      </c>
      <c r="S468" s="165"/>
      <c r="T468" s="165"/>
      <c r="U468" s="165"/>
      <c r="V468" s="165"/>
      <c r="W468" s="165"/>
      <c r="X468" s="166">
        <f t="shared" si="68"/>
        <v>0</v>
      </c>
      <c r="Y468" s="486">
        <f t="shared" si="69"/>
        <v>0</v>
      </c>
      <c r="Z468" s="383"/>
      <c r="AA468" s="353"/>
    </row>
    <row r="469" spans="1:27" ht="20.100000000000001" hidden="1" customHeight="1" x14ac:dyDescent="0.2">
      <c r="A469" s="26"/>
      <c r="B469" s="74"/>
      <c r="C469" s="39"/>
      <c r="D469" s="165"/>
      <c r="E469" s="165"/>
      <c r="F469" s="165"/>
      <c r="G469" s="165"/>
      <c r="H469" s="165"/>
      <c r="I469" s="165"/>
      <c r="J469" s="165"/>
      <c r="K469" s="165"/>
      <c r="L469" s="165"/>
      <c r="M469" s="524"/>
      <c r="N469" s="165"/>
      <c r="O469" s="165"/>
      <c r="P469" s="165"/>
      <c r="Q469" s="165"/>
      <c r="R469" s="524">
        <f t="shared" si="70"/>
        <v>0</v>
      </c>
      <c r="S469" s="165"/>
      <c r="T469" s="165"/>
      <c r="U469" s="165"/>
      <c r="V469" s="165"/>
      <c r="W469" s="165"/>
      <c r="X469" s="166">
        <f t="shared" si="68"/>
        <v>0</v>
      </c>
      <c r="Y469" s="486">
        <f t="shared" si="69"/>
        <v>0</v>
      </c>
      <c r="Z469" s="383"/>
      <c r="AA469" s="353"/>
    </row>
    <row r="470" spans="1:27" ht="20.100000000000001" hidden="1" customHeight="1" x14ac:dyDescent="0.2">
      <c r="A470" s="26"/>
      <c r="B470" s="74"/>
      <c r="C470" s="39"/>
      <c r="D470" s="165"/>
      <c r="E470" s="165"/>
      <c r="F470" s="165"/>
      <c r="G470" s="165"/>
      <c r="H470" s="165"/>
      <c r="I470" s="165"/>
      <c r="J470" s="165"/>
      <c r="K470" s="165"/>
      <c r="L470" s="165"/>
      <c r="M470" s="524"/>
      <c r="N470" s="165"/>
      <c r="O470" s="165"/>
      <c r="P470" s="165"/>
      <c r="Q470" s="165"/>
      <c r="R470" s="524">
        <f t="shared" si="70"/>
        <v>0</v>
      </c>
      <c r="S470" s="165"/>
      <c r="T470" s="165"/>
      <c r="U470" s="165"/>
      <c r="V470" s="165"/>
      <c r="W470" s="165"/>
      <c r="X470" s="166">
        <f t="shared" si="68"/>
        <v>0</v>
      </c>
      <c r="Y470" s="486">
        <f t="shared" si="69"/>
        <v>0</v>
      </c>
      <c r="Z470" s="383"/>
      <c r="AA470" s="353"/>
    </row>
    <row r="471" spans="1:27" ht="20.100000000000001" hidden="1" customHeight="1" x14ac:dyDescent="0.2">
      <c r="A471" s="26"/>
      <c r="B471" s="74"/>
      <c r="C471" s="39"/>
      <c r="D471" s="165"/>
      <c r="E471" s="165"/>
      <c r="F471" s="165"/>
      <c r="G471" s="165"/>
      <c r="H471" s="165"/>
      <c r="I471" s="165"/>
      <c r="J471" s="165"/>
      <c r="K471" s="165"/>
      <c r="L471" s="165"/>
      <c r="M471" s="524"/>
      <c r="N471" s="165"/>
      <c r="O471" s="165"/>
      <c r="P471" s="165"/>
      <c r="Q471" s="165"/>
      <c r="R471" s="524">
        <f t="shared" si="70"/>
        <v>0</v>
      </c>
      <c r="S471" s="165"/>
      <c r="T471" s="165"/>
      <c r="U471" s="165"/>
      <c r="V471" s="165"/>
      <c r="W471" s="165"/>
      <c r="X471" s="166">
        <f t="shared" si="68"/>
        <v>0</v>
      </c>
      <c r="Y471" s="486">
        <f t="shared" si="69"/>
        <v>0</v>
      </c>
      <c r="Z471" s="383"/>
      <c r="AA471" s="353"/>
    </row>
    <row r="472" spans="1:27" ht="20.100000000000001" hidden="1" customHeight="1" x14ac:dyDescent="0.2">
      <c r="A472" s="26"/>
      <c r="B472" s="74"/>
      <c r="C472" s="39"/>
      <c r="D472" s="165"/>
      <c r="E472" s="165"/>
      <c r="F472" s="165"/>
      <c r="G472" s="165"/>
      <c r="H472" s="165"/>
      <c r="I472" s="165"/>
      <c r="J472" s="165"/>
      <c r="K472" s="165"/>
      <c r="L472" s="165"/>
      <c r="M472" s="524"/>
      <c r="N472" s="165"/>
      <c r="O472" s="165"/>
      <c r="P472" s="165"/>
      <c r="Q472" s="165"/>
      <c r="R472" s="524">
        <f t="shared" si="70"/>
        <v>0</v>
      </c>
      <c r="S472" s="165"/>
      <c r="T472" s="165"/>
      <c r="U472" s="165"/>
      <c r="V472" s="165"/>
      <c r="W472" s="165"/>
      <c r="X472" s="166">
        <f t="shared" si="68"/>
        <v>0</v>
      </c>
      <c r="Y472" s="486">
        <f t="shared" si="69"/>
        <v>0</v>
      </c>
      <c r="Z472" s="383"/>
      <c r="AA472" s="353"/>
    </row>
    <row r="473" spans="1:27" ht="20.100000000000001" hidden="1" customHeight="1" x14ac:dyDescent="0.2">
      <c r="A473" s="26"/>
      <c r="B473" s="74"/>
      <c r="C473" s="39"/>
      <c r="D473" s="165"/>
      <c r="E473" s="165"/>
      <c r="F473" s="165"/>
      <c r="G473" s="165"/>
      <c r="H473" s="165"/>
      <c r="I473" s="165"/>
      <c r="J473" s="165"/>
      <c r="K473" s="165"/>
      <c r="L473" s="165"/>
      <c r="M473" s="524"/>
      <c r="N473" s="165"/>
      <c r="O473" s="165"/>
      <c r="P473" s="165"/>
      <c r="Q473" s="165"/>
      <c r="R473" s="524">
        <f t="shared" si="70"/>
        <v>0</v>
      </c>
      <c r="S473" s="165"/>
      <c r="T473" s="165"/>
      <c r="U473" s="165"/>
      <c r="V473" s="165"/>
      <c r="W473" s="165"/>
      <c r="X473" s="166">
        <f t="shared" si="68"/>
        <v>0</v>
      </c>
      <c r="Y473" s="486">
        <f t="shared" si="69"/>
        <v>0</v>
      </c>
      <c r="Z473" s="383"/>
      <c r="AA473" s="353"/>
    </row>
    <row r="474" spans="1:27" ht="20.100000000000001" hidden="1" customHeight="1" x14ac:dyDescent="0.2">
      <c r="A474" s="26"/>
      <c r="B474" s="74"/>
      <c r="C474" s="39"/>
      <c r="D474" s="165"/>
      <c r="E474" s="165"/>
      <c r="F474" s="165"/>
      <c r="G474" s="165"/>
      <c r="H474" s="165"/>
      <c r="I474" s="165"/>
      <c r="J474" s="165"/>
      <c r="K474" s="165"/>
      <c r="L474" s="165"/>
      <c r="M474" s="524"/>
      <c r="N474" s="165"/>
      <c r="O474" s="165"/>
      <c r="P474" s="165"/>
      <c r="Q474" s="165"/>
      <c r="R474" s="524">
        <f t="shared" si="70"/>
        <v>0</v>
      </c>
      <c r="S474" s="165"/>
      <c r="T474" s="165"/>
      <c r="U474" s="165"/>
      <c r="V474" s="165"/>
      <c r="W474" s="165"/>
      <c r="X474" s="166">
        <f t="shared" si="68"/>
        <v>0</v>
      </c>
      <c r="Y474" s="486">
        <f t="shared" si="69"/>
        <v>0</v>
      </c>
      <c r="Z474" s="383"/>
      <c r="AA474" s="353"/>
    </row>
    <row r="475" spans="1:27" ht="20.100000000000001" hidden="1" customHeight="1" x14ac:dyDescent="0.2">
      <c r="A475" s="26"/>
      <c r="B475" s="74"/>
      <c r="C475" s="39"/>
      <c r="D475" s="165"/>
      <c r="E475" s="165"/>
      <c r="F475" s="165"/>
      <c r="G475" s="165"/>
      <c r="H475" s="165"/>
      <c r="I475" s="165"/>
      <c r="J475" s="165"/>
      <c r="L475" s="165"/>
      <c r="M475" s="524"/>
      <c r="N475" s="165"/>
      <c r="O475" s="165"/>
      <c r="P475" s="165"/>
      <c r="Q475" s="165"/>
      <c r="R475" s="524">
        <f t="shared" si="70"/>
        <v>0</v>
      </c>
      <c r="S475" s="165"/>
      <c r="T475" s="165"/>
      <c r="U475" s="165"/>
      <c r="V475" s="165"/>
      <c r="W475" s="165"/>
      <c r="X475" s="166">
        <f t="shared" si="68"/>
        <v>0</v>
      </c>
      <c r="Y475" s="486">
        <f t="shared" si="69"/>
        <v>0</v>
      </c>
      <c r="Z475" s="394"/>
      <c r="AA475" s="353"/>
    </row>
    <row r="476" spans="1:27" ht="20.100000000000001" hidden="1" customHeight="1" x14ac:dyDescent="0.2">
      <c r="A476" s="26"/>
      <c r="B476" s="289"/>
      <c r="C476" s="39"/>
      <c r="D476" s="165"/>
      <c r="E476" s="165"/>
      <c r="F476" s="165"/>
      <c r="G476" s="165"/>
      <c r="H476" s="165"/>
      <c r="I476" s="165"/>
      <c r="J476" s="165"/>
      <c r="L476" s="165"/>
      <c r="M476" s="524"/>
      <c r="N476" s="165"/>
      <c r="O476" s="165"/>
      <c r="P476" s="165"/>
      <c r="Q476" s="165"/>
      <c r="R476" s="524">
        <f t="shared" si="70"/>
        <v>0</v>
      </c>
      <c r="S476" s="165"/>
      <c r="T476" s="165"/>
      <c r="U476" s="165"/>
      <c r="V476" s="165"/>
      <c r="W476" s="165"/>
      <c r="X476" s="166">
        <f t="shared" si="68"/>
        <v>0</v>
      </c>
      <c r="Y476" s="486">
        <f t="shared" si="69"/>
        <v>0</v>
      </c>
      <c r="Z476" s="394"/>
      <c r="AA476" s="353"/>
    </row>
    <row r="477" spans="1:27" ht="20.100000000000001" hidden="1" customHeight="1" x14ac:dyDescent="0.2">
      <c r="A477" s="26"/>
      <c r="B477" s="74"/>
      <c r="C477" s="39"/>
      <c r="D477" s="165"/>
      <c r="E477" s="165"/>
      <c r="F477" s="165"/>
      <c r="G477" s="165"/>
      <c r="H477" s="165"/>
      <c r="I477" s="165"/>
      <c r="J477" s="165"/>
      <c r="L477" s="165"/>
      <c r="M477" s="524"/>
      <c r="N477" s="165"/>
      <c r="O477" s="165"/>
      <c r="P477" s="165"/>
      <c r="Q477" s="165"/>
      <c r="R477" s="524">
        <f t="shared" si="70"/>
        <v>0</v>
      </c>
      <c r="S477" s="165"/>
      <c r="T477" s="165"/>
      <c r="U477" s="165"/>
      <c r="V477" s="165"/>
      <c r="W477" s="165"/>
      <c r="X477" s="166">
        <f t="shared" si="68"/>
        <v>0</v>
      </c>
      <c r="Y477" s="486">
        <f t="shared" si="69"/>
        <v>0</v>
      </c>
      <c r="Z477" s="394"/>
      <c r="AA477" s="353"/>
    </row>
    <row r="478" spans="1:27" ht="20.100000000000001" hidden="1" customHeight="1" x14ac:dyDescent="0.2">
      <c r="A478" s="26"/>
      <c r="B478" s="74"/>
      <c r="C478" s="39"/>
      <c r="D478" s="165"/>
      <c r="E478" s="165"/>
      <c r="F478" s="165"/>
      <c r="G478" s="165"/>
      <c r="H478" s="165"/>
      <c r="I478" s="165"/>
      <c r="J478" s="165"/>
      <c r="K478" s="165"/>
      <c r="L478" s="165"/>
      <c r="M478" s="524"/>
      <c r="N478" s="165"/>
      <c r="O478" s="165"/>
      <c r="P478" s="165"/>
      <c r="Q478" s="165"/>
      <c r="R478" s="524">
        <f t="shared" si="70"/>
        <v>0</v>
      </c>
      <c r="S478" s="165"/>
      <c r="T478" s="165"/>
      <c r="U478" s="165"/>
      <c r="V478" s="165"/>
      <c r="W478" s="165"/>
      <c r="X478" s="166">
        <f t="shared" si="68"/>
        <v>0</v>
      </c>
      <c r="Y478" s="486">
        <f t="shared" si="69"/>
        <v>0</v>
      </c>
      <c r="Z478" s="394"/>
      <c r="AA478" s="353"/>
    </row>
    <row r="479" spans="1:27" ht="20.100000000000001" hidden="1" customHeight="1" x14ac:dyDescent="0.2">
      <c r="A479" s="26"/>
      <c r="B479" s="74"/>
      <c r="C479" s="39"/>
      <c r="D479" s="165"/>
      <c r="E479" s="165"/>
      <c r="F479" s="165"/>
      <c r="G479" s="165"/>
      <c r="H479" s="165"/>
      <c r="I479" s="165"/>
      <c r="J479" s="165"/>
      <c r="K479" s="165"/>
      <c r="L479" s="165"/>
      <c r="M479" s="524"/>
      <c r="N479" s="165"/>
      <c r="O479" s="165"/>
      <c r="P479" s="165"/>
      <c r="Q479" s="165"/>
      <c r="R479" s="524">
        <f t="shared" si="70"/>
        <v>0</v>
      </c>
      <c r="S479" s="165"/>
      <c r="T479" s="165"/>
      <c r="U479" s="165"/>
      <c r="V479" s="165"/>
      <c r="W479" s="165"/>
      <c r="X479" s="166">
        <f t="shared" si="68"/>
        <v>0</v>
      </c>
      <c r="Y479" s="486">
        <f t="shared" si="69"/>
        <v>0</v>
      </c>
      <c r="Z479" s="394"/>
      <c r="AA479" s="353"/>
    </row>
    <row r="480" spans="1:27" ht="20.100000000000001" hidden="1" customHeight="1" x14ac:dyDescent="0.2">
      <c r="A480" s="26"/>
      <c r="B480" s="74"/>
      <c r="C480" s="39"/>
      <c r="D480" s="165"/>
      <c r="E480" s="165"/>
      <c r="F480" s="165"/>
      <c r="G480" s="165"/>
      <c r="H480" s="165"/>
      <c r="I480" s="165"/>
      <c r="J480" s="165"/>
      <c r="K480" s="165"/>
      <c r="L480" s="165"/>
      <c r="M480" s="524"/>
      <c r="N480" s="165"/>
      <c r="O480" s="165"/>
      <c r="P480" s="165"/>
      <c r="Q480" s="165"/>
      <c r="R480" s="524">
        <f t="shared" si="70"/>
        <v>0</v>
      </c>
      <c r="S480" s="165"/>
      <c r="T480" s="165"/>
      <c r="U480" s="165"/>
      <c r="V480" s="165"/>
      <c r="W480" s="165"/>
      <c r="X480" s="166">
        <f t="shared" ref="X480:X504" si="76">SUM(T480:W480)</f>
        <v>0</v>
      </c>
      <c r="Y480" s="486">
        <f t="shared" ref="Y480:Y504" si="77">R480+X480</f>
        <v>0</v>
      </c>
      <c r="Z480" s="394"/>
      <c r="AA480" s="353"/>
    </row>
    <row r="481" spans="1:27" ht="20.100000000000001" hidden="1" customHeight="1" x14ac:dyDescent="0.2">
      <c r="A481" s="26"/>
      <c r="B481" s="74"/>
      <c r="C481" s="39"/>
      <c r="D481" s="165"/>
      <c r="E481" s="165"/>
      <c r="F481" s="165"/>
      <c r="G481" s="165"/>
      <c r="H481" s="165"/>
      <c r="I481" s="165"/>
      <c r="J481" s="165"/>
      <c r="K481" s="165"/>
      <c r="L481" s="165"/>
      <c r="M481" s="524"/>
      <c r="N481" s="165"/>
      <c r="O481" s="165"/>
      <c r="P481" s="165"/>
      <c r="Q481" s="165"/>
      <c r="R481" s="524">
        <f t="shared" si="70"/>
        <v>0</v>
      </c>
      <c r="S481" s="165"/>
      <c r="T481" s="165"/>
      <c r="U481" s="165"/>
      <c r="V481" s="165"/>
      <c r="W481" s="165"/>
      <c r="X481" s="166">
        <f t="shared" si="76"/>
        <v>0</v>
      </c>
      <c r="Y481" s="486">
        <f t="shared" si="77"/>
        <v>0</v>
      </c>
      <c r="Z481" s="394"/>
      <c r="AA481" s="353"/>
    </row>
    <row r="482" spans="1:27" ht="20.100000000000001" hidden="1" customHeight="1" x14ac:dyDescent="0.2">
      <c r="A482" s="26"/>
      <c r="B482" s="74"/>
      <c r="C482" s="39"/>
      <c r="D482" s="165"/>
      <c r="E482" s="165"/>
      <c r="F482" s="165"/>
      <c r="G482" s="165"/>
      <c r="H482" s="165"/>
      <c r="I482" s="165"/>
      <c r="J482" s="165"/>
      <c r="K482" s="165"/>
      <c r="L482" s="165"/>
      <c r="M482" s="524"/>
      <c r="N482" s="165"/>
      <c r="O482" s="165"/>
      <c r="P482" s="165"/>
      <c r="Q482" s="165"/>
      <c r="R482" s="524">
        <f t="shared" si="70"/>
        <v>0</v>
      </c>
      <c r="S482" s="165"/>
      <c r="T482" s="165"/>
      <c r="U482" s="165"/>
      <c r="V482" s="165"/>
      <c r="W482" s="165"/>
      <c r="X482" s="166">
        <f t="shared" si="76"/>
        <v>0</v>
      </c>
      <c r="Y482" s="486">
        <f t="shared" si="77"/>
        <v>0</v>
      </c>
      <c r="Z482" s="394"/>
      <c r="AA482" s="353"/>
    </row>
    <row r="483" spans="1:27" ht="20.100000000000001" hidden="1" customHeight="1" x14ac:dyDescent="0.2">
      <c r="A483" s="26"/>
      <c r="B483" s="74"/>
      <c r="C483" s="39"/>
      <c r="D483" s="165"/>
      <c r="E483" s="165"/>
      <c r="F483" s="165"/>
      <c r="G483" s="165"/>
      <c r="H483" s="165"/>
      <c r="I483" s="165"/>
      <c r="J483" s="165"/>
      <c r="K483" s="165"/>
      <c r="L483" s="165"/>
      <c r="M483" s="524"/>
      <c r="N483" s="165"/>
      <c r="O483" s="165"/>
      <c r="P483" s="165"/>
      <c r="Q483" s="165"/>
      <c r="R483" s="524">
        <f t="shared" si="70"/>
        <v>0</v>
      </c>
      <c r="S483" s="165"/>
      <c r="T483" s="165"/>
      <c r="U483" s="165"/>
      <c r="V483" s="165"/>
      <c r="W483" s="165"/>
      <c r="X483" s="166">
        <f t="shared" si="76"/>
        <v>0</v>
      </c>
      <c r="Y483" s="486">
        <f t="shared" si="77"/>
        <v>0</v>
      </c>
      <c r="Z483" s="394"/>
      <c r="AA483" s="353"/>
    </row>
    <row r="484" spans="1:27" ht="20.100000000000001" hidden="1" customHeight="1" x14ac:dyDescent="0.2">
      <c r="A484" s="26"/>
      <c r="B484" s="74"/>
      <c r="C484" s="39"/>
      <c r="D484" s="165"/>
      <c r="E484" s="165"/>
      <c r="F484" s="165"/>
      <c r="G484" s="165"/>
      <c r="H484" s="165"/>
      <c r="I484" s="165"/>
      <c r="J484" s="165"/>
      <c r="K484" s="165"/>
      <c r="L484" s="165"/>
      <c r="M484" s="524"/>
      <c r="N484" s="165"/>
      <c r="O484" s="165"/>
      <c r="P484" s="165"/>
      <c r="Q484" s="165"/>
      <c r="R484" s="524">
        <f t="shared" si="70"/>
        <v>0</v>
      </c>
      <c r="S484" s="165"/>
      <c r="T484" s="165"/>
      <c r="U484" s="165"/>
      <c r="V484" s="165"/>
      <c r="W484" s="165"/>
      <c r="X484" s="166">
        <f t="shared" si="76"/>
        <v>0</v>
      </c>
      <c r="Y484" s="486">
        <f t="shared" si="77"/>
        <v>0</v>
      </c>
      <c r="Z484" s="394"/>
      <c r="AA484" s="353"/>
    </row>
    <row r="485" spans="1:27" ht="20.100000000000001" hidden="1" customHeight="1" x14ac:dyDescent="0.2">
      <c r="A485" s="26"/>
      <c r="B485" s="74"/>
      <c r="C485" s="39"/>
      <c r="D485" s="165"/>
      <c r="E485" s="165"/>
      <c r="F485" s="165"/>
      <c r="G485" s="165"/>
      <c r="H485" s="165"/>
      <c r="I485" s="165"/>
      <c r="J485" s="165"/>
      <c r="K485" s="165"/>
      <c r="L485" s="165"/>
      <c r="M485" s="524"/>
      <c r="N485" s="165"/>
      <c r="O485" s="165"/>
      <c r="P485" s="165"/>
      <c r="Q485" s="165"/>
      <c r="R485" s="524">
        <f t="shared" si="70"/>
        <v>0</v>
      </c>
      <c r="S485" s="165"/>
      <c r="T485" s="165"/>
      <c r="U485" s="165"/>
      <c r="V485" s="165"/>
      <c r="W485" s="165"/>
      <c r="X485" s="166">
        <f t="shared" si="76"/>
        <v>0</v>
      </c>
      <c r="Y485" s="486">
        <f t="shared" si="77"/>
        <v>0</v>
      </c>
      <c r="Z485" s="394"/>
      <c r="AA485" s="353"/>
    </row>
    <row r="486" spans="1:27" ht="20.100000000000001" hidden="1" customHeight="1" x14ac:dyDescent="0.2">
      <c r="A486" s="26"/>
      <c r="B486" s="395"/>
      <c r="C486" s="39"/>
      <c r="D486" s="165"/>
      <c r="E486" s="165"/>
      <c r="F486" s="165"/>
      <c r="G486" s="165"/>
      <c r="H486" s="165"/>
      <c r="I486" s="165"/>
      <c r="J486" s="165"/>
      <c r="K486" s="165"/>
      <c r="L486" s="165"/>
      <c r="M486" s="524"/>
      <c r="N486" s="165"/>
      <c r="O486" s="165"/>
      <c r="P486" s="165"/>
      <c r="Q486" s="165"/>
      <c r="R486" s="524">
        <f t="shared" si="70"/>
        <v>0</v>
      </c>
      <c r="S486" s="165"/>
      <c r="T486" s="165"/>
      <c r="U486" s="165"/>
      <c r="V486" s="165"/>
      <c r="W486" s="165"/>
      <c r="X486" s="166">
        <f t="shared" si="76"/>
        <v>0</v>
      </c>
      <c r="Y486" s="486">
        <f t="shared" si="77"/>
        <v>0</v>
      </c>
      <c r="Z486" s="394"/>
      <c r="AA486" s="353"/>
    </row>
    <row r="487" spans="1:27" ht="20.100000000000001" hidden="1" customHeight="1" x14ac:dyDescent="0.2">
      <c r="A487" s="26"/>
      <c r="B487" s="395"/>
      <c r="C487" s="39"/>
      <c r="D487" s="165"/>
      <c r="E487" s="165"/>
      <c r="F487" s="165"/>
      <c r="G487" s="165"/>
      <c r="H487" s="165"/>
      <c r="I487" s="165"/>
      <c r="J487" s="165"/>
      <c r="K487" s="165"/>
      <c r="L487" s="165"/>
      <c r="M487" s="524"/>
      <c r="N487" s="165"/>
      <c r="O487" s="165"/>
      <c r="P487" s="165"/>
      <c r="Q487" s="165"/>
      <c r="R487" s="524">
        <f t="shared" ref="R487:R508" si="78">SUM(D487:Q487)</f>
        <v>0</v>
      </c>
      <c r="S487" s="165"/>
      <c r="T487" s="165"/>
      <c r="U487" s="165"/>
      <c r="V487" s="165"/>
      <c r="W487" s="165"/>
      <c r="X487" s="166">
        <f t="shared" si="76"/>
        <v>0</v>
      </c>
      <c r="Y487" s="486">
        <f t="shared" si="77"/>
        <v>0</v>
      </c>
      <c r="Z487" s="394"/>
      <c r="AA487" s="353"/>
    </row>
    <row r="488" spans="1:27" ht="20.100000000000001" hidden="1" customHeight="1" x14ac:dyDescent="0.2">
      <c r="A488" s="26"/>
      <c r="B488" s="74"/>
      <c r="C488" s="39"/>
      <c r="D488" s="165"/>
      <c r="E488" s="165"/>
      <c r="F488" s="165"/>
      <c r="G488" s="165"/>
      <c r="H488" s="165"/>
      <c r="I488" s="165"/>
      <c r="J488" s="165"/>
      <c r="K488" s="165"/>
      <c r="L488" s="165"/>
      <c r="M488" s="524"/>
      <c r="N488" s="165"/>
      <c r="O488" s="165"/>
      <c r="P488" s="165"/>
      <c r="Q488" s="165"/>
      <c r="R488" s="524">
        <f t="shared" si="78"/>
        <v>0</v>
      </c>
      <c r="S488" s="165"/>
      <c r="T488" s="165"/>
      <c r="U488" s="165"/>
      <c r="V488" s="165"/>
      <c r="W488" s="165"/>
      <c r="X488" s="166">
        <f t="shared" si="76"/>
        <v>0</v>
      </c>
      <c r="Y488" s="486">
        <f t="shared" si="77"/>
        <v>0</v>
      </c>
      <c r="Z488" s="383"/>
      <c r="AA488" s="353"/>
    </row>
    <row r="489" spans="1:27" ht="20.100000000000001" hidden="1" customHeight="1" x14ac:dyDescent="0.2">
      <c r="A489" s="26"/>
      <c r="B489" s="74"/>
      <c r="C489" s="39"/>
      <c r="D489" s="165"/>
      <c r="E489" s="165"/>
      <c r="F489" s="165"/>
      <c r="G489" s="165"/>
      <c r="H489" s="165"/>
      <c r="I489" s="165"/>
      <c r="K489" s="165"/>
      <c r="L489" s="165"/>
      <c r="M489" s="524"/>
      <c r="N489" s="165"/>
      <c r="O489" s="165"/>
      <c r="P489" s="165"/>
      <c r="Q489" s="165"/>
      <c r="R489" s="524">
        <f t="shared" si="78"/>
        <v>0</v>
      </c>
      <c r="S489" s="165"/>
      <c r="T489" s="165"/>
      <c r="U489" s="165"/>
      <c r="V489" s="165"/>
      <c r="W489" s="165"/>
      <c r="X489" s="166">
        <f t="shared" si="76"/>
        <v>0</v>
      </c>
      <c r="Y489" s="486">
        <f t="shared" si="77"/>
        <v>0</v>
      </c>
      <c r="Z489" s="383"/>
      <c r="AA489" s="353"/>
    </row>
    <row r="490" spans="1:27" ht="20.100000000000001" hidden="1" customHeight="1" x14ac:dyDescent="0.2">
      <c r="A490" s="26"/>
      <c r="B490" s="74"/>
      <c r="C490" s="39"/>
      <c r="D490" s="165"/>
      <c r="E490" s="165"/>
      <c r="F490" s="165"/>
      <c r="G490" s="165"/>
      <c r="H490" s="165"/>
      <c r="I490" s="165"/>
      <c r="J490" s="165"/>
      <c r="K490" s="165"/>
      <c r="L490" s="165"/>
      <c r="M490" s="524"/>
      <c r="N490" s="165"/>
      <c r="O490" s="165"/>
      <c r="P490" s="165"/>
      <c r="Q490" s="165"/>
      <c r="R490" s="524">
        <f t="shared" si="78"/>
        <v>0</v>
      </c>
      <c r="S490" s="165"/>
      <c r="T490" s="165"/>
      <c r="U490" s="165"/>
      <c r="V490" s="165"/>
      <c r="W490" s="165"/>
      <c r="X490" s="166">
        <f t="shared" si="76"/>
        <v>0</v>
      </c>
      <c r="Y490" s="486">
        <f t="shared" si="77"/>
        <v>0</v>
      </c>
      <c r="Z490" s="383"/>
      <c r="AA490" s="353"/>
    </row>
    <row r="491" spans="1:27" ht="20.100000000000001" hidden="1" customHeight="1" x14ac:dyDescent="0.2">
      <c r="A491" s="26"/>
      <c r="B491" s="395"/>
      <c r="C491" s="39"/>
      <c r="D491" s="165"/>
      <c r="E491" s="165"/>
      <c r="F491" s="165"/>
      <c r="G491" s="165"/>
      <c r="H491" s="165"/>
      <c r="I491" s="165"/>
      <c r="J491" s="165"/>
      <c r="K491" s="165"/>
      <c r="L491" s="165"/>
      <c r="M491" s="524"/>
      <c r="N491" s="165"/>
      <c r="O491" s="165"/>
      <c r="P491" s="165"/>
      <c r="Q491" s="165"/>
      <c r="R491" s="524">
        <f t="shared" si="78"/>
        <v>0</v>
      </c>
      <c r="S491" s="165"/>
      <c r="T491" s="165"/>
      <c r="U491" s="165"/>
      <c r="V491" s="165"/>
      <c r="W491" s="165"/>
      <c r="X491" s="166">
        <f t="shared" si="76"/>
        <v>0</v>
      </c>
      <c r="Y491" s="486">
        <f t="shared" si="77"/>
        <v>0</v>
      </c>
      <c r="Z491" s="383"/>
      <c r="AA491" s="353"/>
    </row>
    <row r="492" spans="1:27" ht="20.100000000000001" hidden="1" customHeight="1" x14ac:dyDescent="0.2">
      <c r="A492" s="26"/>
      <c r="B492" s="74"/>
      <c r="C492" s="39"/>
      <c r="D492" s="165"/>
      <c r="E492" s="165"/>
      <c r="F492" s="165"/>
      <c r="G492" s="165"/>
      <c r="H492" s="165"/>
      <c r="I492" s="165"/>
      <c r="J492" s="165"/>
      <c r="K492" s="165"/>
      <c r="L492" s="165"/>
      <c r="M492" s="524"/>
      <c r="N492" s="165"/>
      <c r="O492" s="165"/>
      <c r="P492" s="165"/>
      <c r="Q492" s="165"/>
      <c r="R492" s="524">
        <f t="shared" si="78"/>
        <v>0</v>
      </c>
      <c r="S492" s="165"/>
      <c r="T492" s="165"/>
      <c r="U492" s="165"/>
      <c r="V492" s="165"/>
      <c r="W492" s="165"/>
      <c r="X492" s="166">
        <f t="shared" si="76"/>
        <v>0</v>
      </c>
      <c r="Y492" s="486">
        <f t="shared" si="77"/>
        <v>0</v>
      </c>
      <c r="Z492" s="383"/>
      <c r="AA492" s="353"/>
    </row>
    <row r="493" spans="1:27" ht="20.100000000000001" hidden="1" customHeight="1" x14ac:dyDescent="0.2">
      <c r="A493" s="26"/>
      <c r="B493" s="74"/>
      <c r="C493" s="39"/>
      <c r="D493" s="165"/>
      <c r="E493" s="165"/>
      <c r="F493" s="165"/>
      <c r="G493" s="165"/>
      <c r="H493" s="165"/>
      <c r="I493" s="165"/>
      <c r="J493" s="165"/>
      <c r="K493" s="165"/>
      <c r="L493" s="165"/>
      <c r="M493" s="524"/>
      <c r="N493" s="165"/>
      <c r="O493" s="165"/>
      <c r="P493" s="165"/>
      <c r="Q493" s="165"/>
      <c r="R493" s="524">
        <f t="shared" si="78"/>
        <v>0</v>
      </c>
      <c r="S493" s="165"/>
      <c r="T493" s="165"/>
      <c r="U493" s="165"/>
      <c r="V493" s="165"/>
      <c r="W493" s="165"/>
      <c r="X493" s="166">
        <f t="shared" si="76"/>
        <v>0</v>
      </c>
      <c r="Y493" s="486">
        <f t="shared" si="77"/>
        <v>0</v>
      </c>
      <c r="Z493" s="383"/>
      <c r="AA493" s="353"/>
    </row>
    <row r="494" spans="1:27" ht="20.100000000000001" hidden="1" customHeight="1" x14ac:dyDescent="0.2">
      <c r="A494" s="26"/>
      <c r="B494" s="74"/>
      <c r="C494" s="39"/>
      <c r="D494" s="165"/>
      <c r="E494" s="165"/>
      <c r="F494" s="165"/>
      <c r="G494" s="165"/>
      <c r="H494" s="165"/>
      <c r="I494" s="165"/>
      <c r="J494" s="165"/>
      <c r="K494" s="165"/>
      <c r="L494" s="165"/>
      <c r="M494" s="524"/>
      <c r="N494" s="165"/>
      <c r="O494" s="165"/>
      <c r="P494" s="165"/>
      <c r="Q494" s="165"/>
      <c r="R494" s="524">
        <f t="shared" si="78"/>
        <v>0</v>
      </c>
      <c r="S494" s="165"/>
      <c r="T494" s="165"/>
      <c r="U494" s="165"/>
      <c r="V494" s="165"/>
      <c r="W494" s="165"/>
      <c r="X494" s="166">
        <f t="shared" si="76"/>
        <v>0</v>
      </c>
      <c r="Y494" s="486">
        <f t="shared" si="77"/>
        <v>0</v>
      </c>
      <c r="Z494" s="383"/>
      <c r="AA494" s="353"/>
    </row>
    <row r="495" spans="1:27" ht="20.100000000000001" hidden="1" customHeight="1" x14ac:dyDescent="0.2">
      <c r="A495" s="26"/>
      <c r="B495" s="395"/>
      <c r="C495" s="39"/>
      <c r="D495" s="165"/>
      <c r="E495" s="165"/>
      <c r="F495" s="165"/>
      <c r="G495" s="165"/>
      <c r="H495" s="165"/>
      <c r="I495" s="165"/>
      <c r="J495" s="165"/>
      <c r="K495" s="165"/>
      <c r="L495" s="165"/>
      <c r="M495" s="524"/>
      <c r="N495" s="165"/>
      <c r="O495" s="165"/>
      <c r="P495" s="165"/>
      <c r="Q495" s="165"/>
      <c r="R495" s="524">
        <f t="shared" si="78"/>
        <v>0</v>
      </c>
      <c r="S495" s="165"/>
      <c r="T495" s="165"/>
      <c r="U495" s="165"/>
      <c r="V495" s="165"/>
      <c r="W495" s="165"/>
      <c r="X495" s="166">
        <f t="shared" si="76"/>
        <v>0</v>
      </c>
      <c r="Y495" s="486">
        <f t="shared" si="77"/>
        <v>0</v>
      </c>
      <c r="Z495" s="383"/>
      <c r="AA495" s="353"/>
    </row>
    <row r="496" spans="1:27" ht="20.100000000000001" hidden="1" customHeight="1" x14ac:dyDescent="0.2">
      <c r="A496" s="26"/>
      <c r="B496" s="74"/>
      <c r="C496" s="39"/>
      <c r="D496" s="165"/>
      <c r="E496" s="165"/>
      <c r="F496" s="165"/>
      <c r="G496" s="165"/>
      <c r="H496" s="165"/>
      <c r="I496" s="165"/>
      <c r="J496" s="165"/>
      <c r="K496" s="165"/>
      <c r="L496" s="165"/>
      <c r="M496" s="524"/>
      <c r="N496" s="165"/>
      <c r="O496" s="165"/>
      <c r="P496" s="165"/>
      <c r="Q496" s="165"/>
      <c r="R496" s="524">
        <f t="shared" si="78"/>
        <v>0</v>
      </c>
      <c r="S496" s="165"/>
      <c r="T496" s="165"/>
      <c r="U496" s="165"/>
      <c r="V496" s="165"/>
      <c r="W496" s="165"/>
      <c r="X496" s="166">
        <f t="shared" si="76"/>
        <v>0</v>
      </c>
      <c r="Y496" s="486">
        <f t="shared" si="77"/>
        <v>0</v>
      </c>
      <c r="Z496" s="383"/>
      <c r="AA496" s="353"/>
    </row>
    <row r="497" spans="1:28" ht="20.100000000000001" hidden="1" customHeight="1" x14ac:dyDescent="0.2">
      <c r="A497" s="26"/>
      <c r="B497" s="74"/>
      <c r="C497" s="39"/>
      <c r="D497" s="165"/>
      <c r="E497" s="165"/>
      <c r="F497" s="165"/>
      <c r="G497" s="165"/>
      <c r="H497" s="165"/>
      <c r="I497" s="165"/>
      <c r="J497" s="165"/>
      <c r="K497" s="165"/>
      <c r="L497" s="165"/>
      <c r="M497" s="524"/>
      <c r="N497" s="165"/>
      <c r="O497" s="165"/>
      <c r="P497" s="165"/>
      <c r="Q497" s="165"/>
      <c r="R497" s="524">
        <f t="shared" si="78"/>
        <v>0</v>
      </c>
      <c r="S497" s="165"/>
      <c r="T497" s="165"/>
      <c r="U497" s="165"/>
      <c r="V497" s="165"/>
      <c r="W497" s="165"/>
      <c r="X497" s="166">
        <f t="shared" si="76"/>
        <v>0</v>
      </c>
      <c r="Y497" s="486">
        <f t="shared" si="77"/>
        <v>0</v>
      </c>
      <c r="Z497" s="383"/>
      <c r="AA497" s="353"/>
    </row>
    <row r="498" spans="1:28" ht="20.100000000000001" hidden="1" customHeight="1" x14ac:dyDescent="0.2">
      <c r="A498" s="26"/>
      <c r="B498" s="74"/>
      <c r="C498" s="39"/>
      <c r="D498" s="165"/>
      <c r="E498" s="165"/>
      <c r="F498" s="165"/>
      <c r="G498" s="165"/>
      <c r="H498" s="165"/>
      <c r="I498" s="165"/>
      <c r="J498" s="165"/>
      <c r="K498" s="165"/>
      <c r="L498" s="165"/>
      <c r="M498" s="524"/>
      <c r="N498" s="165"/>
      <c r="O498" s="165"/>
      <c r="P498" s="165"/>
      <c r="Q498" s="165"/>
      <c r="R498" s="524">
        <f t="shared" si="78"/>
        <v>0</v>
      </c>
      <c r="S498" s="165"/>
      <c r="T498" s="165"/>
      <c r="U498" s="165"/>
      <c r="V498" s="165"/>
      <c r="W498" s="165"/>
      <c r="X498" s="166">
        <f t="shared" si="76"/>
        <v>0</v>
      </c>
      <c r="Y498" s="486">
        <f t="shared" si="77"/>
        <v>0</v>
      </c>
      <c r="Z498" s="383"/>
      <c r="AA498" s="353"/>
    </row>
    <row r="499" spans="1:28" ht="20.100000000000001" hidden="1" customHeight="1" x14ac:dyDescent="0.2">
      <c r="A499" s="26"/>
      <c r="B499" s="74"/>
      <c r="C499" s="39"/>
      <c r="D499" s="165"/>
      <c r="E499" s="165"/>
      <c r="F499" s="165"/>
      <c r="G499" s="165"/>
      <c r="H499" s="165"/>
      <c r="I499" s="165"/>
      <c r="J499" s="165"/>
      <c r="K499" s="165"/>
      <c r="L499" s="165"/>
      <c r="M499" s="524"/>
      <c r="N499" s="165"/>
      <c r="O499" s="165"/>
      <c r="P499" s="165"/>
      <c r="Q499" s="165"/>
      <c r="R499" s="524">
        <f t="shared" si="78"/>
        <v>0</v>
      </c>
      <c r="S499" s="165"/>
      <c r="T499" s="165"/>
      <c r="U499" s="165"/>
      <c r="V499" s="165"/>
      <c r="W499" s="165"/>
      <c r="X499" s="166">
        <f t="shared" si="76"/>
        <v>0</v>
      </c>
      <c r="Y499" s="486">
        <f t="shared" si="77"/>
        <v>0</v>
      </c>
      <c r="Z499" s="383"/>
      <c r="AA499" s="353"/>
    </row>
    <row r="500" spans="1:28" ht="20.100000000000001" hidden="1" customHeight="1" x14ac:dyDescent="0.2">
      <c r="A500" s="26"/>
      <c r="B500" s="74"/>
      <c r="C500" s="39"/>
      <c r="D500" s="165"/>
      <c r="E500" s="165"/>
      <c r="F500" s="165"/>
      <c r="G500" s="165"/>
      <c r="H500" s="165"/>
      <c r="I500" s="165"/>
      <c r="J500" s="165"/>
      <c r="K500" s="165"/>
      <c r="L500" s="165"/>
      <c r="M500" s="524"/>
      <c r="N500" s="165"/>
      <c r="O500" s="165"/>
      <c r="P500" s="165"/>
      <c r="Q500" s="165"/>
      <c r="R500" s="524">
        <f t="shared" si="78"/>
        <v>0</v>
      </c>
      <c r="S500" s="165"/>
      <c r="T500" s="165"/>
      <c r="U500" s="165"/>
      <c r="V500" s="165"/>
      <c r="W500" s="165"/>
      <c r="X500" s="166">
        <f t="shared" si="76"/>
        <v>0</v>
      </c>
      <c r="Y500" s="486">
        <f t="shared" si="77"/>
        <v>0</v>
      </c>
      <c r="Z500" s="383"/>
      <c r="AA500" s="353"/>
    </row>
    <row r="501" spans="1:28" ht="20.100000000000001" hidden="1" customHeight="1" x14ac:dyDescent="0.2">
      <c r="A501" s="26"/>
      <c r="B501" s="74"/>
      <c r="C501" s="39"/>
      <c r="D501" s="165"/>
      <c r="E501" s="165"/>
      <c r="F501" s="165"/>
      <c r="G501" s="165"/>
      <c r="H501" s="165"/>
      <c r="I501" s="165"/>
      <c r="J501" s="165"/>
      <c r="K501" s="165"/>
      <c r="L501" s="165"/>
      <c r="M501" s="524"/>
      <c r="N501" s="165"/>
      <c r="O501" s="165"/>
      <c r="P501" s="165"/>
      <c r="Q501" s="165"/>
      <c r="R501" s="524">
        <f t="shared" si="78"/>
        <v>0</v>
      </c>
      <c r="S501" s="165"/>
      <c r="T501" s="165"/>
      <c r="U501" s="165"/>
      <c r="V501" s="165"/>
      <c r="W501" s="165"/>
      <c r="X501" s="166">
        <f t="shared" si="76"/>
        <v>0</v>
      </c>
      <c r="Y501" s="486">
        <f t="shared" si="77"/>
        <v>0</v>
      </c>
      <c r="Z501" s="383"/>
      <c r="AA501" s="353"/>
    </row>
    <row r="502" spans="1:28" ht="20.100000000000001" hidden="1" customHeight="1" x14ac:dyDescent="0.2">
      <c r="A502" s="26"/>
      <c r="B502" s="74"/>
      <c r="C502" s="39"/>
      <c r="D502" s="165"/>
      <c r="E502" s="165"/>
      <c r="F502" s="165"/>
      <c r="G502" s="165"/>
      <c r="H502" s="165"/>
      <c r="I502" s="165"/>
      <c r="J502" s="165"/>
      <c r="K502" s="165"/>
      <c r="L502" s="165"/>
      <c r="M502" s="524"/>
      <c r="N502" s="165"/>
      <c r="O502" s="165"/>
      <c r="P502" s="165"/>
      <c r="Q502" s="165"/>
      <c r="R502" s="524">
        <f t="shared" si="78"/>
        <v>0</v>
      </c>
      <c r="S502" s="165"/>
      <c r="T502" s="165"/>
      <c r="U502" s="165"/>
      <c r="V502" s="165"/>
      <c r="W502" s="165"/>
      <c r="X502" s="166">
        <f t="shared" si="76"/>
        <v>0</v>
      </c>
      <c r="Y502" s="486">
        <f t="shared" si="77"/>
        <v>0</v>
      </c>
      <c r="Z502" s="383"/>
      <c r="AA502" s="353"/>
    </row>
    <row r="503" spans="1:28" ht="20.100000000000001" hidden="1" customHeight="1" x14ac:dyDescent="0.2">
      <c r="A503" s="26"/>
      <c r="B503" s="289"/>
      <c r="C503" s="39"/>
      <c r="D503" s="165"/>
      <c r="E503" s="165"/>
      <c r="F503" s="165"/>
      <c r="G503" s="165"/>
      <c r="H503" s="165"/>
      <c r="I503" s="165"/>
      <c r="J503" s="165"/>
      <c r="K503" s="165"/>
      <c r="L503" s="165"/>
      <c r="M503" s="524"/>
      <c r="N503" s="165"/>
      <c r="O503" s="165"/>
      <c r="P503" s="165"/>
      <c r="Q503" s="165"/>
      <c r="R503" s="524">
        <f t="shared" si="78"/>
        <v>0</v>
      </c>
      <c r="S503" s="165"/>
      <c r="T503" s="165"/>
      <c r="U503" s="165"/>
      <c r="V503" s="165"/>
      <c r="W503" s="165"/>
      <c r="X503" s="166">
        <f t="shared" si="76"/>
        <v>0</v>
      </c>
      <c r="Y503" s="486">
        <f t="shared" si="77"/>
        <v>0</v>
      </c>
      <c r="Z503" s="383"/>
      <c r="AA503" s="353"/>
    </row>
    <row r="504" spans="1:28" ht="20.100000000000001" hidden="1" customHeight="1" x14ac:dyDescent="0.2">
      <c r="A504" s="26"/>
      <c r="B504" s="74"/>
      <c r="C504" s="201" t="s">
        <v>68</v>
      </c>
      <c r="D504" s="165"/>
      <c r="E504" s="165"/>
      <c r="F504" s="165"/>
      <c r="G504" s="165"/>
      <c r="H504" s="165"/>
      <c r="I504" s="165"/>
      <c r="J504" s="165"/>
      <c r="K504" s="165"/>
      <c r="L504" s="165"/>
      <c r="M504" s="524"/>
      <c r="N504" s="165"/>
      <c r="O504" s="165"/>
      <c r="P504" s="165"/>
      <c r="Q504" s="165"/>
      <c r="R504" s="524">
        <f t="shared" si="78"/>
        <v>0</v>
      </c>
      <c r="S504" s="165"/>
      <c r="T504" s="165"/>
      <c r="U504" s="165"/>
      <c r="V504" s="165"/>
      <c r="W504" s="165"/>
      <c r="X504" s="166">
        <f t="shared" si="76"/>
        <v>0</v>
      </c>
      <c r="Y504" s="486">
        <f t="shared" si="77"/>
        <v>0</v>
      </c>
      <c r="Z504" s="383"/>
      <c r="AA504" s="353"/>
    </row>
    <row r="505" spans="1:28" ht="15" hidden="1" customHeight="1" thickBot="1" x14ac:dyDescent="0.25">
      <c r="A505" s="26"/>
      <c r="B505" s="74"/>
      <c r="C505" s="39"/>
      <c r="D505" s="165"/>
      <c r="E505" s="165"/>
      <c r="F505" s="165"/>
      <c r="G505" s="165"/>
      <c r="H505" s="165"/>
      <c r="I505" s="165"/>
      <c r="J505" s="165"/>
      <c r="K505" s="165"/>
      <c r="L505" s="165"/>
      <c r="M505" s="524"/>
      <c r="N505" s="165"/>
      <c r="O505" s="165"/>
      <c r="P505" s="165"/>
      <c r="Q505" s="165"/>
      <c r="R505" s="524"/>
      <c r="S505" s="165"/>
      <c r="T505" s="165"/>
      <c r="U505" s="165"/>
      <c r="V505" s="165"/>
      <c r="W505" s="165"/>
      <c r="X505" s="166"/>
      <c r="Y505" s="486"/>
      <c r="Z505" s="383"/>
      <c r="AA505" s="353"/>
    </row>
    <row r="506" spans="1:28" ht="24.75" hidden="1" customHeight="1" thickTop="1" thickBot="1" x14ac:dyDescent="0.25">
      <c r="A506" s="47"/>
      <c r="B506" s="261" t="s">
        <v>184</v>
      </c>
      <c r="C506" s="44" t="s">
        <v>31</v>
      </c>
      <c r="D506" s="178">
        <f t="shared" ref="D506:Q506" si="79">SUM(D426:D505)</f>
        <v>0</v>
      </c>
      <c r="E506" s="178">
        <f t="shared" si="79"/>
        <v>0</v>
      </c>
      <c r="F506" s="178">
        <f t="shared" si="79"/>
        <v>0</v>
      </c>
      <c r="G506" s="178">
        <f t="shared" si="79"/>
        <v>0</v>
      </c>
      <c r="H506" s="178">
        <f t="shared" si="79"/>
        <v>0</v>
      </c>
      <c r="I506" s="178">
        <f t="shared" si="79"/>
        <v>0</v>
      </c>
      <c r="J506" s="178">
        <f t="shared" si="79"/>
        <v>0</v>
      </c>
      <c r="K506" s="178">
        <f t="shared" si="79"/>
        <v>0</v>
      </c>
      <c r="L506" s="178">
        <f t="shared" si="79"/>
        <v>0</v>
      </c>
      <c r="M506" s="694">
        <f t="shared" si="79"/>
        <v>0</v>
      </c>
      <c r="N506" s="178">
        <f t="shared" si="79"/>
        <v>0</v>
      </c>
      <c r="O506" s="178">
        <f t="shared" si="79"/>
        <v>0</v>
      </c>
      <c r="P506" s="178">
        <f t="shared" si="79"/>
        <v>0</v>
      </c>
      <c r="Q506" s="178">
        <f t="shared" si="79"/>
        <v>0</v>
      </c>
      <c r="R506" s="694">
        <f t="shared" si="78"/>
        <v>0</v>
      </c>
      <c r="S506" s="178"/>
      <c r="T506" s="178">
        <f>SUM(T426:T505)</f>
        <v>0</v>
      </c>
      <c r="U506" s="178">
        <f>SUM(U426:U505)</f>
        <v>0</v>
      </c>
      <c r="V506" s="178">
        <f>SUM(V426:V505)</f>
        <v>0</v>
      </c>
      <c r="W506" s="178">
        <f>SUM(W426:W505)</f>
        <v>0</v>
      </c>
      <c r="X506" s="468">
        <f>SUM(T506:W506)</f>
        <v>0</v>
      </c>
      <c r="Y506" s="701">
        <f>R506+X506</f>
        <v>0</v>
      </c>
      <c r="Z506" s="179">
        <f>SUM(Z426:Z505)</f>
        <v>0</v>
      </c>
      <c r="AA506" s="356"/>
    </row>
    <row r="507" spans="1:28" ht="27.75" hidden="1" customHeight="1" thickTop="1" thickBot="1" x14ac:dyDescent="0.25">
      <c r="A507" s="47"/>
      <c r="B507" s="573" t="s">
        <v>183</v>
      </c>
      <c r="C507" s="44" t="s">
        <v>155</v>
      </c>
      <c r="D507" s="541">
        <f t="shared" ref="D507:Q507" si="80">D425+D506</f>
        <v>108164.9</v>
      </c>
      <c r="E507" s="541">
        <f t="shared" si="80"/>
        <v>26389.616000000002</v>
      </c>
      <c r="F507" s="541">
        <f t="shared" si="80"/>
        <v>4776121.8180000009</v>
      </c>
      <c r="G507" s="541">
        <f t="shared" si="80"/>
        <v>197740</v>
      </c>
      <c r="H507" s="541">
        <f t="shared" si="80"/>
        <v>150591.49600000001</v>
      </c>
      <c r="I507" s="541">
        <f t="shared" si="80"/>
        <v>70493</v>
      </c>
      <c r="J507" s="541">
        <f t="shared" si="80"/>
        <v>680624.755</v>
      </c>
      <c r="K507" s="541">
        <f t="shared" si="80"/>
        <v>1175180.8630000001</v>
      </c>
      <c r="L507" s="541">
        <f t="shared" si="80"/>
        <v>4667745.6109999996</v>
      </c>
      <c r="M507" s="692">
        <f t="shared" si="80"/>
        <v>43579</v>
      </c>
      <c r="N507" s="541">
        <f t="shared" si="80"/>
        <v>58478</v>
      </c>
      <c r="O507" s="541">
        <f t="shared" si="80"/>
        <v>10000</v>
      </c>
      <c r="P507" s="541">
        <f t="shared" si="80"/>
        <v>0</v>
      </c>
      <c r="Q507" s="541">
        <f t="shared" si="80"/>
        <v>698379</v>
      </c>
      <c r="R507" s="692">
        <f t="shared" si="78"/>
        <v>12663488.059</v>
      </c>
      <c r="S507" s="167"/>
      <c r="T507" s="541">
        <f>T425+T506</f>
        <v>0</v>
      </c>
      <c r="U507" s="541">
        <f>U425+U506</f>
        <v>7960052</v>
      </c>
      <c r="V507" s="541">
        <f>V425+V506</f>
        <v>109727.535</v>
      </c>
      <c r="W507" s="541">
        <f>W425+W506</f>
        <v>0</v>
      </c>
      <c r="X507" s="542">
        <f>SUM(T507:W507)</f>
        <v>8069779.5350000001</v>
      </c>
      <c r="Y507" s="570">
        <f>R507+X507</f>
        <v>20733267.594000001</v>
      </c>
      <c r="Z507" s="543">
        <f>Z425+Z506</f>
        <v>6871235.534</v>
      </c>
      <c r="AA507" s="356"/>
      <c r="AB507" s="85">
        <f>Y507+Z507</f>
        <v>27604503.127999999</v>
      </c>
    </row>
    <row r="508" spans="1:28" ht="24.95" hidden="1" customHeight="1" thickTop="1" x14ac:dyDescent="0.2">
      <c r="A508" s="574"/>
      <c r="B508" s="506" t="s">
        <v>186</v>
      </c>
      <c r="C508" s="550" t="s">
        <v>18</v>
      </c>
      <c r="D508" s="551">
        <f t="shared" ref="D508:Q508" si="81">D507</f>
        <v>108164.9</v>
      </c>
      <c r="E508" s="551">
        <f t="shared" si="81"/>
        <v>26389.616000000002</v>
      </c>
      <c r="F508" s="551">
        <f t="shared" si="81"/>
        <v>4776121.8180000009</v>
      </c>
      <c r="G508" s="551">
        <f t="shared" si="81"/>
        <v>197740</v>
      </c>
      <c r="H508" s="551">
        <f t="shared" si="81"/>
        <v>150591.49600000001</v>
      </c>
      <c r="I508" s="551">
        <f t="shared" si="81"/>
        <v>70493</v>
      </c>
      <c r="J508" s="551">
        <f t="shared" si="81"/>
        <v>680624.755</v>
      </c>
      <c r="K508" s="551">
        <f t="shared" si="81"/>
        <v>1175180.8630000001</v>
      </c>
      <c r="L508" s="551">
        <f t="shared" si="81"/>
        <v>4667745.6109999996</v>
      </c>
      <c r="M508" s="693">
        <f t="shared" si="81"/>
        <v>43579</v>
      </c>
      <c r="N508" s="551">
        <f t="shared" si="81"/>
        <v>58478</v>
      </c>
      <c r="O508" s="551">
        <f t="shared" si="81"/>
        <v>10000</v>
      </c>
      <c r="P508" s="551">
        <f t="shared" si="81"/>
        <v>0</v>
      </c>
      <c r="Q508" s="551">
        <f t="shared" si="81"/>
        <v>698379</v>
      </c>
      <c r="R508" s="693">
        <f t="shared" si="78"/>
        <v>12663488.059</v>
      </c>
      <c r="S508" s="551"/>
      <c r="T508" s="551">
        <f>T507</f>
        <v>0</v>
      </c>
      <c r="U508" s="551">
        <f>U507</f>
        <v>7960052</v>
      </c>
      <c r="V508" s="551">
        <f>V507</f>
        <v>109727.535</v>
      </c>
      <c r="W508" s="551">
        <f>W507</f>
        <v>0</v>
      </c>
      <c r="X508" s="552">
        <f>SUM(T508:W508)</f>
        <v>8069779.5350000001</v>
      </c>
      <c r="Y508" s="700">
        <f>R508+X508</f>
        <v>20733267.594000001</v>
      </c>
      <c r="Z508" s="554">
        <f>Z507</f>
        <v>6871235.534</v>
      </c>
    </row>
    <row r="509" spans="1:28" ht="20.100000000000001" hidden="1" customHeight="1" x14ac:dyDescent="0.2">
      <c r="A509" s="26">
        <v>1</v>
      </c>
      <c r="B509" s="74"/>
      <c r="C509" s="39"/>
      <c r="D509" s="165"/>
      <c r="E509" s="165"/>
      <c r="F509" s="165"/>
      <c r="G509" s="165"/>
      <c r="H509" s="165"/>
      <c r="I509" s="165"/>
      <c r="J509" s="165"/>
      <c r="K509" s="165"/>
      <c r="L509" s="165"/>
      <c r="M509" s="524"/>
      <c r="N509" s="165"/>
      <c r="O509" s="165"/>
      <c r="P509" s="165"/>
      <c r="Q509" s="165"/>
      <c r="R509" s="524">
        <f t="shared" ref="R509:R515" si="82">SUM(D509:Q509)</f>
        <v>0</v>
      </c>
      <c r="S509" s="165"/>
      <c r="T509" s="165"/>
      <c r="U509" s="165"/>
      <c r="V509" s="165"/>
      <c r="W509" s="165"/>
      <c r="X509" s="166">
        <f t="shared" ref="X509:X515" si="83">SUM(T509:W509)</f>
        <v>0</v>
      </c>
      <c r="Y509" s="486">
        <f t="shared" ref="Y509:Y515" si="84">R509+X509</f>
        <v>0</v>
      </c>
      <c r="Z509" s="383"/>
    </row>
    <row r="510" spans="1:28" ht="20.100000000000001" hidden="1" customHeight="1" x14ac:dyDescent="0.2">
      <c r="A510" s="26">
        <v>2</v>
      </c>
      <c r="B510" s="74"/>
      <c r="C510" s="39"/>
      <c r="D510" s="165"/>
      <c r="E510" s="165"/>
      <c r="F510" s="165"/>
      <c r="G510" s="165"/>
      <c r="H510" s="165"/>
      <c r="I510" s="165"/>
      <c r="J510" s="165"/>
      <c r="K510" s="165"/>
      <c r="L510" s="165"/>
      <c r="M510" s="524"/>
      <c r="N510" s="165"/>
      <c r="O510" s="165"/>
      <c r="P510" s="165"/>
      <c r="Q510" s="165"/>
      <c r="R510" s="524">
        <f t="shared" si="82"/>
        <v>0</v>
      </c>
      <c r="S510" s="165"/>
      <c r="T510" s="165"/>
      <c r="U510" s="165"/>
      <c r="V510" s="165"/>
      <c r="W510" s="165"/>
      <c r="X510" s="166">
        <f t="shared" si="83"/>
        <v>0</v>
      </c>
      <c r="Y510" s="486">
        <f t="shared" si="84"/>
        <v>0</v>
      </c>
      <c r="Z510" s="383"/>
    </row>
    <row r="511" spans="1:28" ht="20.100000000000001" hidden="1" customHeight="1" x14ac:dyDescent="0.2">
      <c r="A511" s="26">
        <v>3</v>
      </c>
      <c r="B511" s="74"/>
      <c r="C511" s="39"/>
      <c r="D511" s="165"/>
      <c r="E511" s="165"/>
      <c r="F511" s="165"/>
      <c r="G511" s="165"/>
      <c r="H511" s="165"/>
      <c r="I511" s="165"/>
      <c r="J511" s="165"/>
      <c r="K511" s="165"/>
      <c r="L511" s="165"/>
      <c r="M511" s="524"/>
      <c r="N511" s="165"/>
      <c r="O511" s="165"/>
      <c r="P511" s="165"/>
      <c r="Q511" s="165"/>
      <c r="R511" s="524">
        <f t="shared" si="82"/>
        <v>0</v>
      </c>
      <c r="S511" s="165"/>
      <c r="T511" s="165"/>
      <c r="U511" s="165"/>
      <c r="V511" s="165"/>
      <c r="W511" s="165"/>
      <c r="X511" s="166">
        <f t="shared" si="83"/>
        <v>0</v>
      </c>
      <c r="Y511" s="486">
        <f t="shared" si="84"/>
        <v>0</v>
      </c>
      <c r="Z511" s="383"/>
    </row>
    <row r="512" spans="1:28" ht="20.100000000000001" hidden="1" customHeight="1" x14ac:dyDescent="0.2">
      <c r="A512" s="26">
        <v>4</v>
      </c>
      <c r="B512" s="74"/>
      <c r="C512" s="39"/>
      <c r="D512" s="165"/>
      <c r="E512" s="165"/>
      <c r="F512" s="165"/>
      <c r="G512" s="165"/>
      <c r="H512" s="165"/>
      <c r="I512" s="165"/>
      <c r="J512" s="165"/>
      <c r="K512" s="165"/>
      <c r="L512" s="165"/>
      <c r="M512" s="524"/>
      <c r="N512" s="165"/>
      <c r="O512" s="165"/>
      <c r="P512" s="165"/>
      <c r="Q512" s="165"/>
      <c r="R512" s="524">
        <f t="shared" si="82"/>
        <v>0</v>
      </c>
      <c r="S512" s="165"/>
      <c r="T512" s="165"/>
      <c r="U512" s="165"/>
      <c r="V512" s="165"/>
      <c r="W512" s="165"/>
      <c r="X512" s="166">
        <f t="shared" si="83"/>
        <v>0</v>
      </c>
      <c r="Y512" s="486">
        <f t="shared" si="84"/>
        <v>0</v>
      </c>
      <c r="Z512" s="383"/>
    </row>
    <row r="513" spans="1:26" ht="20.100000000000001" hidden="1" customHeight="1" x14ac:dyDescent="0.2">
      <c r="A513" s="26">
        <v>5</v>
      </c>
      <c r="B513" s="74"/>
      <c r="C513" s="39"/>
      <c r="D513" s="165"/>
      <c r="E513" s="165"/>
      <c r="F513" s="165"/>
      <c r="G513" s="165"/>
      <c r="H513" s="165"/>
      <c r="I513" s="165"/>
      <c r="J513" s="165"/>
      <c r="K513" s="165"/>
      <c r="L513" s="165"/>
      <c r="M513" s="524"/>
      <c r="N513" s="165"/>
      <c r="O513" s="165"/>
      <c r="P513" s="165"/>
      <c r="Q513" s="165"/>
      <c r="R513" s="524">
        <f t="shared" si="82"/>
        <v>0</v>
      </c>
      <c r="S513" s="165"/>
      <c r="T513" s="165"/>
      <c r="U513" s="165"/>
      <c r="V513" s="165"/>
      <c r="W513" s="165"/>
      <c r="X513" s="166">
        <f t="shared" si="83"/>
        <v>0</v>
      </c>
      <c r="Y513" s="486">
        <f t="shared" si="84"/>
        <v>0</v>
      </c>
      <c r="Z513" s="383"/>
    </row>
    <row r="514" spans="1:26" ht="20.100000000000001" hidden="1" customHeight="1" x14ac:dyDescent="0.2">
      <c r="A514" s="26">
        <v>6</v>
      </c>
      <c r="B514" s="74"/>
      <c r="C514" s="39"/>
      <c r="D514" s="165"/>
      <c r="E514" s="165"/>
      <c r="F514" s="165"/>
      <c r="G514" s="165"/>
      <c r="H514" s="165"/>
      <c r="I514" s="165"/>
      <c r="J514" s="165"/>
      <c r="K514" s="165"/>
      <c r="L514" s="165"/>
      <c r="M514" s="524"/>
      <c r="N514" s="165"/>
      <c r="O514" s="165"/>
      <c r="P514" s="165"/>
      <c r="Q514" s="165"/>
      <c r="R514" s="524">
        <f t="shared" si="82"/>
        <v>0</v>
      </c>
      <c r="S514" s="165"/>
      <c r="T514" s="165"/>
      <c r="U514" s="165"/>
      <c r="V514" s="165"/>
      <c r="W514" s="165"/>
      <c r="X514" s="166">
        <f t="shared" si="83"/>
        <v>0</v>
      </c>
      <c r="Y514" s="486">
        <f t="shared" si="84"/>
        <v>0</v>
      </c>
      <c r="Z514" s="383"/>
    </row>
    <row r="515" spans="1:26" ht="20.100000000000001" hidden="1" customHeight="1" x14ac:dyDescent="0.2">
      <c r="A515" s="26">
        <v>7</v>
      </c>
      <c r="B515" s="74"/>
      <c r="C515" s="39"/>
      <c r="D515" s="165"/>
      <c r="E515" s="165"/>
      <c r="F515" s="165"/>
      <c r="G515" s="165"/>
      <c r="H515" s="165"/>
      <c r="I515" s="165"/>
      <c r="J515" s="165"/>
      <c r="K515" s="165"/>
      <c r="L515" s="165"/>
      <c r="M515" s="524"/>
      <c r="N515" s="165"/>
      <c r="O515" s="165"/>
      <c r="P515" s="165"/>
      <c r="Q515" s="165"/>
      <c r="R515" s="524">
        <f t="shared" si="82"/>
        <v>0</v>
      </c>
      <c r="S515" s="165"/>
      <c r="T515" s="165"/>
      <c r="U515" s="165"/>
      <c r="V515" s="165"/>
      <c r="W515" s="165"/>
      <c r="X515" s="166">
        <f t="shared" si="83"/>
        <v>0</v>
      </c>
      <c r="Y515" s="486">
        <f t="shared" si="84"/>
        <v>0</v>
      </c>
      <c r="Z515" s="383"/>
    </row>
    <row r="516" spans="1:26" ht="20.100000000000001" hidden="1" customHeight="1" x14ac:dyDescent="0.2">
      <c r="A516" s="26">
        <v>8</v>
      </c>
      <c r="B516" s="74"/>
      <c r="C516" s="39"/>
      <c r="D516" s="165"/>
      <c r="E516" s="165"/>
      <c r="F516" s="165"/>
      <c r="G516" s="165"/>
      <c r="H516" s="165"/>
      <c r="I516" s="165"/>
      <c r="J516" s="165"/>
      <c r="K516" s="165"/>
      <c r="L516" s="165"/>
      <c r="M516" s="524"/>
      <c r="N516" s="165"/>
      <c r="O516" s="165"/>
      <c r="P516" s="165"/>
      <c r="Q516" s="165"/>
      <c r="R516" s="524">
        <f t="shared" ref="R516:R563" si="85">SUM(D516:Q516)</f>
        <v>0</v>
      </c>
      <c r="S516" s="165"/>
      <c r="T516" s="165"/>
      <c r="U516" s="165"/>
      <c r="V516" s="165"/>
      <c r="W516" s="165"/>
      <c r="X516" s="166">
        <f t="shared" ref="X516:X563" si="86">SUM(T516:W516)</f>
        <v>0</v>
      </c>
      <c r="Y516" s="486">
        <f t="shared" ref="Y516:Y563" si="87">R516+X516</f>
        <v>0</v>
      </c>
      <c r="Z516" s="383"/>
    </row>
    <row r="517" spans="1:26" ht="20.100000000000001" hidden="1" customHeight="1" x14ac:dyDescent="0.2">
      <c r="A517" s="26">
        <v>9</v>
      </c>
      <c r="B517" s="74"/>
      <c r="C517" s="39"/>
      <c r="D517" s="165"/>
      <c r="E517" s="165"/>
      <c r="F517" s="165"/>
      <c r="G517" s="165"/>
      <c r="H517" s="165"/>
      <c r="I517" s="165"/>
      <c r="J517" s="165"/>
      <c r="K517" s="165"/>
      <c r="L517" s="165"/>
      <c r="M517" s="524"/>
      <c r="N517" s="165"/>
      <c r="O517" s="165"/>
      <c r="P517" s="165"/>
      <c r="Q517" s="165"/>
      <c r="R517" s="524">
        <f t="shared" si="85"/>
        <v>0</v>
      </c>
      <c r="S517" s="165"/>
      <c r="T517" s="165"/>
      <c r="U517" s="165"/>
      <c r="V517" s="165"/>
      <c r="W517" s="165"/>
      <c r="X517" s="166">
        <f t="shared" si="86"/>
        <v>0</v>
      </c>
      <c r="Y517" s="486">
        <f t="shared" si="87"/>
        <v>0</v>
      </c>
      <c r="Z517" s="383"/>
    </row>
    <row r="518" spans="1:26" ht="20.100000000000001" hidden="1" customHeight="1" x14ac:dyDescent="0.2">
      <c r="A518" s="26">
        <v>10</v>
      </c>
      <c r="B518" s="74"/>
      <c r="C518" s="39"/>
      <c r="D518" s="165"/>
      <c r="E518" s="165"/>
      <c r="F518" s="165"/>
      <c r="G518" s="165"/>
      <c r="H518" s="165"/>
      <c r="I518" s="165"/>
      <c r="J518" s="165"/>
      <c r="K518" s="165"/>
      <c r="L518" s="165"/>
      <c r="M518" s="524"/>
      <c r="N518" s="165"/>
      <c r="O518" s="165"/>
      <c r="P518" s="165"/>
      <c r="Q518" s="165"/>
      <c r="R518" s="524">
        <f t="shared" si="85"/>
        <v>0</v>
      </c>
      <c r="S518" s="165"/>
      <c r="T518" s="165"/>
      <c r="U518" s="165"/>
      <c r="V518" s="165"/>
      <c r="W518" s="165"/>
      <c r="X518" s="166">
        <f t="shared" si="86"/>
        <v>0</v>
      </c>
      <c r="Y518" s="486">
        <f t="shared" si="87"/>
        <v>0</v>
      </c>
      <c r="Z518" s="383"/>
    </row>
    <row r="519" spans="1:26" ht="20.100000000000001" hidden="1" customHeight="1" x14ac:dyDescent="0.2">
      <c r="A519" s="26">
        <v>11</v>
      </c>
      <c r="B519" s="74"/>
      <c r="C519" s="39"/>
      <c r="D519" s="165"/>
      <c r="E519" s="165"/>
      <c r="F519" s="165"/>
      <c r="G519" s="165"/>
      <c r="H519" s="165"/>
      <c r="I519" s="165"/>
      <c r="J519" s="165"/>
      <c r="K519" s="165"/>
      <c r="L519" s="165"/>
      <c r="M519" s="524"/>
      <c r="N519" s="165"/>
      <c r="O519" s="165"/>
      <c r="P519" s="165"/>
      <c r="Q519" s="165"/>
      <c r="R519" s="524">
        <f t="shared" si="85"/>
        <v>0</v>
      </c>
      <c r="S519" s="165"/>
      <c r="T519" s="165"/>
      <c r="U519" s="165"/>
      <c r="V519" s="165"/>
      <c r="W519" s="165"/>
      <c r="X519" s="166">
        <f t="shared" si="86"/>
        <v>0</v>
      </c>
      <c r="Y519" s="486">
        <f t="shared" si="87"/>
        <v>0</v>
      </c>
      <c r="Z519" s="383"/>
    </row>
    <row r="520" spans="1:26" ht="20.100000000000001" hidden="1" customHeight="1" x14ac:dyDescent="0.2">
      <c r="A520" s="26">
        <v>12</v>
      </c>
      <c r="B520" s="289"/>
      <c r="C520" s="39"/>
      <c r="D520" s="165"/>
      <c r="E520" s="165"/>
      <c r="F520" s="165"/>
      <c r="G520" s="165"/>
      <c r="H520" s="165"/>
      <c r="I520" s="165"/>
      <c r="J520" s="165"/>
      <c r="K520" s="165"/>
      <c r="L520" s="165"/>
      <c r="M520" s="524"/>
      <c r="N520" s="165"/>
      <c r="O520" s="165"/>
      <c r="P520" s="165"/>
      <c r="Q520" s="165"/>
      <c r="R520" s="524">
        <f t="shared" si="85"/>
        <v>0</v>
      </c>
      <c r="S520" s="165"/>
      <c r="T520" s="165"/>
      <c r="U520" s="165"/>
      <c r="V520" s="165"/>
      <c r="W520" s="165"/>
      <c r="X520" s="166">
        <f t="shared" si="86"/>
        <v>0</v>
      </c>
      <c r="Y520" s="486">
        <f t="shared" si="87"/>
        <v>0</v>
      </c>
      <c r="Z520" s="383"/>
    </row>
    <row r="521" spans="1:26" ht="20.100000000000001" hidden="1" customHeight="1" x14ac:dyDescent="0.2">
      <c r="A521" s="26">
        <v>13</v>
      </c>
      <c r="B521" s="74"/>
      <c r="C521" s="39"/>
      <c r="D521" s="165"/>
      <c r="E521" s="165"/>
      <c r="F521" s="165"/>
      <c r="G521" s="165"/>
      <c r="H521" s="165"/>
      <c r="I521" s="165"/>
      <c r="J521" s="165"/>
      <c r="K521" s="165"/>
      <c r="L521" s="165"/>
      <c r="M521" s="524"/>
      <c r="N521" s="165"/>
      <c r="O521" s="165"/>
      <c r="P521" s="165"/>
      <c r="Q521" s="165"/>
      <c r="R521" s="524">
        <f t="shared" si="85"/>
        <v>0</v>
      </c>
      <c r="S521" s="165"/>
      <c r="T521" s="165"/>
      <c r="U521" s="165"/>
      <c r="V521" s="165"/>
      <c r="W521" s="165"/>
      <c r="X521" s="166">
        <f t="shared" si="86"/>
        <v>0</v>
      </c>
      <c r="Y521" s="486">
        <f t="shared" si="87"/>
        <v>0</v>
      </c>
      <c r="Z521" s="383"/>
    </row>
    <row r="522" spans="1:26" ht="20.100000000000001" hidden="1" customHeight="1" x14ac:dyDescent="0.2">
      <c r="A522" s="26">
        <v>14</v>
      </c>
      <c r="B522" s="74"/>
      <c r="C522" s="39"/>
      <c r="D522" s="165"/>
      <c r="E522" s="165"/>
      <c r="F522" s="165"/>
      <c r="G522" s="165"/>
      <c r="H522" s="165"/>
      <c r="I522" s="165"/>
      <c r="J522" s="165"/>
      <c r="K522" s="165"/>
      <c r="L522" s="165"/>
      <c r="M522" s="524"/>
      <c r="N522" s="165"/>
      <c r="O522" s="165"/>
      <c r="P522" s="165"/>
      <c r="Q522" s="165"/>
      <c r="R522" s="524">
        <f t="shared" si="85"/>
        <v>0</v>
      </c>
      <c r="S522" s="165"/>
      <c r="T522" s="165"/>
      <c r="U522" s="165"/>
      <c r="V522" s="165"/>
      <c r="W522" s="165"/>
      <c r="X522" s="166">
        <f t="shared" si="86"/>
        <v>0</v>
      </c>
      <c r="Y522" s="486">
        <f t="shared" si="87"/>
        <v>0</v>
      </c>
      <c r="Z522" s="383"/>
    </row>
    <row r="523" spans="1:26" ht="20.100000000000001" hidden="1" customHeight="1" x14ac:dyDescent="0.2">
      <c r="A523" s="26">
        <v>15</v>
      </c>
      <c r="B523" s="74"/>
      <c r="C523" s="39"/>
      <c r="D523" s="165"/>
      <c r="E523" s="165"/>
      <c r="F523" s="165"/>
      <c r="G523" s="165"/>
      <c r="H523" s="165"/>
      <c r="I523" s="165"/>
      <c r="J523" s="165"/>
      <c r="K523" s="165"/>
      <c r="L523" s="165"/>
      <c r="M523" s="524"/>
      <c r="N523" s="165"/>
      <c r="O523" s="165"/>
      <c r="P523" s="165"/>
      <c r="Q523" s="165"/>
      <c r="R523" s="524">
        <f t="shared" si="85"/>
        <v>0</v>
      </c>
      <c r="S523" s="165"/>
      <c r="T523" s="165"/>
      <c r="U523" s="165"/>
      <c r="V523" s="165"/>
      <c r="W523" s="165"/>
      <c r="X523" s="166">
        <f t="shared" si="86"/>
        <v>0</v>
      </c>
      <c r="Y523" s="486">
        <f t="shared" si="87"/>
        <v>0</v>
      </c>
      <c r="Z523" s="383"/>
    </row>
    <row r="524" spans="1:26" ht="20.100000000000001" hidden="1" customHeight="1" x14ac:dyDescent="0.2">
      <c r="A524" s="26"/>
      <c r="B524" s="74"/>
      <c r="C524" s="39"/>
      <c r="D524" s="165"/>
      <c r="E524" s="165"/>
      <c r="F524" s="165"/>
      <c r="G524" s="165"/>
      <c r="H524" s="165"/>
      <c r="I524" s="165"/>
      <c r="J524" s="165"/>
      <c r="K524" s="165"/>
      <c r="L524" s="165"/>
      <c r="M524" s="524"/>
      <c r="N524" s="165"/>
      <c r="O524" s="165"/>
      <c r="P524" s="165"/>
      <c r="Q524" s="165"/>
      <c r="R524" s="524">
        <f t="shared" si="85"/>
        <v>0</v>
      </c>
      <c r="S524" s="165"/>
      <c r="T524" s="165"/>
      <c r="U524" s="165"/>
      <c r="V524" s="165"/>
      <c r="W524" s="165"/>
      <c r="X524" s="166">
        <f t="shared" si="86"/>
        <v>0</v>
      </c>
      <c r="Y524" s="486">
        <f t="shared" si="87"/>
        <v>0</v>
      </c>
      <c r="Z524" s="383"/>
    </row>
    <row r="525" spans="1:26" ht="20.100000000000001" hidden="1" customHeight="1" x14ac:dyDescent="0.2">
      <c r="A525" s="26">
        <v>16</v>
      </c>
      <c r="B525" s="289"/>
      <c r="C525" s="39"/>
      <c r="D525" s="165"/>
      <c r="E525" s="165"/>
      <c r="F525" s="165"/>
      <c r="G525" s="165"/>
      <c r="H525" s="165"/>
      <c r="I525" s="165"/>
      <c r="J525" s="165"/>
      <c r="K525" s="165"/>
      <c r="L525" s="165"/>
      <c r="M525" s="524"/>
      <c r="N525" s="165"/>
      <c r="O525" s="165"/>
      <c r="P525" s="165"/>
      <c r="Q525" s="165"/>
      <c r="R525" s="524">
        <f t="shared" si="85"/>
        <v>0</v>
      </c>
      <c r="S525" s="165"/>
      <c r="T525" s="165"/>
      <c r="U525" s="165"/>
      <c r="V525" s="165"/>
      <c r="W525" s="165"/>
      <c r="X525" s="166">
        <f t="shared" si="86"/>
        <v>0</v>
      </c>
      <c r="Y525" s="486">
        <f t="shared" si="87"/>
        <v>0</v>
      </c>
      <c r="Z525" s="383"/>
    </row>
    <row r="526" spans="1:26" ht="20.100000000000001" hidden="1" customHeight="1" thickTop="1" x14ac:dyDescent="0.2">
      <c r="A526" s="26">
        <v>17</v>
      </c>
      <c r="B526" s="74"/>
      <c r="C526" s="39"/>
      <c r="D526" s="165"/>
      <c r="E526" s="165"/>
      <c r="F526" s="165"/>
      <c r="G526" s="165"/>
      <c r="H526" s="165"/>
      <c r="I526" s="165"/>
      <c r="J526" s="165"/>
      <c r="K526" s="165"/>
      <c r="L526" s="165"/>
      <c r="M526" s="524"/>
      <c r="N526" s="165"/>
      <c r="O526" s="165"/>
      <c r="P526" s="165"/>
      <c r="Q526" s="165"/>
      <c r="R526" s="524">
        <f t="shared" si="85"/>
        <v>0</v>
      </c>
      <c r="S526" s="165"/>
      <c r="T526" s="165"/>
      <c r="U526" s="165"/>
      <c r="V526" s="165"/>
      <c r="W526" s="165"/>
      <c r="X526" s="166">
        <f t="shared" si="86"/>
        <v>0</v>
      </c>
      <c r="Y526" s="486">
        <f t="shared" si="87"/>
        <v>0</v>
      </c>
      <c r="Z526" s="383"/>
    </row>
    <row r="527" spans="1:26" ht="20.100000000000001" hidden="1" customHeight="1" x14ac:dyDescent="0.2">
      <c r="A527" s="26">
        <v>18</v>
      </c>
      <c r="B527" s="74"/>
      <c r="C527" s="39"/>
      <c r="D527" s="165"/>
      <c r="E527" s="165"/>
      <c r="F527" s="165"/>
      <c r="G527" s="165"/>
      <c r="H527" s="165"/>
      <c r="I527" s="165"/>
      <c r="J527" s="165"/>
      <c r="K527" s="165"/>
      <c r="L527" s="165"/>
      <c r="M527" s="524"/>
      <c r="N527" s="165"/>
      <c r="O527" s="165"/>
      <c r="P527" s="165"/>
      <c r="Q527" s="165"/>
      <c r="R527" s="524">
        <f t="shared" si="85"/>
        <v>0</v>
      </c>
      <c r="S527" s="165"/>
      <c r="T527" s="165"/>
      <c r="U527" s="165"/>
      <c r="V527" s="165"/>
      <c r="W527" s="165"/>
      <c r="X527" s="166">
        <f t="shared" si="86"/>
        <v>0</v>
      </c>
      <c r="Y527" s="486">
        <f t="shared" si="87"/>
        <v>0</v>
      </c>
      <c r="Z527" s="383"/>
    </row>
    <row r="528" spans="1:26" ht="20.100000000000001" hidden="1" customHeight="1" x14ac:dyDescent="0.2">
      <c r="A528" s="26">
        <v>19</v>
      </c>
      <c r="B528" s="74"/>
      <c r="C528" s="39"/>
      <c r="D528" s="165"/>
      <c r="E528" s="165"/>
      <c r="F528" s="165"/>
      <c r="G528" s="165"/>
      <c r="H528" s="165"/>
      <c r="I528" s="165"/>
      <c r="J528" s="165"/>
      <c r="K528" s="165"/>
      <c r="L528" s="165"/>
      <c r="M528" s="524"/>
      <c r="N528" s="165"/>
      <c r="O528" s="165"/>
      <c r="P528" s="165"/>
      <c r="Q528" s="165"/>
      <c r="R528" s="524">
        <f t="shared" si="85"/>
        <v>0</v>
      </c>
      <c r="S528" s="165"/>
      <c r="T528" s="165"/>
      <c r="U528" s="165"/>
      <c r="V528" s="165"/>
      <c r="W528" s="165"/>
      <c r="X528" s="166">
        <f t="shared" si="86"/>
        <v>0</v>
      </c>
      <c r="Y528" s="486">
        <f t="shared" si="87"/>
        <v>0</v>
      </c>
      <c r="Z528" s="383"/>
    </row>
    <row r="529" spans="1:26" ht="20.100000000000001" hidden="1" customHeight="1" x14ac:dyDescent="0.2">
      <c r="A529" s="26">
        <v>20</v>
      </c>
      <c r="B529" s="74"/>
      <c r="C529" s="39"/>
      <c r="D529" s="165"/>
      <c r="E529" s="165"/>
      <c r="F529" s="165"/>
      <c r="G529" s="165"/>
      <c r="H529" s="165"/>
      <c r="I529" s="165"/>
      <c r="J529" s="165"/>
      <c r="K529" s="165"/>
      <c r="L529" s="165"/>
      <c r="M529" s="524"/>
      <c r="N529" s="165"/>
      <c r="O529" s="165"/>
      <c r="P529" s="165"/>
      <c r="Q529" s="165"/>
      <c r="R529" s="524">
        <f t="shared" si="85"/>
        <v>0</v>
      </c>
      <c r="S529" s="165"/>
      <c r="T529" s="165"/>
      <c r="U529" s="165"/>
      <c r="V529" s="165"/>
      <c r="W529" s="165"/>
      <c r="X529" s="166">
        <f t="shared" si="86"/>
        <v>0</v>
      </c>
      <c r="Y529" s="486">
        <f t="shared" si="87"/>
        <v>0</v>
      </c>
      <c r="Z529" s="383"/>
    </row>
    <row r="530" spans="1:26" ht="20.100000000000001" hidden="1" customHeight="1" x14ac:dyDescent="0.2">
      <c r="A530" s="26">
        <v>21</v>
      </c>
      <c r="B530" s="74"/>
      <c r="C530" s="39"/>
      <c r="D530" s="165"/>
      <c r="E530" s="165"/>
      <c r="F530" s="165"/>
      <c r="G530" s="165"/>
      <c r="H530" s="165"/>
      <c r="I530" s="165"/>
      <c r="J530" s="165"/>
      <c r="K530" s="165"/>
      <c r="L530" s="165"/>
      <c r="M530" s="524"/>
      <c r="N530" s="165"/>
      <c r="P530" s="165"/>
      <c r="Q530" s="165"/>
      <c r="R530" s="524">
        <f>SUM(D530:Q530)</f>
        <v>0</v>
      </c>
      <c r="S530" s="165"/>
      <c r="T530" s="165"/>
      <c r="U530" s="165"/>
      <c r="V530" s="165"/>
      <c r="W530" s="165"/>
      <c r="X530" s="166">
        <f t="shared" si="86"/>
        <v>0</v>
      </c>
      <c r="Y530" s="486">
        <f t="shared" si="87"/>
        <v>0</v>
      </c>
      <c r="Z530" s="383"/>
    </row>
    <row r="531" spans="1:26" ht="20.100000000000001" hidden="1" customHeight="1" x14ac:dyDescent="0.2">
      <c r="A531" s="26">
        <v>22</v>
      </c>
      <c r="B531" s="289"/>
      <c r="C531" s="39"/>
      <c r="D531" s="165"/>
      <c r="E531" s="165"/>
      <c r="F531" s="165"/>
      <c r="G531" s="165"/>
      <c r="H531" s="165"/>
      <c r="I531" s="165"/>
      <c r="J531" s="165"/>
      <c r="K531" s="165"/>
      <c r="L531" s="165"/>
      <c r="M531" s="524"/>
      <c r="N531" s="165"/>
      <c r="O531" s="165"/>
      <c r="P531" s="165"/>
      <c r="Q531" s="165"/>
      <c r="R531" s="524">
        <f t="shared" si="85"/>
        <v>0</v>
      </c>
      <c r="S531" s="165"/>
      <c r="T531" s="165"/>
      <c r="U531" s="165"/>
      <c r="V531" s="165"/>
      <c r="W531" s="165"/>
      <c r="X531" s="166">
        <f t="shared" si="86"/>
        <v>0</v>
      </c>
      <c r="Y531" s="486">
        <f t="shared" si="87"/>
        <v>0</v>
      </c>
      <c r="Z531" s="383"/>
    </row>
    <row r="532" spans="1:26" ht="20.100000000000001" hidden="1" customHeight="1" x14ac:dyDescent="0.2">
      <c r="A532" s="26">
        <v>23</v>
      </c>
      <c r="B532" s="289"/>
      <c r="C532" s="39"/>
      <c r="D532" s="165"/>
      <c r="E532" s="165"/>
      <c r="F532" s="165"/>
      <c r="G532" s="165"/>
      <c r="H532" s="165"/>
      <c r="I532" s="165"/>
      <c r="J532" s="165"/>
      <c r="K532" s="165"/>
      <c r="L532" s="165"/>
      <c r="M532" s="524"/>
      <c r="N532" s="165"/>
      <c r="O532" s="165"/>
      <c r="P532" s="165"/>
      <c r="Q532" s="165"/>
      <c r="R532" s="524">
        <f t="shared" si="85"/>
        <v>0</v>
      </c>
      <c r="S532" s="165"/>
      <c r="T532" s="165"/>
      <c r="U532" s="165"/>
      <c r="V532" s="165"/>
      <c r="W532" s="165"/>
      <c r="X532" s="166">
        <f t="shared" si="86"/>
        <v>0</v>
      </c>
      <c r="Y532" s="486">
        <f t="shared" si="87"/>
        <v>0</v>
      </c>
      <c r="Z532" s="383"/>
    </row>
    <row r="533" spans="1:26" ht="20.100000000000001" hidden="1" customHeight="1" x14ac:dyDescent="0.2">
      <c r="A533" s="26">
        <v>24</v>
      </c>
      <c r="B533" s="74"/>
      <c r="C533" s="39"/>
      <c r="D533" s="165"/>
      <c r="E533" s="165"/>
      <c r="F533" s="165"/>
      <c r="G533" s="165"/>
      <c r="H533" s="165"/>
      <c r="I533" s="165"/>
      <c r="J533" s="165"/>
      <c r="K533" s="165"/>
      <c r="L533" s="165"/>
      <c r="M533" s="524"/>
      <c r="N533" s="165"/>
      <c r="O533" s="165"/>
      <c r="P533" s="165"/>
      <c r="Q533" s="165"/>
      <c r="R533" s="524">
        <f t="shared" si="85"/>
        <v>0</v>
      </c>
      <c r="S533" s="165"/>
      <c r="T533" s="165"/>
      <c r="U533" s="165"/>
      <c r="V533" s="165"/>
      <c r="W533" s="165"/>
      <c r="X533" s="166">
        <f t="shared" si="86"/>
        <v>0</v>
      </c>
      <c r="Y533" s="486">
        <f t="shared" si="87"/>
        <v>0</v>
      </c>
      <c r="Z533" s="383"/>
    </row>
    <row r="534" spans="1:26" ht="20.100000000000001" hidden="1" customHeight="1" x14ac:dyDescent="0.2">
      <c r="A534" s="26">
        <v>25</v>
      </c>
      <c r="B534" s="74"/>
      <c r="C534" s="39"/>
      <c r="D534" s="165"/>
      <c r="E534" s="165"/>
      <c r="F534" s="165"/>
      <c r="G534" s="165"/>
      <c r="H534" s="165"/>
      <c r="I534" s="165"/>
      <c r="J534" s="165"/>
      <c r="K534" s="165"/>
      <c r="L534" s="165"/>
      <c r="M534" s="524"/>
      <c r="N534" s="165"/>
      <c r="O534" s="165"/>
      <c r="P534" s="165"/>
      <c r="Q534" s="165"/>
      <c r="R534" s="524">
        <f t="shared" si="85"/>
        <v>0</v>
      </c>
      <c r="S534" s="165"/>
      <c r="T534" s="165"/>
      <c r="U534" s="165"/>
      <c r="V534" s="165"/>
      <c r="W534" s="165"/>
      <c r="X534" s="166">
        <f t="shared" si="86"/>
        <v>0</v>
      </c>
      <c r="Y534" s="486">
        <f t="shared" si="87"/>
        <v>0</v>
      </c>
      <c r="Z534" s="383"/>
    </row>
    <row r="535" spans="1:26" ht="20.100000000000001" hidden="1" customHeight="1" x14ac:dyDescent="0.2">
      <c r="A535" s="26">
        <v>26</v>
      </c>
      <c r="B535" s="74"/>
      <c r="C535" s="39"/>
      <c r="D535" s="165"/>
      <c r="E535" s="165"/>
      <c r="F535" s="165"/>
      <c r="G535" s="165"/>
      <c r="H535" s="165"/>
      <c r="I535" s="165"/>
      <c r="J535" s="165"/>
      <c r="K535" s="165"/>
      <c r="L535" s="165"/>
      <c r="M535" s="524"/>
      <c r="N535" s="165"/>
      <c r="O535" s="165"/>
      <c r="P535" s="165"/>
      <c r="Q535" s="165"/>
      <c r="R535" s="524">
        <f t="shared" si="85"/>
        <v>0</v>
      </c>
      <c r="S535" s="165"/>
      <c r="T535" s="165"/>
      <c r="U535" s="165"/>
      <c r="V535" s="165"/>
      <c r="W535" s="165"/>
      <c r="X535" s="166">
        <f t="shared" si="86"/>
        <v>0</v>
      </c>
      <c r="Y535" s="486">
        <f t="shared" si="87"/>
        <v>0</v>
      </c>
      <c r="Z535" s="383"/>
    </row>
    <row r="536" spans="1:26" ht="20.100000000000001" hidden="1" customHeight="1" x14ac:dyDescent="0.2">
      <c r="A536" s="26">
        <v>27</v>
      </c>
      <c r="B536" s="74"/>
      <c r="C536" s="39"/>
      <c r="D536" s="165"/>
      <c r="E536" s="165"/>
      <c r="F536" s="165"/>
      <c r="G536" s="165"/>
      <c r="H536" s="165"/>
      <c r="I536" s="165"/>
      <c r="J536" s="165"/>
      <c r="K536" s="165"/>
      <c r="L536" s="165"/>
      <c r="M536" s="524"/>
      <c r="N536" s="165"/>
      <c r="O536" s="165"/>
      <c r="P536" s="165"/>
      <c r="Q536" s="165"/>
      <c r="R536" s="524">
        <f t="shared" si="85"/>
        <v>0</v>
      </c>
      <c r="S536" s="165"/>
      <c r="T536" s="165"/>
      <c r="U536" s="165"/>
      <c r="V536" s="165"/>
      <c r="W536" s="165"/>
      <c r="X536" s="166">
        <f t="shared" si="86"/>
        <v>0</v>
      </c>
      <c r="Y536" s="486">
        <f t="shared" si="87"/>
        <v>0</v>
      </c>
      <c r="Z536" s="383"/>
    </row>
    <row r="537" spans="1:26" ht="20.100000000000001" hidden="1" customHeight="1" x14ac:dyDescent="0.2">
      <c r="A537" s="26">
        <v>28</v>
      </c>
      <c r="B537" s="289"/>
      <c r="C537" s="39"/>
      <c r="D537" s="165"/>
      <c r="E537" s="165"/>
      <c r="F537" s="165"/>
      <c r="G537" s="165"/>
      <c r="H537" s="165"/>
      <c r="I537" s="165"/>
      <c r="J537" s="165"/>
      <c r="K537" s="165"/>
      <c r="L537" s="165"/>
      <c r="M537" s="524"/>
      <c r="N537" s="165"/>
      <c r="O537" s="165"/>
      <c r="P537" s="165"/>
      <c r="Q537" s="165"/>
      <c r="R537" s="524">
        <f t="shared" si="85"/>
        <v>0</v>
      </c>
      <c r="S537" s="165"/>
      <c r="T537" s="165"/>
      <c r="U537" s="165"/>
      <c r="V537" s="165"/>
      <c r="W537" s="165"/>
      <c r="X537" s="166">
        <f t="shared" si="86"/>
        <v>0</v>
      </c>
      <c r="Y537" s="486">
        <f t="shared" si="87"/>
        <v>0</v>
      </c>
      <c r="Z537" s="383"/>
    </row>
    <row r="538" spans="1:26" ht="20.100000000000001" hidden="1" customHeight="1" x14ac:dyDescent="0.2">
      <c r="A538" s="26">
        <v>29</v>
      </c>
      <c r="B538" s="74"/>
      <c r="C538" s="39"/>
      <c r="D538" s="165"/>
      <c r="E538" s="165"/>
      <c r="F538" s="165"/>
      <c r="G538" s="165"/>
      <c r="H538" s="165"/>
      <c r="I538" s="165"/>
      <c r="J538" s="165"/>
      <c r="K538" s="165"/>
      <c r="L538" s="165"/>
      <c r="M538" s="524"/>
      <c r="N538" s="165"/>
      <c r="O538" s="165"/>
      <c r="P538" s="165"/>
      <c r="Q538" s="165"/>
      <c r="R538" s="524">
        <f t="shared" si="85"/>
        <v>0</v>
      </c>
      <c r="S538" s="165"/>
      <c r="T538" s="165"/>
      <c r="U538" s="165"/>
      <c r="V538" s="165"/>
      <c r="W538" s="165"/>
      <c r="X538" s="166">
        <f t="shared" si="86"/>
        <v>0</v>
      </c>
      <c r="Y538" s="486">
        <f t="shared" si="87"/>
        <v>0</v>
      </c>
      <c r="Z538" s="383"/>
    </row>
    <row r="539" spans="1:26" ht="20.100000000000001" hidden="1" customHeight="1" x14ac:dyDescent="0.2">
      <c r="A539" s="26">
        <v>30</v>
      </c>
      <c r="B539" s="289"/>
      <c r="C539" s="39"/>
      <c r="D539" s="165"/>
      <c r="E539" s="165"/>
      <c r="F539" s="165"/>
      <c r="G539" s="165"/>
      <c r="H539" s="165"/>
      <c r="I539" s="165"/>
      <c r="J539" s="165"/>
      <c r="K539" s="165"/>
      <c r="L539" s="165"/>
      <c r="M539" s="524"/>
      <c r="N539" s="165"/>
      <c r="O539" s="165"/>
      <c r="P539" s="165"/>
      <c r="Q539" s="165"/>
      <c r="R539" s="524">
        <f t="shared" si="85"/>
        <v>0</v>
      </c>
      <c r="S539" s="165"/>
      <c r="T539" s="165"/>
      <c r="U539" s="165"/>
      <c r="V539" s="165"/>
      <c r="W539" s="165"/>
      <c r="X539" s="166">
        <f t="shared" si="86"/>
        <v>0</v>
      </c>
      <c r="Y539" s="486">
        <f t="shared" si="87"/>
        <v>0</v>
      </c>
      <c r="Z539" s="383"/>
    </row>
    <row r="540" spans="1:26" ht="20.100000000000001" hidden="1" customHeight="1" x14ac:dyDescent="0.2">
      <c r="A540" s="26">
        <v>31</v>
      </c>
      <c r="B540" s="74"/>
      <c r="C540" s="39"/>
      <c r="D540" s="165"/>
      <c r="E540" s="165"/>
      <c r="F540" s="165"/>
      <c r="G540" s="165"/>
      <c r="H540" s="165"/>
      <c r="I540" s="165"/>
      <c r="J540" s="165"/>
      <c r="K540" s="165"/>
      <c r="L540" s="165"/>
      <c r="M540" s="524"/>
      <c r="N540" s="165"/>
      <c r="O540" s="165"/>
      <c r="P540" s="165"/>
      <c r="Q540" s="165"/>
      <c r="R540" s="524">
        <f t="shared" si="85"/>
        <v>0</v>
      </c>
      <c r="S540" s="165"/>
      <c r="T540" s="165"/>
      <c r="U540" s="165"/>
      <c r="V540" s="165"/>
      <c r="W540" s="165"/>
      <c r="X540" s="166">
        <f t="shared" si="86"/>
        <v>0</v>
      </c>
      <c r="Y540" s="486">
        <f t="shared" si="87"/>
        <v>0</v>
      </c>
      <c r="Z540" s="383"/>
    </row>
    <row r="541" spans="1:26" ht="20.100000000000001" hidden="1" customHeight="1" x14ac:dyDescent="0.2">
      <c r="A541" s="26">
        <v>32</v>
      </c>
      <c r="B541" s="74"/>
      <c r="C541" s="39"/>
      <c r="D541" s="165"/>
      <c r="E541" s="165"/>
      <c r="F541" s="165"/>
      <c r="G541" s="165"/>
      <c r="H541" s="165"/>
      <c r="I541" s="165"/>
      <c r="J541" s="165"/>
      <c r="K541" s="165"/>
      <c r="L541" s="165"/>
      <c r="M541" s="524"/>
      <c r="N541" s="165"/>
      <c r="O541" s="165"/>
      <c r="P541" s="165"/>
      <c r="Q541" s="165"/>
      <c r="R541" s="524">
        <f t="shared" si="85"/>
        <v>0</v>
      </c>
      <c r="S541" s="165"/>
      <c r="T541" s="165"/>
      <c r="U541" s="165"/>
      <c r="V541" s="165"/>
      <c r="W541" s="165"/>
      <c r="X541" s="166">
        <f t="shared" si="86"/>
        <v>0</v>
      </c>
      <c r="Y541" s="486">
        <f t="shared" si="87"/>
        <v>0</v>
      </c>
      <c r="Z541" s="383"/>
    </row>
    <row r="542" spans="1:26" ht="20.100000000000001" hidden="1" customHeight="1" x14ac:dyDescent="0.2">
      <c r="A542" s="26">
        <v>33</v>
      </c>
      <c r="B542" s="289"/>
      <c r="C542" s="39"/>
      <c r="D542" s="165"/>
      <c r="E542" s="165"/>
      <c r="F542" s="165"/>
      <c r="G542" s="165"/>
      <c r="H542" s="165"/>
      <c r="I542" s="165"/>
      <c r="J542" s="165"/>
      <c r="K542" s="165"/>
      <c r="L542" s="165"/>
      <c r="M542" s="524"/>
      <c r="N542" s="165"/>
      <c r="O542" s="165"/>
      <c r="P542" s="165"/>
      <c r="Q542" s="165"/>
      <c r="R542" s="524">
        <f t="shared" si="85"/>
        <v>0</v>
      </c>
      <c r="S542" s="165"/>
      <c r="T542" s="165"/>
      <c r="U542" s="165"/>
      <c r="V542" s="165"/>
      <c r="W542" s="165"/>
      <c r="X542" s="166">
        <f t="shared" si="86"/>
        <v>0</v>
      </c>
      <c r="Y542" s="486">
        <f t="shared" si="87"/>
        <v>0</v>
      </c>
      <c r="Z542" s="383"/>
    </row>
    <row r="543" spans="1:26" ht="20.100000000000001" hidden="1" customHeight="1" x14ac:dyDescent="0.2">
      <c r="A543" s="26">
        <v>34</v>
      </c>
      <c r="B543" s="74"/>
      <c r="C543" s="39"/>
      <c r="D543" s="165"/>
      <c r="E543" s="165"/>
      <c r="F543" s="165"/>
      <c r="G543" s="165"/>
      <c r="H543" s="165"/>
      <c r="I543" s="165"/>
      <c r="J543" s="165"/>
      <c r="K543" s="165"/>
      <c r="L543" s="165"/>
      <c r="M543" s="524"/>
      <c r="N543" s="165"/>
      <c r="O543" s="165"/>
      <c r="P543" s="165"/>
      <c r="Q543" s="165"/>
      <c r="R543" s="524">
        <f t="shared" si="85"/>
        <v>0</v>
      </c>
      <c r="S543" s="165"/>
      <c r="T543" s="165"/>
      <c r="U543" s="165"/>
      <c r="V543" s="165"/>
      <c r="W543" s="165"/>
      <c r="X543" s="166">
        <f t="shared" si="86"/>
        <v>0</v>
      </c>
      <c r="Y543" s="486">
        <f t="shared" si="87"/>
        <v>0</v>
      </c>
      <c r="Z543" s="383"/>
    </row>
    <row r="544" spans="1:26" ht="20.100000000000001" hidden="1" customHeight="1" x14ac:dyDescent="0.2">
      <c r="A544" s="26">
        <v>35</v>
      </c>
      <c r="B544" s="74"/>
      <c r="C544" s="39"/>
      <c r="D544" s="165"/>
      <c r="E544" s="165"/>
      <c r="F544" s="165"/>
      <c r="G544" s="165"/>
      <c r="H544" s="165"/>
      <c r="I544" s="165"/>
      <c r="J544" s="165"/>
      <c r="K544" s="165"/>
      <c r="L544" s="165"/>
      <c r="M544" s="524"/>
      <c r="N544" s="165"/>
      <c r="O544" s="165"/>
      <c r="P544" s="165"/>
      <c r="Q544" s="165"/>
      <c r="R544" s="524">
        <f t="shared" si="85"/>
        <v>0</v>
      </c>
      <c r="S544" s="165"/>
      <c r="T544" s="165"/>
      <c r="U544" s="165"/>
      <c r="V544" s="165"/>
      <c r="W544" s="165"/>
      <c r="X544" s="166">
        <f t="shared" si="86"/>
        <v>0</v>
      </c>
      <c r="Y544" s="486">
        <f t="shared" si="87"/>
        <v>0</v>
      </c>
      <c r="Z544" s="383"/>
    </row>
    <row r="545" spans="1:26" ht="20.100000000000001" hidden="1" customHeight="1" x14ac:dyDescent="0.2">
      <c r="A545" s="26">
        <v>36</v>
      </c>
      <c r="B545" s="74"/>
      <c r="C545" s="39"/>
      <c r="D545" s="165"/>
      <c r="E545" s="165"/>
      <c r="F545" s="165"/>
      <c r="G545" s="165"/>
      <c r="H545" s="165"/>
      <c r="I545" s="165"/>
      <c r="J545" s="165"/>
      <c r="K545" s="165"/>
      <c r="L545" s="165"/>
      <c r="M545" s="524"/>
      <c r="N545" s="165"/>
      <c r="O545" s="165"/>
      <c r="P545" s="165"/>
      <c r="Q545" s="165"/>
      <c r="R545" s="524">
        <f t="shared" si="85"/>
        <v>0</v>
      </c>
      <c r="S545" s="165"/>
      <c r="T545" s="165"/>
      <c r="U545" s="165"/>
      <c r="V545" s="165"/>
      <c r="W545" s="165"/>
      <c r="X545" s="166">
        <f t="shared" si="86"/>
        <v>0</v>
      </c>
      <c r="Y545" s="486">
        <f t="shared" si="87"/>
        <v>0</v>
      </c>
      <c r="Z545" s="383"/>
    </row>
    <row r="546" spans="1:26" ht="20.100000000000001" hidden="1" customHeight="1" x14ac:dyDescent="0.2">
      <c r="A546" s="26">
        <v>37</v>
      </c>
      <c r="B546" s="289"/>
      <c r="C546" s="39"/>
      <c r="D546" s="165"/>
      <c r="E546" s="165"/>
      <c r="F546" s="165"/>
      <c r="G546" s="165"/>
      <c r="H546" s="165"/>
      <c r="I546" s="165"/>
      <c r="J546" s="165"/>
      <c r="K546" s="165"/>
      <c r="L546" s="165"/>
      <c r="M546" s="524"/>
      <c r="N546" s="165"/>
      <c r="O546" s="165"/>
      <c r="P546" s="165"/>
      <c r="Q546" s="165"/>
      <c r="R546" s="524">
        <f t="shared" si="85"/>
        <v>0</v>
      </c>
      <c r="S546" s="165"/>
      <c r="T546" s="165"/>
      <c r="U546" s="165"/>
      <c r="V546" s="165"/>
      <c r="W546" s="165"/>
      <c r="X546" s="166">
        <f t="shared" si="86"/>
        <v>0</v>
      </c>
      <c r="Y546" s="486">
        <f t="shared" si="87"/>
        <v>0</v>
      </c>
      <c r="Z546" s="383"/>
    </row>
    <row r="547" spans="1:26" ht="20.100000000000001" hidden="1" customHeight="1" x14ac:dyDescent="0.2">
      <c r="A547" s="26">
        <v>38</v>
      </c>
      <c r="B547" s="74"/>
      <c r="C547" s="39"/>
      <c r="D547" s="165"/>
      <c r="E547" s="165"/>
      <c r="F547" s="165"/>
      <c r="G547" s="165"/>
      <c r="H547" s="165"/>
      <c r="I547" s="165"/>
      <c r="J547" s="165"/>
      <c r="K547" s="165"/>
      <c r="L547" s="165"/>
      <c r="M547" s="524"/>
      <c r="N547" s="165"/>
      <c r="O547" s="165"/>
      <c r="P547" s="165"/>
      <c r="Q547" s="165"/>
      <c r="R547" s="524">
        <f t="shared" si="85"/>
        <v>0</v>
      </c>
      <c r="S547" s="165"/>
      <c r="T547" s="165"/>
      <c r="U547" s="165"/>
      <c r="V547" s="165"/>
      <c r="W547" s="165"/>
      <c r="X547" s="166">
        <f t="shared" si="86"/>
        <v>0</v>
      </c>
      <c r="Y547" s="486">
        <f t="shared" si="87"/>
        <v>0</v>
      </c>
      <c r="Z547" s="383"/>
    </row>
    <row r="548" spans="1:26" ht="20.100000000000001" hidden="1" customHeight="1" x14ac:dyDescent="0.2">
      <c r="A548" s="26">
        <v>39</v>
      </c>
      <c r="B548" s="74"/>
      <c r="C548" s="39"/>
      <c r="D548" s="165"/>
      <c r="E548" s="165"/>
      <c r="F548" s="165"/>
      <c r="G548" s="165"/>
      <c r="H548" s="165"/>
      <c r="I548" s="165"/>
      <c r="J548" s="165"/>
      <c r="K548" s="165"/>
      <c r="L548" s="165"/>
      <c r="M548" s="524"/>
      <c r="N548" s="165"/>
      <c r="O548" s="165"/>
      <c r="P548" s="165"/>
      <c r="Q548" s="165"/>
      <c r="R548" s="524">
        <f t="shared" si="85"/>
        <v>0</v>
      </c>
      <c r="S548" s="165"/>
      <c r="T548" s="165"/>
      <c r="U548" s="165"/>
      <c r="V548" s="165"/>
      <c r="W548" s="165"/>
      <c r="X548" s="166">
        <f t="shared" si="86"/>
        <v>0</v>
      </c>
      <c r="Y548" s="486">
        <f t="shared" si="87"/>
        <v>0</v>
      </c>
      <c r="Z548" s="383"/>
    </row>
    <row r="549" spans="1:26" ht="20.100000000000001" hidden="1" customHeight="1" x14ac:dyDescent="0.2">
      <c r="A549" s="26">
        <v>40</v>
      </c>
      <c r="B549" s="74"/>
      <c r="C549" s="39"/>
      <c r="D549" s="165"/>
      <c r="E549" s="165"/>
      <c r="F549" s="165"/>
      <c r="G549" s="165"/>
      <c r="H549" s="165"/>
      <c r="I549" s="165"/>
      <c r="J549" s="165"/>
      <c r="K549" s="165"/>
      <c r="L549" s="165"/>
      <c r="M549" s="524"/>
      <c r="N549" s="165"/>
      <c r="O549" s="165"/>
      <c r="P549" s="165"/>
      <c r="Q549" s="165"/>
      <c r="R549" s="524">
        <f t="shared" si="85"/>
        <v>0</v>
      </c>
      <c r="S549" s="165"/>
      <c r="T549" s="165"/>
      <c r="U549" s="165"/>
      <c r="V549" s="165"/>
      <c r="W549" s="165"/>
      <c r="X549" s="166">
        <f t="shared" si="86"/>
        <v>0</v>
      </c>
      <c r="Y549" s="486">
        <f t="shared" si="87"/>
        <v>0</v>
      </c>
      <c r="Z549" s="383"/>
    </row>
    <row r="550" spans="1:26" ht="20.100000000000001" hidden="1" customHeight="1" x14ac:dyDescent="0.2">
      <c r="A550" s="26">
        <v>41</v>
      </c>
      <c r="B550" s="289"/>
      <c r="C550" s="39"/>
      <c r="D550" s="165"/>
      <c r="E550" s="165"/>
      <c r="F550" s="165"/>
      <c r="G550" s="165"/>
      <c r="H550" s="165"/>
      <c r="I550" s="165"/>
      <c r="J550" s="165"/>
      <c r="K550" s="165"/>
      <c r="L550" s="165"/>
      <c r="M550" s="524"/>
      <c r="N550" s="165"/>
      <c r="O550" s="165"/>
      <c r="P550" s="165"/>
      <c r="Q550" s="165"/>
      <c r="R550" s="524">
        <f t="shared" si="85"/>
        <v>0</v>
      </c>
      <c r="S550" s="165"/>
      <c r="T550" s="165"/>
      <c r="U550" s="165"/>
      <c r="V550" s="165"/>
      <c r="W550" s="165"/>
      <c r="X550" s="166">
        <f t="shared" si="86"/>
        <v>0</v>
      </c>
      <c r="Y550" s="486">
        <f t="shared" si="87"/>
        <v>0</v>
      </c>
      <c r="Z550" s="383"/>
    </row>
    <row r="551" spans="1:26" ht="20.100000000000001" hidden="1" customHeight="1" x14ac:dyDescent="0.2">
      <c r="A551" s="26">
        <v>42</v>
      </c>
      <c r="B551" s="74"/>
      <c r="C551" s="39"/>
      <c r="D551" s="165"/>
      <c r="E551" s="165"/>
      <c r="F551" s="165"/>
      <c r="G551" s="165"/>
      <c r="H551" s="165"/>
      <c r="I551" s="165"/>
      <c r="J551" s="165"/>
      <c r="K551" s="165"/>
      <c r="L551" s="165"/>
      <c r="M551" s="524"/>
      <c r="N551" s="165"/>
      <c r="O551" s="165"/>
      <c r="P551" s="165"/>
      <c r="Q551" s="165"/>
      <c r="R551" s="524">
        <f t="shared" si="85"/>
        <v>0</v>
      </c>
      <c r="S551" s="165"/>
      <c r="T551" s="165"/>
      <c r="U551" s="165"/>
      <c r="V551" s="165"/>
      <c r="W551" s="165"/>
      <c r="X551" s="166">
        <f t="shared" si="86"/>
        <v>0</v>
      </c>
      <c r="Y551" s="486">
        <f t="shared" si="87"/>
        <v>0</v>
      </c>
      <c r="Z551" s="383"/>
    </row>
    <row r="552" spans="1:26" ht="20.100000000000001" hidden="1" customHeight="1" x14ac:dyDescent="0.2">
      <c r="A552" s="26">
        <v>43</v>
      </c>
      <c r="B552" s="289"/>
      <c r="C552" s="39"/>
      <c r="D552" s="165"/>
      <c r="E552" s="165"/>
      <c r="F552" s="165"/>
      <c r="G552" s="165"/>
      <c r="H552" s="165"/>
      <c r="I552" s="165"/>
      <c r="J552" s="165"/>
      <c r="K552" s="165"/>
      <c r="L552" s="165"/>
      <c r="M552" s="524"/>
      <c r="N552" s="165"/>
      <c r="O552" s="165"/>
      <c r="P552" s="165"/>
      <c r="Q552" s="165"/>
      <c r="R552" s="524">
        <f t="shared" si="85"/>
        <v>0</v>
      </c>
      <c r="S552" s="165"/>
      <c r="T552" s="165"/>
      <c r="U552" s="165"/>
      <c r="V552" s="165"/>
      <c r="W552" s="165"/>
      <c r="X552" s="166">
        <f t="shared" si="86"/>
        <v>0</v>
      </c>
      <c r="Y552" s="486">
        <f t="shared" si="87"/>
        <v>0</v>
      </c>
      <c r="Z552" s="383"/>
    </row>
    <row r="553" spans="1:26" ht="20.100000000000001" hidden="1" customHeight="1" x14ac:dyDescent="0.2">
      <c r="A553" s="26">
        <v>44</v>
      </c>
      <c r="B553" s="74"/>
      <c r="C553" s="39"/>
      <c r="D553" s="165"/>
      <c r="E553" s="165"/>
      <c r="F553" s="165"/>
      <c r="G553" s="165"/>
      <c r="H553" s="165"/>
      <c r="I553" s="165"/>
      <c r="J553" s="165"/>
      <c r="K553" s="165"/>
      <c r="L553" s="165"/>
      <c r="M553" s="524"/>
      <c r="N553" s="165"/>
      <c r="O553" s="165"/>
      <c r="P553" s="165"/>
      <c r="Q553" s="165"/>
      <c r="R553" s="524">
        <f t="shared" si="85"/>
        <v>0</v>
      </c>
      <c r="S553" s="165"/>
      <c r="T553" s="165"/>
      <c r="U553" s="165"/>
      <c r="V553" s="165"/>
      <c r="W553" s="165"/>
      <c r="X553" s="166">
        <f t="shared" si="86"/>
        <v>0</v>
      </c>
      <c r="Y553" s="486">
        <f t="shared" si="87"/>
        <v>0</v>
      </c>
      <c r="Z553" s="383"/>
    </row>
    <row r="554" spans="1:26" ht="20.100000000000001" hidden="1" customHeight="1" x14ac:dyDescent="0.2">
      <c r="A554" s="26">
        <v>45</v>
      </c>
      <c r="B554" s="289"/>
      <c r="C554" s="39"/>
      <c r="D554" s="165"/>
      <c r="E554" s="165"/>
      <c r="F554" s="165"/>
      <c r="G554" s="165"/>
      <c r="H554" s="165"/>
      <c r="I554" s="165"/>
      <c r="J554" s="165"/>
      <c r="K554" s="165"/>
      <c r="L554" s="165"/>
      <c r="M554" s="524"/>
      <c r="N554" s="165"/>
      <c r="O554" s="165"/>
      <c r="P554" s="165"/>
      <c r="Q554" s="165"/>
      <c r="R554" s="524">
        <f t="shared" si="85"/>
        <v>0</v>
      </c>
      <c r="S554" s="165"/>
      <c r="T554" s="165"/>
      <c r="U554" s="165"/>
      <c r="V554" s="165"/>
      <c r="W554" s="165"/>
      <c r="X554" s="166">
        <f t="shared" si="86"/>
        <v>0</v>
      </c>
      <c r="Y554" s="486">
        <f t="shared" si="87"/>
        <v>0</v>
      </c>
      <c r="Z554" s="383"/>
    </row>
    <row r="555" spans="1:26" ht="20.100000000000001" hidden="1" customHeight="1" x14ac:dyDescent="0.2">
      <c r="A555" s="26">
        <v>46</v>
      </c>
      <c r="B555" s="74"/>
      <c r="C555" s="39"/>
      <c r="D555" s="165"/>
      <c r="E555" s="165"/>
      <c r="F555" s="165"/>
      <c r="G555" s="165"/>
      <c r="H555" s="165"/>
      <c r="I555" s="165"/>
      <c r="J555" s="165"/>
      <c r="K555" s="165"/>
      <c r="L555" s="165"/>
      <c r="M555" s="524"/>
      <c r="N555" s="165"/>
      <c r="O555" s="165"/>
      <c r="P555" s="165"/>
      <c r="Q555" s="165"/>
      <c r="R555" s="524">
        <f t="shared" si="85"/>
        <v>0</v>
      </c>
      <c r="S555" s="165"/>
      <c r="T555" s="165"/>
      <c r="U555" s="165"/>
      <c r="V555" s="165"/>
      <c r="W555" s="165"/>
      <c r="X555" s="166">
        <f t="shared" si="86"/>
        <v>0</v>
      </c>
      <c r="Y555" s="486">
        <f t="shared" si="87"/>
        <v>0</v>
      </c>
      <c r="Z555" s="383"/>
    </row>
    <row r="556" spans="1:26" ht="20.100000000000001" hidden="1" customHeight="1" x14ac:dyDescent="0.2">
      <c r="A556" s="26">
        <v>47</v>
      </c>
      <c r="B556" s="289"/>
      <c r="C556" s="39"/>
      <c r="D556" s="165"/>
      <c r="E556" s="165"/>
      <c r="F556" s="165"/>
      <c r="G556" s="165"/>
      <c r="H556" s="165"/>
      <c r="I556" s="165"/>
      <c r="J556" s="165"/>
      <c r="K556" s="165"/>
      <c r="L556" s="165"/>
      <c r="M556" s="524"/>
      <c r="N556" s="165"/>
      <c r="O556" s="165"/>
      <c r="P556" s="165"/>
      <c r="Q556" s="165"/>
      <c r="R556" s="524">
        <f t="shared" si="85"/>
        <v>0</v>
      </c>
      <c r="S556" s="165"/>
      <c r="T556" s="165"/>
      <c r="U556" s="165"/>
      <c r="V556" s="165"/>
      <c r="W556" s="165"/>
      <c r="X556" s="166">
        <f t="shared" si="86"/>
        <v>0</v>
      </c>
      <c r="Y556" s="486">
        <f t="shared" si="87"/>
        <v>0</v>
      </c>
      <c r="Z556" s="383"/>
    </row>
    <row r="557" spans="1:26" ht="20.100000000000001" hidden="1" customHeight="1" x14ac:dyDescent="0.2">
      <c r="A557" s="26">
        <v>48</v>
      </c>
      <c r="B557" s="74"/>
      <c r="C557" s="39"/>
      <c r="D557" s="165"/>
      <c r="E557" s="165"/>
      <c r="F557" s="165"/>
      <c r="G557" s="165"/>
      <c r="H557" s="165"/>
      <c r="I557" s="165"/>
      <c r="J557" s="165"/>
      <c r="K557" s="165"/>
      <c r="L557" s="165"/>
      <c r="M557" s="524"/>
      <c r="N557" s="165"/>
      <c r="O557" s="165"/>
      <c r="P557" s="165"/>
      <c r="Q557" s="165"/>
      <c r="R557" s="524">
        <f t="shared" si="85"/>
        <v>0</v>
      </c>
      <c r="S557" s="165"/>
      <c r="T557" s="165"/>
      <c r="U557" s="165"/>
      <c r="V557" s="165"/>
      <c r="W557" s="165"/>
      <c r="X557" s="166">
        <f t="shared" si="86"/>
        <v>0</v>
      </c>
      <c r="Y557" s="486">
        <f t="shared" si="87"/>
        <v>0</v>
      </c>
      <c r="Z557" s="383"/>
    </row>
    <row r="558" spans="1:26" ht="20.100000000000001" hidden="1" customHeight="1" x14ac:dyDescent="0.2">
      <c r="A558" s="26">
        <v>49</v>
      </c>
      <c r="B558" s="74"/>
      <c r="C558" s="39"/>
      <c r="D558" s="165"/>
      <c r="E558" s="165"/>
      <c r="F558" s="165"/>
      <c r="G558" s="165"/>
      <c r="H558" s="165"/>
      <c r="I558" s="165"/>
      <c r="J558" s="165"/>
      <c r="K558" s="165"/>
      <c r="L558" s="165"/>
      <c r="M558" s="524"/>
      <c r="N558" s="165"/>
      <c r="O558" s="165"/>
      <c r="P558" s="165"/>
      <c r="Q558" s="165"/>
      <c r="R558" s="524">
        <f t="shared" si="85"/>
        <v>0</v>
      </c>
      <c r="S558" s="165"/>
      <c r="T558" s="165"/>
      <c r="U558" s="165"/>
      <c r="V558" s="165"/>
      <c r="W558" s="165"/>
      <c r="X558" s="166">
        <f t="shared" si="86"/>
        <v>0</v>
      </c>
      <c r="Y558" s="486">
        <f t="shared" si="87"/>
        <v>0</v>
      </c>
      <c r="Z558" s="383"/>
    </row>
    <row r="559" spans="1:26" ht="20.100000000000001" hidden="1" customHeight="1" x14ac:dyDescent="0.2">
      <c r="A559" s="26"/>
      <c r="B559" s="74"/>
      <c r="C559" s="39"/>
      <c r="D559" s="165"/>
      <c r="E559" s="165"/>
      <c r="F559" s="165"/>
      <c r="G559" s="165"/>
      <c r="H559" s="165"/>
      <c r="I559" s="165"/>
      <c r="J559" s="165"/>
      <c r="K559" s="165"/>
      <c r="L559" s="165"/>
      <c r="M559" s="524"/>
      <c r="N559" s="165"/>
      <c r="O559" s="165"/>
      <c r="P559" s="165"/>
      <c r="Q559" s="165"/>
      <c r="R559" s="524">
        <f t="shared" si="85"/>
        <v>0</v>
      </c>
      <c r="S559" s="165"/>
      <c r="T559" s="165"/>
      <c r="U559" s="165"/>
      <c r="V559" s="165"/>
      <c r="W559" s="165"/>
      <c r="X559" s="166">
        <f t="shared" si="86"/>
        <v>0</v>
      </c>
      <c r="Y559" s="486">
        <f t="shared" si="87"/>
        <v>0</v>
      </c>
      <c r="Z559" s="383"/>
    </row>
    <row r="560" spans="1:26" ht="20.100000000000001" hidden="1" customHeight="1" x14ac:dyDescent="0.2">
      <c r="A560" s="26"/>
      <c r="B560" s="74"/>
      <c r="C560" s="39"/>
      <c r="D560" s="165"/>
      <c r="E560" s="165"/>
      <c r="F560" s="165"/>
      <c r="G560" s="165"/>
      <c r="H560" s="165"/>
      <c r="I560" s="165"/>
      <c r="J560" s="165"/>
      <c r="K560" s="165"/>
      <c r="L560" s="165"/>
      <c r="M560" s="524"/>
      <c r="N560" s="165"/>
      <c r="O560" s="165"/>
      <c r="P560" s="165"/>
      <c r="Q560" s="165"/>
      <c r="R560" s="524">
        <f t="shared" si="85"/>
        <v>0</v>
      </c>
      <c r="S560" s="165"/>
      <c r="T560" s="165"/>
      <c r="U560" s="165"/>
      <c r="V560" s="165"/>
      <c r="W560" s="165"/>
      <c r="X560" s="166">
        <f t="shared" si="86"/>
        <v>0</v>
      </c>
      <c r="Y560" s="486">
        <f t="shared" si="87"/>
        <v>0</v>
      </c>
      <c r="Z560" s="383"/>
    </row>
    <row r="561" spans="1:28" ht="20.100000000000001" hidden="1" customHeight="1" x14ac:dyDescent="0.2">
      <c r="A561" s="26"/>
      <c r="B561" s="74"/>
      <c r="C561" s="39"/>
      <c r="D561" s="165"/>
      <c r="E561" s="165"/>
      <c r="F561" s="165"/>
      <c r="G561" s="165"/>
      <c r="H561" s="165"/>
      <c r="I561" s="165"/>
      <c r="J561" s="165"/>
      <c r="K561" s="165"/>
      <c r="L561" s="165"/>
      <c r="M561" s="524"/>
      <c r="N561" s="165"/>
      <c r="O561" s="165"/>
      <c r="P561" s="165"/>
      <c r="Q561" s="165"/>
      <c r="R561" s="524">
        <f t="shared" si="85"/>
        <v>0</v>
      </c>
      <c r="S561" s="165"/>
      <c r="T561" s="165"/>
      <c r="U561" s="165"/>
      <c r="V561" s="165"/>
      <c r="W561" s="165"/>
      <c r="X561" s="166">
        <f t="shared" si="86"/>
        <v>0</v>
      </c>
      <c r="Y561" s="486">
        <f t="shared" si="87"/>
        <v>0</v>
      </c>
      <c r="Z561" s="383"/>
    </row>
    <row r="562" spans="1:28" hidden="1" x14ac:dyDescent="0.2">
      <c r="A562" s="26"/>
      <c r="B562" s="74"/>
      <c r="C562" s="39"/>
      <c r="D562" s="165"/>
      <c r="E562" s="165"/>
      <c r="F562" s="165"/>
      <c r="G562" s="165"/>
      <c r="H562" s="165"/>
      <c r="I562" s="165"/>
      <c r="J562" s="165"/>
      <c r="K562" s="165"/>
      <c r="L562" s="165"/>
      <c r="M562" s="524"/>
      <c r="N562" s="165"/>
      <c r="O562" s="165"/>
      <c r="P562" s="165"/>
      <c r="Q562" s="165"/>
      <c r="R562" s="524">
        <f t="shared" si="85"/>
        <v>0</v>
      </c>
      <c r="S562" s="165"/>
      <c r="T562" s="165"/>
      <c r="U562" s="165"/>
      <c r="V562" s="165"/>
      <c r="W562" s="165"/>
      <c r="X562" s="166">
        <f t="shared" si="86"/>
        <v>0</v>
      </c>
      <c r="Y562" s="486">
        <f t="shared" si="87"/>
        <v>0</v>
      </c>
      <c r="Z562" s="383"/>
    </row>
    <row r="563" spans="1:28" ht="20.100000000000001" hidden="1" customHeight="1" x14ac:dyDescent="0.2">
      <c r="A563" s="26"/>
      <c r="B563" s="275"/>
      <c r="C563" s="201" t="s">
        <v>68</v>
      </c>
      <c r="D563" s="165"/>
      <c r="E563" s="165"/>
      <c r="F563" s="165"/>
      <c r="G563" s="165"/>
      <c r="H563" s="165"/>
      <c r="I563" s="165"/>
      <c r="J563" s="165"/>
      <c r="K563" s="165"/>
      <c r="L563" s="165"/>
      <c r="M563" s="524"/>
      <c r="N563" s="165"/>
      <c r="O563" s="165"/>
      <c r="P563" s="165"/>
      <c r="Q563" s="165"/>
      <c r="R563" s="524">
        <f t="shared" si="85"/>
        <v>0</v>
      </c>
      <c r="S563" s="165"/>
      <c r="T563" s="165"/>
      <c r="U563" s="165"/>
      <c r="V563" s="165"/>
      <c r="W563" s="165"/>
      <c r="X563" s="166">
        <f t="shared" si="86"/>
        <v>0</v>
      </c>
      <c r="Y563" s="486">
        <f t="shared" si="87"/>
        <v>0</v>
      </c>
      <c r="Z563" s="383"/>
    </row>
    <row r="564" spans="1:28" ht="17.25" hidden="1" thickBot="1" x14ac:dyDescent="0.3">
      <c r="A564" s="565"/>
      <c r="B564" s="566"/>
      <c r="C564" s="567"/>
      <c r="D564" s="567"/>
      <c r="E564" s="567"/>
      <c r="F564" s="567"/>
      <c r="G564" s="567"/>
      <c r="H564" s="567"/>
      <c r="I564" s="567"/>
      <c r="J564" s="567"/>
      <c r="K564" s="567"/>
      <c r="L564" s="567"/>
      <c r="M564" s="695"/>
      <c r="N564" s="567"/>
      <c r="O564" s="567"/>
      <c r="P564" s="567"/>
      <c r="Q564" s="567"/>
      <c r="R564" s="695"/>
      <c r="S564" s="567"/>
      <c r="T564" s="567"/>
      <c r="U564" s="567"/>
      <c r="V564" s="567"/>
      <c r="W564" s="567"/>
      <c r="X564" s="567"/>
      <c r="Y564" s="702"/>
      <c r="Z564" s="568"/>
    </row>
    <row r="565" spans="1:28" ht="24.95" hidden="1" customHeight="1" thickTop="1" thickBot="1" x14ac:dyDescent="0.25">
      <c r="A565" s="47"/>
      <c r="B565" s="261" t="s">
        <v>185</v>
      </c>
      <c r="C565" s="44" t="s">
        <v>31</v>
      </c>
      <c r="D565" s="178">
        <f>SUM(D509:D564)</f>
        <v>0</v>
      </c>
      <c r="E565" s="178">
        <f t="shared" ref="E565:Q565" si="88">SUM(E509:E564)</f>
        <v>0</v>
      </c>
      <c r="F565" s="178">
        <f t="shared" si="88"/>
        <v>0</v>
      </c>
      <c r="G565" s="178">
        <f t="shared" si="88"/>
        <v>0</v>
      </c>
      <c r="H565" s="178">
        <f t="shared" si="88"/>
        <v>0</v>
      </c>
      <c r="I565" s="178">
        <f t="shared" si="88"/>
        <v>0</v>
      </c>
      <c r="J565" s="178">
        <f t="shared" si="88"/>
        <v>0</v>
      </c>
      <c r="K565" s="178">
        <f t="shared" si="88"/>
        <v>0</v>
      </c>
      <c r="L565" s="178">
        <f t="shared" si="88"/>
        <v>0</v>
      </c>
      <c r="M565" s="694">
        <f t="shared" si="88"/>
        <v>0</v>
      </c>
      <c r="N565" s="178">
        <f t="shared" si="88"/>
        <v>0</v>
      </c>
      <c r="O565" s="178">
        <f t="shared" si="88"/>
        <v>0</v>
      </c>
      <c r="P565" s="178">
        <f t="shared" si="88"/>
        <v>0</v>
      </c>
      <c r="Q565" s="178">
        <f t="shared" si="88"/>
        <v>0</v>
      </c>
      <c r="R565" s="694">
        <f>SUM(D565:Q565)</f>
        <v>0</v>
      </c>
      <c r="S565" s="178"/>
      <c r="T565" s="178">
        <f>SUM(T509:T564)</f>
        <v>0</v>
      </c>
      <c r="U565" s="178">
        <f>SUM(U509:U564)</f>
        <v>0</v>
      </c>
      <c r="V565" s="178">
        <f>SUM(V509:V564)</f>
        <v>0</v>
      </c>
      <c r="W565" s="178">
        <f>SUM(W509:W564)</f>
        <v>0</v>
      </c>
      <c r="X565" s="468">
        <f>SUM(T565:W565)</f>
        <v>0</v>
      </c>
      <c r="Y565" s="701">
        <f>R565+X565</f>
        <v>0</v>
      </c>
      <c r="Z565" s="179">
        <f>SUM(Z509:Z564)</f>
        <v>0</v>
      </c>
    </row>
    <row r="566" spans="1:28" ht="24.95" hidden="1" customHeight="1" thickTop="1" thickBot="1" x14ac:dyDescent="0.25">
      <c r="A566" s="47"/>
      <c r="B566" s="43" t="s">
        <v>186</v>
      </c>
      <c r="C566" s="44" t="s">
        <v>155</v>
      </c>
      <c r="D566" s="541">
        <f>D508+D565</f>
        <v>108164.9</v>
      </c>
      <c r="E566" s="541">
        <f t="shared" ref="E566:Q566" si="89">E508+E565</f>
        <v>26389.616000000002</v>
      </c>
      <c r="F566" s="541">
        <f t="shared" si="89"/>
        <v>4776121.8180000009</v>
      </c>
      <c r="G566" s="541">
        <f t="shared" si="89"/>
        <v>197740</v>
      </c>
      <c r="H566" s="541">
        <f t="shared" si="89"/>
        <v>150591.49600000001</v>
      </c>
      <c r="I566" s="541">
        <f t="shared" si="89"/>
        <v>70493</v>
      </c>
      <c r="J566" s="541">
        <f t="shared" si="89"/>
        <v>680624.755</v>
      </c>
      <c r="K566" s="541">
        <f t="shared" si="89"/>
        <v>1175180.8630000001</v>
      </c>
      <c r="L566" s="541">
        <f t="shared" si="89"/>
        <v>4667745.6109999996</v>
      </c>
      <c r="M566" s="692">
        <f t="shared" si="89"/>
        <v>43579</v>
      </c>
      <c r="N566" s="541">
        <f t="shared" si="89"/>
        <v>58478</v>
      </c>
      <c r="O566" s="541">
        <f t="shared" si="89"/>
        <v>10000</v>
      </c>
      <c r="P566" s="541">
        <f t="shared" si="89"/>
        <v>0</v>
      </c>
      <c r="Q566" s="541">
        <f t="shared" si="89"/>
        <v>698379</v>
      </c>
      <c r="R566" s="692">
        <f>SUM(D566:Q566)</f>
        <v>12663488.059</v>
      </c>
      <c r="S566" s="167"/>
      <c r="T566" s="541">
        <f>T508+T565</f>
        <v>0</v>
      </c>
      <c r="U566" s="541">
        <f>U508+U565</f>
        <v>7960052</v>
      </c>
      <c r="V566" s="541">
        <f>V508+V565</f>
        <v>109727.535</v>
      </c>
      <c r="W566" s="541">
        <f>W508+W565</f>
        <v>0</v>
      </c>
      <c r="X566" s="542">
        <f>SUM(T566:W566)</f>
        <v>8069779.5350000001</v>
      </c>
      <c r="Y566" s="570">
        <f>R566+X566</f>
        <v>20733267.594000001</v>
      </c>
      <c r="Z566" s="543">
        <f>Z508+Z565</f>
        <v>6871235.534</v>
      </c>
      <c r="AB566" s="85">
        <f>Y566+Z566</f>
        <v>27604503.127999999</v>
      </c>
    </row>
    <row r="567" spans="1:28" ht="17.25" thickTop="1" x14ac:dyDescent="0.25">
      <c r="M567" s="530"/>
      <c r="R567" s="530"/>
      <c r="Y567" s="540"/>
      <c r="Z567" s="2"/>
    </row>
    <row r="568" spans="1:28" ht="18.75" hidden="1" thickTop="1" thickBot="1" x14ac:dyDescent="0.3">
      <c r="C568" s="2" t="s">
        <v>96</v>
      </c>
      <c r="D568" s="204">
        <v>108164.9</v>
      </c>
      <c r="E568" s="204">
        <v>26389.616000000002</v>
      </c>
      <c r="F568" s="204">
        <v>4776121.3499999996</v>
      </c>
      <c r="G568" s="204">
        <v>197740</v>
      </c>
      <c r="H568" s="204">
        <v>150591.49600000001</v>
      </c>
      <c r="I568" s="204">
        <v>70493</v>
      </c>
      <c r="J568" s="204">
        <v>680624.755</v>
      </c>
      <c r="K568" s="204">
        <v>1175180.8629999999</v>
      </c>
      <c r="L568" s="204">
        <v>4667745.6109999996</v>
      </c>
      <c r="M568" s="387">
        <v>43579</v>
      </c>
      <c r="N568" s="204">
        <v>58478</v>
      </c>
      <c r="O568" s="204">
        <v>10000</v>
      </c>
      <c r="P568" s="204">
        <v>0</v>
      </c>
      <c r="Q568" s="204">
        <v>698379</v>
      </c>
      <c r="R568" s="387">
        <v>12663487.591</v>
      </c>
      <c r="S568" s="204"/>
      <c r="T568" s="204">
        <v>0</v>
      </c>
      <c r="U568" s="204">
        <v>7960052</v>
      </c>
      <c r="V568" s="204">
        <v>109727.535</v>
      </c>
      <c r="W568" s="204">
        <v>0</v>
      </c>
      <c r="X568" s="204">
        <v>8069779.5350000001</v>
      </c>
      <c r="Y568" s="387">
        <v>20733267.126000002</v>
      </c>
      <c r="Z568" s="204">
        <v>6871236</v>
      </c>
      <c r="AA568" s="130">
        <f>SUM(Y568:Z568)</f>
        <v>27604503.126000002</v>
      </c>
    </row>
    <row r="569" spans="1:28" ht="17.25" hidden="1" thickTop="1" x14ac:dyDescent="0.25">
      <c r="F569" s="168"/>
      <c r="M569" s="530"/>
      <c r="R569" s="530"/>
      <c r="Y569" s="540"/>
      <c r="Z569" s="2"/>
    </row>
    <row r="570" spans="1:28" hidden="1" x14ac:dyDescent="0.25">
      <c r="C570" s="2" t="s">
        <v>97</v>
      </c>
      <c r="D570" s="168">
        <f>D568-D566</f>
        <v>0</v>
      </c>
      <c r="E570" s="168">
        <f t="shared" ref="E570:Z570" si="90">E568-E566</f>
        <v>0</v>
      </c>
      <c r="F570" s="715">
        <f>F568-F566</f>
        <v>-0.46800000127404928</v>
      </c>
      <c r="G570" s="168">
        <f t="shared" si="90"/>
        <v>0</v>
      </c>
      <c r="H570" s="168">
        <f t="shared" si="90"/>
        <v>0</v>
      </c>
      <c r="I570" s="168">
        <f t="shared" si="90"/>
        <v>0</v>
      </c>
      <c r="J570" s="168">
        <f t="shared" si="90"/>
        <v>0</v>
      </c>
      <c r="K570" s="168">
        <f t="shared" si="90"/>
        <v>0</v>
      </c>
      <c r="L570" s="674">
        <f t="shared" si="90"/>
        <v>0</v>
      </c>
      <c r="M570" s="674">
        <f t="shared" si="90"/>
        <v>0</v>
      </c>
      <c r="N570" s="168">
        <f t="shared" si="90"/>
        <v>0</v>
      </c>
      <c r="O570" s="168">
        <f t="shared" si="90"/>
        <v>0</v>
      </c>
      <c r="P570" s="168">
        <f t="shared" si="90"/>
        <v>0</v>
      </c>
      <c r="Q570" s="168">
        <f t="shared" si="90"/>
        <v>0</v>
      </c>
      <c r="R570" s="674">
        <f t="shared" si="90"/>
        <v>-0.46800000034272671</v>
      </c>
      <c r="S570" s="168"/>
      <c r="T570" s="168">
        <f t="shared" si="90"/>
        <v>0</v>
      </c>
      <c r="U570" s="168">
        <f t="shared" si="90"/>
        <v>0</v>
      </c>
      <c r="V570" s="168">
        <f t="shared" si="90"/>
        <v>0</v>
      </c>
      <c r="W570" s="168">
        <f t="shared" si="90"/>
        <v>0</v>
      </c>
      <c r="X570" s="168">
        <f t="shared" si="90"/>
        <v>0</v>
      </c>
      <c r="Y570" s="674">
        <f t="shared" si="90"/>
        <v>-0.46799999848008156</v>
      </c>
      <c r="Z570" s="168">
        <f t="shared" si="90"/>
        <v>0.46600000001490116</v>
      </c>
      <c r="AA570" s="168"/>
    </row>
    <row r="571" spans="1:28" hidden="1" x14ac:dyDescent="0.25">
      <c r="Z571" s="2"/>
    </row>
    <row r="572" spans="1:28" x14ac:dyDescent="0.25">
      <c r="F572" s="388"/>
      <c r="Z572" s="2"/>
    </row>
  </sheetData>
  <mergeCells count="8">
    <mergeCell ref="AJ14:AK14"/>
    <mergeCell ref="A2:Z2"/>
    <mergeCell ref="A4:Z4"/>
    <mergeCell ref="D7:Z7"/>
    <mergeCell ref="AJ9:AK9"/>
    <mergeCell ref="D8:K8"/>
    <mergeCell ref="L8:Q8"/>
    <mergeCell ref="T8:W8"/>
  </mergeCells>
  <phoneticPr fontId="3" type="noConversion"/>
  <printOptions horizontalCentered="1"/>
  <pageMargins left="0" right="0" top="0.5" bottom="0.48" header="0.21" footer="0.15748031496062992"/>
  <pageSetup paperSize="9" scale="40" firstPageNumber="0" orientation="landscape" horizontalDpi="300" verticalDpi="300" r:id="rId1"/>
  <headerFooter alignWithMargins="0">
    <oddFooter>&amp;P. oldal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8"/>
  <sheetViews>
    <sheetView zoomScale="75" zoomScaleNormal="75" workbookViewId="0"/>
  </sheetViews>
  <sheetFormatPr defaultRowHeight="16.5" x14ac:dyDescent="0.25"/>
  <cols>
    <col min="1" max="1" width="5.140625" style="1" customWidth="1"/>
    <col min="2" max="2" width="13.7109375" style="1" hidden="1" customWidth="1"/>
    <col min="3" max="3" width="57.7109375" style="2" customWidth="1"/>
    <col min="4" max="14" width="12.7109375" style="2" customWidth="1"/>
    <col min="15" max="15" width="15.7109375" style="2" customWidth="1"/>
    <col min="16" max="16" width="1.85546875" style="2" customWidth="1"/>
    <col min="17" max="17" width="11.28515625" style="2" customWidth="1"/>
    <col min="18" max="18" width="11.85546875" style="2" customWidth="1"/>
    <col min="19" max="19" width="11.28515625" style="2" customWidth="1"/>
    <col min="20" max="20" width="10" style="2" customWidth="1"/>
    <col min="21" max="21" width="15.7109375" style="2" customWidth="1"/>
    <col min="22" max="22" width="1.85546875" style="2" customWidth="1"/>
    <col min="23" max="23" width="15.7109375" style="2" customWidth="1"/>
    <col min="24" max="24" width="17.140625" style="2" customWidth="1"/>
    <col min="25" max="25" width="11" style="2" customWidth="1"/>
    <col min="26" max="26" width="10.7109375" style="2" customWidth="1"/>
    <col min="27" max="32" width="9.140625" style="2"/>
    <col min="33" max="34" width="10.7109375" style="2" customWidth="1"/>
    <col min="35" max="35" width="10.28515625" style="2" customWidth="1"/>
    <col min="36" max="36" width="10" style="2" customWidth="1"/>
    <col min="37" max="37" width="10.28515625" style="2" customWidth="1"/>
    <col min="38" max="38" width="10.7109375" style="2" customWidth="1"/>
    <col min="39" max="39" width="10.5703125" style="2" customWidth="1"/>
    <col min="40" max="43" width="9.140625" style="2"/>
    <col min="44" max="44" width="11" style="2" customWidth="1"/>
    <col min="45" max="16384" width="9.140625" style="2"/>
  </cols>
  <sheetData>
    <row r="1" spans="1:38" ht="20.25" customHeight="1" x14ac:dyDescent="0.25">
      <c r="V1" s="3"/>
      <c r="W1" s="185"/>
      <c r="X1" s="185" t="s">
        <v>94</v>
      </c>
    </row>
    <row r="2" spans="1:38" ht="30" customHeight="1" x14ac:dyDescent="0.3">
      <c r="A2" s="735" t="s">
        <v>0</v>
      </c>
      <c r="B2" s="735"/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5"/>
      <c r="N2" s="735"/>
      <c r="O2" s="735"/>
      <c r="P2" s="735"/>
      <c r="Q2" s="735"/>
      <c r="R2" s="735"/>
      <c r="S2" s="735"/>
      <c r="T2" s="735"/>
      <c r="U2" s="735"/>
      <c r="V2" s="735"/>
      <c r="W2" s="735"/>
      <c r="X2" s="735"/>
    </row>
    <row r="3" spans="1:38" ht="30" customHeight="1" x14ac:dyDescent="0.3">
      <c r="A3" s="452"/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</row>
    <row r="4" spans="1:38" ht="50.1" customHeight="1" x14ac:dyDescent="0.3">
      <c r="A4" s="748" t="s">
        <v>597</v>
      </c>
      <c r="B4" s="748"/>
      <c r="C4" s="748"/>
      <c r="D4" s="748"/>
      <c r="E4" s="748"/>
      <c r="F4" s="748"/>
      <c r="G4" s="748"/>
      <c r="H4" s="748"/>
      <c r="I4" s="748"/>
      <c r="J4" s="748"/>
      <c r="K4" s="748"/>
      <c r="L4" s="748"/>
      <c r="M4" s="748"/>
      <c r="N4" s="748"/>
      <c r="O4" s="748"/>
      <c r="P4" s="748"/>
      <c r="Q4" s="748"/>
      <c r="R4" s="748"/>
      <c r="S4" s="748"/>
      <c r="T4" s="748"/>
      <c r="U4" s="748"/>
      <c r="V4" s="748"/>
      <c r="W4" s="748"/>
      <c r="X4" s="748"/>
    </row>
    <row r="5" spans="1:38" ht="24.95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8" ht="17.2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  <c r="X6" s="6" t="s">
        <v>1</v>
      </c>
    </row>
    <row r="7" spans="1:38" ht="18" customHeight="1" thickTop="1" x14ac:dyDescent="0.25">
      <c r="A7" s="7"/>
      <c r="B7" s="8"/>
      <c r="C7" s="9"/>
      <c r="D7" s="727" t="s">
        <v>123</v>
      </c>
      <c r="E7" s="728"/>
      <c r="F7" s="729"/>
      <c r="G7" s="407"/>
      <c r="H7" s="408"/>
      <c r="I7" s="409" t="s">
        <v>4</v>
      </c>
      <c r="J7" s="730" t="s">
        <v>131</v>
      </c>
      <c r="K7" s="731"/>
      <c r="L7" s="407"/>
      <c r="M7" s="410" t="s">
        <v>132</v>
      </c>
      <c r="N7" s="411"/>
      <c r="O7" s="412" t="s">
        <v>139</v>
      </c>
      <c r="P7" s="14"/>
      <c r="Q7" s="732" t="s">
        <v>141</v>
      </c>
      <c r="R7" s="733"/>
      <c r="S7" s="733"/>
      <c r="T7" s="734"/>
      <c r="U7" s="413" t="s">
        <v>150</v>
      </c>
      <c r="V7" s="401"/>
      <c r="W7" s="10" t="s">
        <v>2</v>
      </c>
      <c r="X7" s="242"/>
    </row>
    <row r="8" spans="1:38" x14ac:dyDescent="0.25">
      <c r="A8" s="11"/>
      <c r="B8" s="12"/>
      <c r="C8" s="13" t="s">
        <v>3</v>
      </c>
      <c r="D8" s="16" t="s">
        <v>124</v>
      </c>
      <c r="E8" s="13" t="s">
        <v>125</v>
      </c>
      <c r="F8" s="4" t="s">
        <v>126</v>
      </c>
      <c r="G8" s="17" t="s">
        <v>133</v>
      </c>
      <c r="H8" s="17" t="s">
        <v>5</v>
      </c>
      <c r="I8" s="17" t="s">
        <v>15</v>
      </c>
      <c r="J8" s="13" t="s">
        <v>6</v>
      </c>
      <c r="K8" s="13" t="s">
        <v>134</v>
      </c>
      <c r="L8" s="403" t="s">
        <v>105</v>
      </c>
      <c r="M8" s="13" t="s">
        <v>135</v>
      </c>
      <c r="N8" s="17" t="s">
        <v>4</v>
      </c>
      <c r="O8" s="404" t="s">
        <v>140</v>
      </c>
      <c r="P8" s="17"/>
      <c r="Q8" s="17" t="s">
        <v>142</v>
      </c>
      <c r="R8" s="17" t="s">
        <v>143</v>
      </c>
      <c r="S8" s="17" t="s">
        <v>230</v>
      </c>
      <c r="T8" s="17" t="s">
        <v>4</v>
      </c>
      <c r="U8" s="405" t="s">
        <v>151</v>
      </c>
      <c r="V8" s="400"/>
      <c r="W8" s="15" t="s">
        <v>7</v>
      </c>
      <c r="X8" s="307" t="s">
        <v>111</v>
      </c>
    </row>
    <row r="9" spans="1:38" x14ac:dyDescent="0.25">
      <c r="A9" s="18" t="s">
        <v>8</v>
      </c>
      <c r="B9" s="13"/>
      <c r="C9" s="13" t="s">
        <v>9</v>
      </c>
      <c r="D9" s="17" t="s">
        <v>15</v>
      </c>
      <c r="E9" s="13" t="s">
        <v>127</v>
      </c>
      <c r="F9" s="4" t="s">
        <v>79</v>
      </c>
      <c r="G9" s="17" t="s">
        <v>10</v>
      </c>
      <c r="H9" s="13" t="s">
        <v>10</v>
      </c>
      <c r="I9" s="13" t="s">
        <v>11</v>
      </c>
      <c r="J9" s="13" t="s">
        <v>11</v>
      </c>
      <c r="K9" s="13" t="s">
        <v>79</v>
      </c>
      <c r="L9" s="298" t="s">
        <v>106</v>
      </c>
      <c r="M9" s="17" t="s">
        <v>136</v>
      </c>
      <c r="N9" s="17" t="s">
        <v>107</v>
      </c>
      <c r="O9" s="404" t="s">
        <v>10</v>
      </c>
      <c r="P9" s="17"/>
      <c r="Q9" s="17" t="s">
        <v>144</v>
      </c>
      <c r="R9" s="17" t="s">
        <v>145</v>
      </c>
      <c r="S9" s="17" t="s">
        <v>231</v>
      </c>
      <c r="T9" s="17" t="s">
        <v>187</v>
      </c>
      <c r="U9" s="405" t="s">
        <v>10</v>
      </c>
      <c r="V9" s="402"/>
      <c r="W9" s="15" t="s">
        <v>12</v>
      </c>
      <c r="X9" s="307" t="s">
        <v>112</v>
      </c>
    </row>
    <row r="10" spans="1:38" x14ac:dyDescent="0.25">
      <c r="A10" s="11"/>
      <c r="B10" s="12"/>
      <c r="C10" s="13" t="s">
        <v>13</v>
      </c>
      <c r="D10" s="17" t="s">
        <v>128</v>
      </c>
      <c r="E10" s="13" t="s">
        <v>129</v>
      </c>
      <c r="F10" s="4" t="s">
        <v>130</v>
      </c>
      <c r="G10" s="17"/>
      <c r="H10" s="13"/>
      <c r="I10" s="13" t="s">
        <v>104</v>
      </c>
      <c r="J10" s="13" t="s">
        <v>137</v>
      </c>
      <c r="K10" s="13" t="s">
        <v>130</v>
      </c>
      <c r="L10" s="13" t="s">
        <v>10</v>
      </c>
      <c r="M10" s="17" t="s">
        <v>41</v>
      </c>
      <c r="N10" s="17" t="s">
        <v>138</v>
      </c>
      <c r="O10" s="404" t="s">
        <v>12</v>
      </c>
      <c r="P10" s="17"/>
      <c r="Q10" s="17" t="s">
        <v>146</v>
      </c>
      <c r="R10" s="17" t="s">
        <v>147</v>
      </c>
      <c r="S10" s="17" t="s">
        <v>232</v>
      </c>
      <c r="T10" s="17" t="s">
        <v>188</v>
      </c>
      <c r="U10" s="405" t="s">
        <v>12</v>
      </c>
      <c r="V10" s="402"/>
      <c r="W10" s="19" t="s">
        <v>153</v>
      </c>
      <c r="X10" s="308" t="s">
        <v>113</v>
      </c>
    </row>
    <row r="11" spans="1:38" x14ac:dyDescent="0.25">
      <c r="A11" s="11"/>
      <c r="B11" s="12"/>
      <c r="C11" s="13"/>
      <c r="D11" s="17"/>
      <c r="E11" s="13" t="s">
        <v>16</v>
      </c>
      <c r="F11" s="4" t="s">
        <v>103</v>
      </c>
      <c r="G11" s="17"/>
      <c r="H11" s="13"/>
      <c r="I11" s="13" t="s">
        <v>17</v>
      </c>
      <c r="J11" s="13" t="s">
        <v>50</v>
      </c>
      <c r="K11" s="13" t="s">
        <v>103</v>
      </c>
      <c r="L11" s="13"/>
      <c r="M11" s="20" t="s">
        <v>14</v>
      </c>
      <c r="N11" s="20" t="s">
        <v>17</v>
      </c>
      <c r="O11" s="4" t="s">
        <v>149</v>
      </c>
      <c r="P11" s="20"/>
      <c r="Q11" s="17" t="s">
        <v>16</v>
      </c>
      <c r="R11" s="20" t="s">
        <v>148</v>
      </c>
      <c r="S11" s="20" t="s">
        <v>233</v>
      </c>
      <c r="T11" s="20" t="s">
        <v>10</v>
      </c>
      <c r="U11" s="20" t="s">
        <v>152</v>
      </c>
      <c r="V11" s="21"/>
      <c r="W11" s="15"/>
      <c r="X11" s="308" t="s">
        <v>79</v>
      </c>
    </row>
    <row r="12" spans="1:38" hidden="1" x14ac:dyDescent="0.25">
      <c r="A12" s="111"/>
      <c r="B12" s="112"/>
      <c r="C12" s="113"/>
      <c r="D12" s="16" t="s">
        <v>211</v>
      </c>
      <c r="E12" s="113" t="s">
        <v>212</v>
      </c>
      <c r="F12" s="114" t="s">
        <v>213</v>
      </c>
      <c r="G12" s="16" t="s">
        <v>214</v>
      </c>
      <c r="H12" s="113" t="s">
        <v>215</v>
      </c>
      <c r="I12" s="113" t="s">
        <v>216</v>
      </c>
      <c r="J12" s="113" t="s">
        <v>217</v>
      </c>
      <c r="K12" s="122" t="s">
        <v>218</v>
      </c>
      <c r="L12" s="113" t="s">
        <v>219</v>
      </c>
      <c r="M12" s="115" t="s">
        <v>220</v>
      </c>
      <c r="N12" s="116" t="s">
        <v>221</v>
      </c>
      <c r="O12" s="114"/>
      <c r="P12" s="20"/>
      <c r="Q12" s="16" t="s">
        <v>222</v>
      </c>
      <c r="R12" s="116" t="s">
        <v>223</v>
      </c>
      <c r="S12" s="116" t="s">
        <v>224</v>
      </c>
      <c r="T12" s="113" t="s">
        <v>225</v>
      </c>
      <c r="U12" s="16"/>
      <c r="V12" s="117"/>
      <c r="W12" s="415"/>
      <c r="X12" s="243"/>
    </row>
    <row r="13" spans="1:38" ht="20.25" customHeight="1" x14ac:dyDescent="0.2">
      <c r="A13" s="191">
        <v>1</v>
      </c>
      <c r="B13" s="215"/>
      <c r="C13" s="215">
        <v>2</v>
      </c>
      <c r="D13" s="215">
        <v>3</v>
      </c>
      <c r="E13" s="215">
        <v>4</v>
      </c>
      <c r="F13" s="215">
        <v>5</v>
      </c>
      <c r="G13" s="215">
        <v>6</v>
      </c>
      <c r="H13" s="215">
        <v>7</v>
      </c>
      <c r="I13" s="215">
        <v>8</v>
      </c>
      <c r="J13" s="215">
        <v>9</v>
      </c>
      <c r="K13" s="215">
        <v>10</v>
      </c>
      <c r="L13" s="215">
        <v>11</v>
      </c>
      <c r="M13" s="215">
        <v>12</v>
      </c>
      <c r="N13" s="215">
        <v>13</v>
      </c>
      <c r="O13" s="215">
        <v>14</v>
      </c>
      <c r="P13" s="215"/>
      <c r="Q13" s="215">
        <v>15</v>
      </c>
      <c r="R13" s="215">
        <v>16</v>
      </c>
      <c r="S13" s="215">
        <v>17</v>
      </c>
      <c r="T13" s="215">
        <v>18</v>
      </c>
      <c r="U13" s="215">
        <v>19</v>
      </c>
      <c r="V13" s="216"/>
      <c r="W13" s="217">
        <v>20</v>
      </c>
      <c r="X13" s="244">
        <v>21</v>
      </c>
    </row>
    <row r="14" spans="1:38" ht="22.5" hidden="1" customHeight="1" x14ac:dyDescent="0.25">
      <c r="A14" s="22"/>
      <c r="B14" s="23"/>
      <c r="C14" s="24" t="s">
        <v>67</v>
      </c>
      <c r="D14" s="25">
        <v>0</v>
      </c>
      <c r="E14" s="25">
        <v>0</v>
      </c>
      <c r="F14" s="25">
        <v>0</v>
      </c>
      <c r="G14" s="25">
        <v>5150</v>
      </c>
      <c r="H14" s="25">
        <v>10032</v>
      </c>
      <c r="I14" s="154">
        <v>0</v>
      </c>
      <c r="J14" s="25">
        <v>0</v>
      </c>
      <c r="K14" s="25">
        <v>0</v>
      </c>
      <c r="L14" s="25">
        <v>150</v>
      </c>
      <c r="M14" s="25">
        <v>1200</v>
      </c>
      <c r="N14" s="25">
        <v>0</v>
      </c>
      <c r="O14" s="414">
        <f>SUM(D14:N14)</f>
        <v>16532</v>
      </c>
      <c r="P14" s="25"/>
      <c r="Q14" s="25">
        <v>0</v>
      </c>
      <c r="R14" s="25">
        <v>93504</v>
      </c>
      <c r="S14" s="25">
        <v>0</v>
      </c>
      <c r="T14" s="25">
        <v>0</v>
      </c>
      <c r="U14" s="414">
        <f>SUM(Q14:T14)</f>
        <v>93504</v>
      </c>
      <c r="V14" s="153"/>
      <c r="W14" s="139">
        <f>O14+U14</f>
        <v>110036</v>
      </c>
      <c r="X14" s="245">
        <v>2629005</v>
      </c>
    </row>
    <row r="15" spans="1:38" ht="20.100000000000001" hidden="1" customHeight="1" x14ac:dyDescent="0.25">
      <c r="A15" s="156"/>
      <c r="B15" s="136"/>
      <c r="C15" s="28" t="s">
        <v>110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141"/>
      <c r="W15" s="235">
        <f>O15+U15</f>
        <v>0</v>
      </c>
      <c r="X15" s="246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70"/>
    </row>
    <row r="16" spans="1:38" ht="20.100000000000001" hidden="1" customHeight="1" x14ac:dyDescent="0.25">
      <c r="A16" s="156"/>
      <c r="B16" s="27" t="s">
        <v>108</v>
      </c>
      <c r="C16" s="24" t="s">
        <v>18</v>
      </c>
      <c r="D16" s="151">
        <f t="shared" ref="D16:W16" si="0">SUM(D14:D15)</f>
        <v>0</v>
      </c>
      <c r="E16" s="151">
        <f t="shared" si="0"/>
        <v>0</v>
      </c>
      <c r="F16" s="151">
        <f t="shared" si="0"/>
        <v>0</v>
      </c>
      <c r="G16" s="151">
        <f t="shared" si="0"/>
        <v>5150</v>
      </c>
      <c r="H16" s="151">
        <f t="shared" si="0"/>
        <v>10032</v>
      </c>
      <c r="I16" s="151">
        <f t="shared" si="0"/>
        <v>0</v>
      </c>
      <c r="J16" s="151">
        <f t="shared" si="0"/>
        <v>0</v>
      </c>
      <c r="K16" s="151">
        <f t="shared" si="0"/>
        <v>0</v>
      </c>
      <c r="L16" s="151">
        <f t="shared" si="0"/>
        <v>150</v>
      </c>
      <c r="M16" s="151">
        <f t="shared" si="0"/>
        <v>1200</v>
      </c>
      <c r="N16" s="151">
        <f t="shared" si="0"/>
        <v>0</v>
      </c>
      <c r="O16" s="443">
        <f t="shared" si="0"/>
        <v>16532</v>
      </c>
      <c r="P16" s="151"/>
      <c r="Q16" s="151">
        <f>SUM(Q14:Q15)</f>
        <v>0</v>
      </c>
      <c r="R16" s="151">
        <f>SUM(R14:R15)</f>
        <v>93504</v>
      </c>
      <c r="S16" s="151">
        <f>SUM(S14:S15)</f>
        <v>0</v>
      </c>
      <c r="T16" s="151">
        <f t="shared" si="0"/>
        <v>0</v>
      </c>
      <c r="U16" s="151">
        <f t="shared" si="0"/>
        <v>93504</v>
      </c>
      <c r="V16" s="151"/>
      <c r="W16" s="236">
        <f t="shared" si="0"/>
        <v>110036</v>
      </c>
      <c r="X16" s="247">
        <f>SUM(X14:X15)</f>
        <v>2629005</v>
      </c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70"/>
    </row>
    <row r="17" spans="1:38" ht="30" hidden="1" customHeight="1" x14ac:dyDescent="0.25">
      <c r="A17" s="82"/>
      <c r="B17" s="136"/>
      <c r="C17" s="28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>
        <f t="shared" ref="O17:O26" si="1">SUM(D17:N17)</f>
        <v>0</v>
      </c>
      <c r="P17" s="72"/>
      <c r="Q17" s="72"/>
      <c r="R17" s="72"/>
      <c r="S17" s="72"/>
      <c r="T17" s="72"/>
      <c r="U17" s="72"/>
      <c r="V17" s="158"/>
      <c r="W17" s="237"/>
      <c r="X17" s="32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70"/>
    </row>
    <row r="18" spans="1:38" ht="30" hidden="1" customHeight="1" x14ac:dyDescent="0.25">
      <c r="A18" s="82">
        <v>1</v>
      </c>
      <c r="B18" s="590" t="s">
        <v>268</v>
      </c>
      <c r="C18" s="28" t="s">
        <v>269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>
        <f t="shared" si="1"/>
        <v>0</v>
      </c>
      <c r="P18" s="72"/>
      <c r="Q18" s="72"/>
      <c r="R18" s="72"/>
      <c r="S18" s="72"/>
      <c r="T18" s="72"/>
      <c r="U18" s="72">
        <f t="shared" ref="U18:U26" si="2">SUM(Q18:T18)</f>
        <v>0</v>
      </c>
      <c r="V18" s="158"/>
      <c r="W18" s="237">
        <f t="shared" ref="W18:W26" si="3">O18+U18</f>
        <v>0</v>
      </c>
      <c r="X18" s="329">
        <f>907.923</f>
        <v>907.923</v>
      </c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70"/>
    </row>
    <row r="19" spans="1:38" ht="30" hidden="1" customHeight="1" x14ac:dyDescent="0.25">
      <c r="A19" s="82">
        <v>2</v>
      </c>
      <c r="B19" s="646" t="s">
        <v>278</v>
      </c>
      <c r="C19" s="28" t="s">
        <v>277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>
        <f t="shared" si="1"/>
        <v>0</v>
      </c>
      <c r="P19" s="72"/>
      <c r="Q19" s="72"/>
      <c r="R19" s="72"/>
      <c r="S19" s="72"/>
      <c r="T19" s="72"/>
      <c r="U19" s="72">
        <f t="shared" si="2"/>
        <v>0</v>
      </c>
      <c r="V19" s="158"/>
      <c r="W19" s="237">
        <f t="shared" si="3"/>
        <v>0</v>
      </c>
      <c r="X19" s="329">
        <f>1712.309</f>
        <v>1712.309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70"/>
    </row>
    <row r="20" spans="1:38" ht="30" hidden="1" customHeight="1" x14ac:dyDescent="0.25">
      <c r="A20" s="225">
        <v>3</v>
      </c>
      <c r="B20" s="649" t="s">
        <v>310</v>
      </c>
      <c r="C20" s="33" t="s">
        <v>309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>
        <f t="shared" si="1"/>
        <v>0</v>
      </c>
      <c r="P20" s="72"/>
      <c r="Q20" s="72"/>
      <c r="R20" s="72"/>
      <c r="S20" s="72"/>
      <c r="T20" s="72"/>
      <c r="U20" s="72">
        <f t="shared" si="2"/>
        <v>0</v>
      </c>
      <c r="V20" s="158"/>
      <c r="W20" s="237">
        <f t="shared" si="3"/>
        <v>0</v>
      </c>
      <c r="X20" s="329">
        <f>3810</f>
        <v>3810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70"/>
    </row>
    <row r="21" spans="1:38" ht="30" hidden="1" customHeight="1" x14ac:dyDescent="0.25">
      <c r="A21" s="225"/>
      <c r="B21" s="226"/>
      <c r="C21" s="33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>
        <f t="shared" si="1"/>
        <v>0</v>
      </c>
      <c r="P21" s="72"/>
      <c r="Q21" s="72"/>
      <c r="R21" s="72"/>
      <c r="S21" s="72"/>
      <c r="T21" s="72"/>
      <c r="U21" s="72">
        <f t="shared" si="2"/>
        <v>0</v>
      </c>
      <c r="V21" s="158"/>
      <c r="W21" s="237">
        <f t="shared" si="3"/>
        <v>0</v>
      </c>
      <c r="X21" s="32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70"/>
    </row>
    <row r="22" spans="1:38" ht="30" hidden="1" customHeight="1" x14ac:dyDescent="0.25">
      <c r="A22" s="225"/>
      <c r="B22" s="226"/>
      <c r="C22" s="33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>
        <f t="shared" si="1"/>
        <v>0</v>
      </c>
      <c r="P22" s="72"/>
      <c r="Q22" s="72"/>
      <c r="R22" s="72"/>
      <c r="S22" s="72"/>
      <c r="T22" s="72"/>
      <c r="U22" s="72">
        <f t="shared" si="2"/>
        <v>0</v>
      </c>
      <c r="V22" s="158"/>
      <c r="W22" s="237">
        <f t="shared" si="3"/>
        <v>0</v>
      </c>
      <c r="X22" s="32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70"/>
    </row>
    <row r="23" spans="1:38" ht="30" hidden="1" customHeight="1" x14ac:dyDescent="0.25">
      <c r="A23" s="225"/>
      <c r="B23" s="226"/>
      <c r="C23" s="33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>
        <f t="shared" si="1"/>
        <v>0</v>
      </c>
      <c r="P23" s="72"/>
      <c r="Q23" s="72"/>
      <c r="R23" s="72"/>
      <c r="S23" s="72"/>
      <c r="T23" s="72"/>
      <c r="U23" s="72">
        <f t="shared" si="2"/>
        <v>0</v>
      </c>
      <c r="V23" s="158"/>
      <c r="W23" s="237">
        <f t="shared" si="3"/>
        <v>0</v>
      </c>
      <c r="X23" s="32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70"/>
    </row>
    <row r="24" spans="1:38" ht="30" hidden="1" customHeight="1" x14ac:dyDescent="0.25">
      <c r="A24" s="225"/>
      <c r="B24" s="226"/>
      <c r="C24" s="33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>
        <f t="shared" si="1"/>
        <v>0</v>
      </c>
      <c r="P24" s="72"/>
      <c r="Q24" s="72"/>
      <c r="R24" s="72"/>
      <c r="S24" s="72"/>
      <c r="T24" s="72"/>
      <c r="U24" s="72">
        <f t="shared" si="2"/>
        <v>0</v>
      </c>
      <c r="V24" s="158"/>
      <c r="W24" s="237">
        <f t="shared" si="3"/>
        <v>0</v>
      </c>
      <c r="X24" s="32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70"/>
    </row>
    <row r="25" spans="1:38" ht="30" hidden="1" customHeight="1" x14ac:dyDescent="0.25">
      <c r="A25" s="225"/>
      <c r="B25" s="226"/>
      <c r="C25" s="33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>
        <f t="shared" si="1"/>
        <v>0</v>
      </c>
      <c r="P25" s="72"/>
      <c r="Q25" s="72"/>
      <c r="R25" s="72"/>
      <c r="S25" s="72"/>
      <c r="T25" s="72"/>
      <c r="U25" s="72">
        <f t="shared" si="2"/>
        <v>0</v>
      </c>
      <c r="V25" s="158"/>
      <c r="W25" s="237">
        <f t="shared" si="3"/>
        <v>0</v>
      </c>
      <c r="X25" s="32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70"/>
    </row>
    <row r="26" spans="1:38" ht="30" hidden="1" customHeight="1" x14ac:dyDescent="0.25">
      <c r="A26" s="82"/>
      <c r="B26" s="137"/>
      <c r="C26" s="28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>
        <f t="shared" si="1"/>
        <v>0</v>
      </c>
      <c r="P26" s="72"/>
      <c r="Q26" s="72"/>
      <c r="R26" s="72"/>
      <c r="S26" s="72"/>
      <c r="T26" s="72"/>
      <c r="U26" s="72">
        <f t="shared" si="2"/>
        <v>0</v>
      </c>
      <c r="V26" s="158"/>
      <c r="W26" s="237">
        <f t="shared" si="3"/>
        <v>0</v>
      </c>
      <c r="X26" s="32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70"/>
    </row>
    <row r="27" spans="1:38" ht="9.9499999999999993" hidden="1" customHeight="1" x14ac:dyDescent="0.25">
      <c r="A27" s="82"/>
      <c r="B27" s="137"/>
      <c r="C27" s="2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158"/>
      <c r="W27" s="237"/>
      <c r="X27" s="32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70"/>
    </row>
    <row r="28" spans="1:38" ht="30" hidden="1" customHeight="1" x14ac:dyDescent="0.25">
      <c r="A28" s="210" t="s">
        <v>88</v>
      </c>
      <c r="B28" s="206"/>
      <c r="C28" s="211" t="s">
        <v>86</v>
      </c>
      <c r="D28" s="72">
        <f t="shared" ref="D28:O28" si="4">SUM(D17:D27)</f>
        <v>0</v>
      </c>
      <c r="E28" s="72">
        <f t="shared" si="4"/>
        <v>0</v>
      </c>
      <c r="F28" s="72">
        <f t="shared" si="4"/>
        <v>0</v>
      </c>
      <c r="G28" s="72">
        <f t="shared" si="4"/>
        <v>0</v>
      </c>
      <c r="H28" s="72">
        <f t="shared" si="4"/>
        <v>0</v>
      </c>
      <c r="I28" s="72">
        <f t="shared" si="4"/>
        <v>0</v>
      </c>
      <c r="J28" s="72">
        <f t="shared" si="4"/>
        <v>0</v>
      </c>
      <c r="K28" s="72">
        <f t="shared" si="4"/>
        <v>0</v>
      </c>
      <c r="L28" s="72">
        <f t="shared" si="4"/>
        <v>0</v>
      </c>
      <c r="M28" s="72">
        <f t="shared" si="4"/>
        <v>0</v>
      </c>
      <c r="N28" s="72">
        <f t="shared" si="4"/>
        <v>0</v>
      </c>
      <c r="O28" s="72">
        <f t="shared" si="4"/>
        <v>0</v>
      </c>
      <c r="P28" s="72"/>
      <c r="Q28" s="72"/>
      <c r="R28" s="72"/>
      <c r="S28" s="72">
        <f>SUM(S17:S27)</f>
        <v>0</v>
      </c>
      <c r="T28" s="72">
        <f>SUM(T17:T27)</f>
        <v>0</v>
      </c>
      <c r="U28" s="72">
        <f>SUM(U17:U27)</f>
        <v>0</v>
      </c>
      <c r="V28" s="208"/>
      <c r="W28" s="238">
        <f>O28+U28</f>
        <v>0</v>
      </c>
      <c r="X28" s="329">
        <f>SUM(X17:X27)</f>
        <v>6430.232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70"/>
    </row>
    <row r="29" spans="1:38" ht="9.9499999999999993" hidden="1" customHeight="1" x14ac:dyDescent="0.25">
      <c r="A29" s="82"/>
      <c r="B29" s="137"/>
      <c r="C29" s="28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158"/>
      <c r="W29" s="237"/>
      <c r="X29" s="32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70"/>
    </row>
    <row r="30" spans="1:38" ht="30" hidden="1" customHeight="1" x14ac:dyDescent="0.25">
      <c r="A30" s="82">
        <v>4</v>
      </c>
      <c r="B30" s="226" t="s">
        <v>287</v>
      </c>
      <c r="C30" s="28" t="s">
        <v>273</v>
      </c>
      <c r="D30" s="448"/>
      <c r="E30" s="448"/>
      <c r="F30" s="448">
        <f>3251.484</f>
        <v>3251.4839999999999</v>
      </c>
      <c r="G30" s="448"/>
      <c r="H30" s="643"/>
      <c r="I30" s="448"/>
      <c r="J30" s="448"/>
      <c r="K30" s="448"/>
      <c r="L30" s="448"/>
      <c r="M30" s="448"/>
      <c r="N30" s="448"/>
      <c r="O30" s="448">
        <f>SUM(D30:N30)</f>
        <v>3251.4839999999999</v>
      </c>
      <c r="P30" s="448"/>
      <c r="Q30" s="448"/>
      <c r="R30" s="448"/>
      <c r="S30" s="448"/>
      <c r="T30" s="448"/>
      <c r="U30" s="448">
        <f>SUM(Q30:T30)</f>
        <v>0</v>
      </c>
      <c r="V30" s="158"/>
      <c r="W30" s="237">
        <f>O30+U30</f>
        <v>3251.4839999999999</v>
      </c>
      <c r="X30" s="32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70"/>
    </row>
    <row r="31" spans="1:38" ht="30" hidden="1" customHeight="1" x14ac:dyDescent="0.25">
      <c r="A31" s="82">
        <v>5</v>
      </c>
      <c r="B31" s="645" t="s">
        <v>290</v>
      </c>
      <c r="C31" s="41" t="s">
        <v>289</v>
      </c>
      <c r="D31" s="448"/>
      <c r="E31" s="448"/>
      <c r="F31" s="643"/>
      <c r="G31" s="448"/>
      <c r="H31" s="448">
        <f>112</f>
        <v>112</v>
      </c>
      <c r="I31" s="448"/>
      <c r="J31" s="448"/>
      <c r="K31" s="448"/>
      <c r="L31" s="448">
        <f>414</f>
        <v>414</v>
      </c>
      <c r="M31" s="448"/>
      <c r="N31" s="448"/>
      <c r="O31" s="448">
        <f>SUM(D31:N31)</f>
        <v>526</v>
      </c>
      <c r="P31" s="448"/>
      <c r="Q31" s="448"/>
      <c r="R31" s="448"/>
      <c r="S31" s="448"/>
      <c r="T31" s="448"/>
      <c r="U31" s="448">
        <f>SUM(Q31:T31)</f>
        <v>0</v>
      </c>
      <c r="V31" s="158"/>
      <c r="W31" s="237">
        <f>O31+U31</f>
        <v>526</v>
      </c>
      <c r="X31" s="32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70"/>
    </row>
    <row r="32" spans="1:38" ht="30" hidden="1" customHeight="1" x14ac:dyDescent="0.25">
      <c r="A32" s="82">
        <v>6</v>
      </c>
      <c r="B32" s="649" t="s">
        <v>329</v>
      </c>
      <c r="C32" s="28" t="s">
        <v>273</v>
      </c>
      <c r="D32" s="448"/>
      <c r="E32" s="448"/>
      <c r="F32" s="448">
        <f>414.969</f>
        <v>414.96899999999999</v>
      </c>
      <c r="G32" s="448"/>
      <c r="H32" s="448"/>
      <c r="I32" s="448"/>
      <c r="J32" s="448"/>
      <c r="K32" s="448"/>
      <c r="L32" s="448"/>
      <c r="M32" s="448"/>
      <c r="N32" s="448"/>
      <c r="O32" s="448">
        <f>SUM(D32:N32)</f>
        <v>414.96899999999999</v>
      </c>
      <c r="P32" s="448"/>
      <c r="Q32" s="448"/>
      <c r="R32" s="448"/>
      <c r="S32" s="448"/>
      <c r="T32" s="448"/>
      <c r="U32" s="448">
        <f>SUM(Q32:T32)</f>
        <v>0</v>
      </c>
      <c r="V32" s="158"/>
      <c r="W32" s="237">
        <f>O32+U32</f>
        <v>414.96899999999999</v>
      </c>
      <c r="X32" s="32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70"/>
    </row>
    <row r="33" spans="1:38" ht="30" hidden="1" customHeight="1" x14ac:dyDescent="0.25">
      <c r="A33" s="82" t="s">
        <v>117</v>
      </c>
      <c r="B33" s="226"/>
      <c r="C33" s="28"/>
      <c r="D33" s="448"/>
      <c r="E33" s="448"/>
      <c r="F33" s="448"/>
      <c r="G33" s="448"/>
      <c r="H33" s="448"/>
      <c r="I33" s="448"/>
      <c r="J33" s="448"/>
      <c r="K33" s="448"/>
      <c r="L33" s="448"/>
      <c r="M33" s="448"/>
      <c r="N33" s="448"/>
      <c r="O33" s="448">
        <f t="shared" ref="O33:O38" si="5">SUM(D33:N33)</f>
        <v>0</v>
      </c>
      <c r="P33" s="448"/>
      <c r="Q33" s="448"/>
      <c r="R33" s="448"/>
      <c r="S33" s="448"/>
      <c r="T33" s="448"/>
      <c r="U33" s="448">
        <f t="shared" ref="U33:U38" si="6">SUM(Q33:T33)</f>
        <v>0</v>
      </c>
      <c r="V33" s="158"/>
      <c r="W33" s="237">
        <f t="shared" ref="W33:W38" si="7">O33+U33</f>
        <v>0</v>
      </c>
      <c r="X33" s="32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70"/>
    </row>
    <row r="34" spans="1:38" ht="30" hidden="1" customHeight="1" x14ac:dyDescent="0.25">
      <c r="A34" s="82" t="s">
        <v>117</v>
      </c>
      <c r="B34" s="226"/>
      <c r="C34" s="2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>
        <f t="shared" si="5"/>
        <v>0</v>
      </c>
      <c r="P34" s="448"/>
      <c r="Q34" s="448"/>
      <c r="R34" s="448"/>
      <c r="S34" s="448"/>
      <c r="T34" s="448"/>
      <c r="U34" s="448">
        <f t="shared" si="6"/>
        <v>0</v>
      </c>
      <c r="V34" s="158"/>
      <c r="W34" s="237">
        <f t="shared" si="7"/>
        <v>0</v>
      </c>
      <c r="X34" s="32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70"/>
    </row>
    <row r="35" spans="1:38" ht="30" hidden="1" customHeight="1" x14ac:dyDescent="0.25">
      <c r="A35" s="82"/>
      <c r="B35" s="137"/>
      <c r="C35" s="28"/>
      <c r="D35" s="448"/>
      <c r="E35" s="448"/>
      <c r="F35" s="448"/>
      <c r="G35" s="448"/>
      <c r="H35" s="448"/>
      <c r="I35" s="448"/>
      <c r="J35" s="448"/>
      <c r="K35" s="448"/>
      <c r="L35" s="448"/>
      <c r="M35" s="448"/>
      <c r="N35" s="448"/>
      <c r="O35" s="448">
        <f t="shared" si="5"/>
        <v>0</v>
      </c>
      <c r="P35" s="448"/>
      <c r="Q35" s="448"/>
      <c r="R35" s="448"/>
      <c r="S35" s="448"/>
      <c r="T35" s="448"/>
      <c r="U35" s="448">
        <f t="shared" si="6"/>
        <v>0</v>
      </c>
      <c r="V35" s="158"/>
      <c r="W35" s="237">
        <f t="shared" si="7"/>
        <v>0</v>
      </c>
      <c r="X35" s="32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70"/>
    </row>
    <row r="36" spans="1:38" ht="30" hidden="1" customHeight="1" x14ac:dyDescent="0.25">
      <c r="A36" s="82"/>
      <c r="B36" s="137"/>
      <c r="C36" s="28"/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8"/>
      <c r="O36" s="448">
        <f t="shared" si="5"/>
        <v>0</v>
      </c>
      <c r="P36" s="448"/>
      <c r="Q36" s="448"/>
      <c r="R36" s="448"/>
      <c r="S36" s="448"/>
      <c r="T36" s="448"/>
      <c r="U36" s="448">
        <f t="shared" si="6"/>
        <v>0</v>
      </c>
      <c r="V36" s="158"/>
      <c r="W36" s="237">
        <f t="shared" si="7"/>
        <v>0</v>
      </c>
      <c r="X36" s="32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70"/>
    </row>
    <row r="37" spans="1:38" ht="30" hidden="1" customHeight="1" x14ac:dyDescent="0.25">
      <c r="A37" s="82"/>
      <c r="B37" s="137"/>
      <c r="C37" s="28"/>
      <c r="D37" s="448"/>
      <c r="E37" s="448"/>
      <c r="F37" s="448"/>
      <c r="G37" s="448"/>
      <c r="H37" s="448"/>
      <c r="I37" s="448"/>
      <c r="J37" s="448"/>
      <c r="K37" s="448"/>
      <c r="L37" s="448"/>
      <c r="M37" s="448"/>
      <c r="N37" s="448"/>
      <c r="O37" s="448">
        <f t="shared" si="5"/>
        <v>0</v>
      </c>
      <c r="P37" s="448"/>
      <c r="Q37" s="448"/>
      <c r="R37" s="448"/>
      <c r="S37" s="448"/>
      <c r="T37" s="448"/>
      <c r="U37" s="448">
        <f t="shared" si="6"/>
        <v>0</v>
      </c>
      <c r="V37" s="158"/>
      <c r="W37" s="237">
        <f t="shared" si="7"/>
        <v>0</v>
      </c>
      <c r="X37" s="32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70"/>
    </row>
    <row r="38" spans="1:38" ht="30" hidden="1" customHeight="1" x14ac:dyDescent="0.25">
      <c r="A38" s="82"/>
      <c r="B38" s="137"/>
      <c r="C38" s="28"/>
      <c r="D38" s="448"/>
      <c r="E38" s="448"/>
      <c r="F38" s="448"/>
      <c r="G38" s="448"/>
      <c r="H38" s="448"/>
      <c r="I38" s="448"/>
      <c r="J38" s="448"/>
      <c r="K38" s="448"/>
      <c r="L38" s="448"/>
      <c r="M38" s="448"/>
      <c r="N38" s="448"/>
      <c r="O38" s="448">
        <f t="shared" si="5"/>
        <v>0</v>
      </c>
      <c r="P38" s="448"/>
      <c r="Q38" s="448"/>
      <c r="R38" s="448"/>
      <c r="S38" s="448"/>
      <c r="T38" s="448"/>
      <c r="U38" s="448">
        <f t="shared" si="6"/>
        <v>0</v>
      </c>
      <c r="V38" s="158"/>
      <c r="W38" s="237">
        <f t="shared" si="7"/>
        <v>0</v>
      </c>
      <c r="X38" s="32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70"/>
    </row>
    <row r="39" spans="1:38" ht="9.9499999999999993" hidden="1" customHeight="1" x14ac:dyDescent="0.25">
      <c r="A39" s="82"/>
      <c r="B39" s="137"/>
      <c r="C39" s="28"/>
      <c r="D39" s="448"/>
      <c r="E39" s="448"/>
      <c r="F39" s="448"/>
      <c r="G39" s="448"/>
      <c r="H39" s="448"/>
      <c r="I39" s="448"/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448"/>
      <c r="U39" s="448"/>
      <c r="V39" s="158"/>
      <c r="W39" s="237"/>
      <c r="X39" s="32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70"/>
    </row>
    <row r="40" spans="1:38" ht="30" hidden="1" customHeight="1" x14ac:dyDescent="0.25">
      <c r="A40" s="210" t="s">
        <v>89</v>
      </c>
      <c r="B40" s="206"/>
      <c r="C40" s="211" t="s">
        <v>87</v>
      </c>
      <c r="D40" s="591"/>
      <c r="E40" s="448">
        <f>SUM(E30:E39)</f>
        <v>0</v>
      </c>
      <c r="F40" s="448">
        <f t="shared" ref="F40:K40" si="8">SUM(F30:F39)</f>
        <v>3666.453</v>
      </c>
      <c r="G40" s="448">
        <f t="shared" si="8"/>
        <v>0</v>
      </c>
      <c r="H40" s="448">
        <f t="shared" si="8"/>
        <v>112</v>
      </c>
      <c r="I40" s="448">
        <f t="shared" si="8"/>
        <v>0</v>
      </c>
      <c r="J40" s="448">
        <f t="shared" si="8"/>
        <v>0</v>
      </c>
      <c r="K40" s="448">
        <f t="shared" si="8"/>
        <v>0</v>
      </c>
      <c r="L40" s="448">
        <f t="shared" ref="L40:U40" si="9">SUM(L30:L39)</f>
        <v>414</v>
      </c>
      <c r="M40" s="448">
        <f t="shared" si="9"/>
        <v>0</v>
      </c>
      <c r="N40" s="448">
        <f t="shared" si="9"/>
        <v>0</v>
      </c>
      <c r="O40" s="448">
        <f t="shared" si="9"/>
        <v>4192.4529999999995</v>
      </c>
      <c r="P40" s="448"/>
      <c r="Q40" s="448"/>
      <c r="R40" s="448"/>
      <c r="S40" s="448">
        <f t="shared" si="9"/>
        <v>0</v>
      </c>
      <c r="T40" s="448">
        <f t="shared" si="9"/>
        <v>0</v>
      </c>
      <c r="U40" s="448">
        <f t="shared" si="9"/>
        <v>0</v>
      </c>
      <c r="V40" s="208"/>
      <c r="W40" s="238">
        <f>O40+U40</f>
        <v>4192.4529999999995</v>
      </c>
      <c r="X40" s="329">
        <f>SUM(X30:X39)</f>
        <v>0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70"/>
    </row>
    <row r="41" spans="1:38" ht="20.100000000000001" hidden="1" customHeight="1" thickBot="1" x14ac:dyDescent="0.3">
      <c r="A41" s="68"/>
      <c r="B41" s="118"/>
      <c r="C41" s="28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142"/>
      <c r="W41" s="239"/>
      <c r="X41" s="246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70"/>
    </row>
    <row r="42" spans="1:38" ht="24.95" hidden="1" customHeight="1" thickTop="1" thickBot="1" x14ac:dyDescent="0.3">
      <c r="A42" s="35"/>
      <c r="B42" s="36"/>
      <c r="C42" s="44" t="s">
        <v>90</v>
      </c>
      <c r="D42" s="37">
        <f t="shared" ref="D42:U42" si="10">D28+D40</f>
        <v>0</v>
      </c>
      <c r="E42" s="37">
        <f t="shared" si="10"/>
        <v>0</v>
      </c>
      <c r="F42" s="37">
        <f t="shared" si="10"/>
        <v>3666.453</v>
      </c>
      <c r="G42" s="37">
        <f t="shared" si="10"/>
        <v>0</v>
      </c>
      <c r="H42" s="37">
        <f t="shared" si="10"/>
        <v>112</v>
      </c>
      <c r="I42" s="37">
        <f t="shared" si="10"/>
        <v>0</v>
      </c>
      <c r="J42" s="37">
        <f t="shared" si="10"/>
        <v>0</v>
      </c>
      <c r="K42" s="37">
        <f t="shared" si="10"/>
        <v>0</v>
      </c>
      <c r="L42" s="37">
        <f t="shared" si="10"/>
        <v>414</v>
      </c>
      <c r="M42" s="37">
        <f t="shared" si="10"/>
        <v>0</v>
      </c>
      <c r="N42" s="37">
        <f t="shared" si="10"/>
        <v>0</v>
      </c>
      <c r="O42" s="37">
        <f t="shared" si="10"/>
        <v>4192.4529999999995</v>
      </c>
      <c r="P42" s="37"/>
      <c r="Q42" s="37">
        <f>Q28+Q40</f>
        <v>0</v>
      </c>
      <c r="R42" s="37">
        <f>R28+R40</f>
        <v>0</v>
      </c>
      <c r="S42" s="37">
        <f t="shared" si="10"/>
        <v>0</v>
      </c>
      <c r="T42" s="37">
        <f t="shared" si="10"/>
        <v>0</v>
      </c>
      <c r="U42" s="37">
        <f t="shared" si="10"/>
        <v>0</v>
      </c>
      <c r="V42" s="209"/>
      <c r="W42" s="240">
        <f>W28+W40</f>
        <v>4192.4529999999995</v>
      </c>
      <c r="X42" s="38">
        <f>X28+X40</f>
        <v>6430.232</v>
      </c>
    </row>
    <row r="43" spans="1:38" ht="24.95" hidden="1" customHeight="1" thickTop="1" thickBot="1" x14ac:dyDescent="0.3">
      <c r="A43" s="35"/>
      <c r="B43" s="36"/>
      <c r="C43" s="44" t="s">
        <v>154</v>
      </c>
      <c r="D43" s="204">
        <f t="shared" ref="D43:O43" si="11">D16+D42</f>
        <v>0</v>
      </c>
      <c r="E43" s="204">
        <f t="shared" si="11"/>
        <v>0</v>
      </c>
      <c r="F43" s="204">
        <f t="shared" si="11"/>
        <v>3666.453</v>
      </c>
      <c r="G43" s="204">
        <f t="shared" si="11"/>
        <v>5150</v>
      </c>
      <c r="H43" s="204">
        <f t="shared" si="11"/>
        <v>10144</v>
      </c>
      <c r="I43" s="204">
        <f t="shared" si="11"/>
        <v>0</v>
      </c>
      <c r="J43" s="204">
        <f t="shared" si="11"/>
        <v>0</v>
      </c>
      <c r="K43" s="204">
        <f t="shared" si="11"/>
        <v>0</v>
      </c>
      <c r="L43" s="204">
        <f t="shared" si="11"/>
        <v>564</v>
      </c>
      <c r="M43" s="204">
        <f t="shared" si="11"/>
        <v>1200</v>
      </c>
      <c r="N43" s="37">
        <f t="shared" si="11"/>
        <v>0</v>
      </c>
      <c r="O43" s="37">
        <f t="shared" si="11"/>
        <v>20724.453000000001</v>
      </c>
      <c r="P43" s="37"/>
      <c r="Q43" s="37">
        <f>Q16+Q42</f>
        <v>0</v>
      </c>
      <c r="R43" s="37">
        <f>R16+R42</f>
        <v>93504</v>
      </c>
      <c r="S43" s="37">
        <f>S16+S42</f>
        <v>0</v>
      </c>
      <c r="T43" s="37">
        <f>T16+T42</f>
        <v>0</v>
      </c>
      <c r="U43" s="37">
        <f>U16+U42</f>
        <v>93504</v>
      </c>
      <c r="V43" s="37"/>
      <c r="W43" s="240">
        <f>O43+U43</f>
        <v>114228.45300000001</v>
      </c>
      <c r="X43" s="233">
        <f>X16+X42</f>
        <v>2635435.2319999998</v>
      </c>
    </row>
    <row r="44" spans="1:38" ht="15" hidden="1" customHeight="1" thickTop="1" thickBot="1" x14ac:dyDescent="0.3">
      <c r="A44" s="35"/>
      <c r="B44" s="36"/>
      <c r="C44" s="4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37"/>
      <c r="O44" s="37"/>
      <c r="P44" s="37"/>
      <c r="Q44" s="37"/>
      <c r="R44" s="37"/>
      <c r="S44" s="37"/>
      <c r="T44" s="37"/>
      <c r="U44" s="37"/>
      <c r="V44" s="37"/>
      <c r="W44" s="240"/>
      <c r="X44" s="233"/>
    </row>
    <row r="45" spans="1:38" ht="24.95" hidden="1" customHeight="1" thickTop="1" thickBot="1" x14ac:dyDescent="0.3">
      <c r="A45" s="35"/>
      <c r="B45" s="36"/>
      <c r="C45" s="305" t="s">
        <v>228</v>
      </c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37"/>
      <c r="O45" s="37">
        <f>SUM(D45:N45)</f>
        <v>0</v>
      </c>
      <c r="P45" s="37"/>
      <c r="Q45" s="37"/>
      <c r="R45" s="618">
        <f>202060.537+31432</f>
        <v>233492.53700000001</v>
      </c>
      <c r="S45" s="618"/>
      <c r="T45" s="37"/>
      <c r="U45" s="37">
        <f>SUM(Q45:T45)</f>
        <v>233492.53700000001</v>
      </c>
      <c r="V45" s="37"/>
      <c r="W45" s="240">
        <f>O45+U45</f>
        <v>233492.53700000001</v>
      </c>
      <c r="X45" s="233"/>
    </row>
    <row r="46" spans="1:38" ht="15" hidden="1" customHeight="1" thickTop="1" thickBot="1" x14ac:dyDescent="0.3">
      <c r="A46" s="35"/>
      <c r="B46" s="36"/>
      <c r="C46" s="305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37"/>
      <c r="O46" s="37"/>
      <c r="P46" s="37"/>
      <c r="Q46" s="37"/>
      <c r="R46" s="37"/>
      <c r="S46" s="37"/>
      <c r="T46" s="37"/>
      <c r="U46" s="37"/>
      <c r="V46" s="37"/>
      <c r="W46" s="240"/>
      <c r="X46" s="233"/>
    </row>
    <row r="47" spans="1:38" ht="24.95" hidden="1" customHeight="1" thickTop="1" thickBot="1" x14ac:dyDescent="0.3">
      <c r="A47" s="35"/>
      <c r="B47" s="36"/>
      <c r="C47" s="305" t="s">
        <v>85</v>
      </c>
      <c r="D47" s="204"/>
      <c r="E47" s="204"/>
      <c r="F47" s="204"/>
      <c r="G47" s="204"/>
      <c r="H47" s="204"/>
      <c r="I47" s="204"/>
      <c r="J47" s="204"/>
      <c r="K47" s="204"/>
      <c r="L47" s="204"/>
      <c r="M47" s="37"/>
      <c r="N47" s="37"/>
      <c r="O47" s="37">
        <f>SUM(D47:N47)</f>
        <v>0</v>
      </c>
      <c r="P47" s="37"/>
      <c r="Q47" s="37"/>
      <c r="R47" s="37"/>
      <c r="S47" s="37"/>
      <c r="T47" s="37"/>
      <c r="U47" s="37">
        <f>SUM(Q47:T47)</f>
        <v>0</v>
      </c>
      <c r="V47" s="204"/>
      <c r="W47" s="240">
        <f>O47+U47</f>
        <v>0</v>
      </c>
      <c r="X47" s="233"/>
    </row>
    <row r="48" spans="1:38" ht="15" hidden="1" customHeight="1" thickTop="1" thickBot="1" x14ac:dyDescent="0.3">
      <c r="A48" s="35"/>
      <c r="B48" s="36"/>
      <c r="C48" s="305"/>
      <c r="D48" s="204"/>
      <c r="E48" s="204"/>
      <c r="F48" s="204"/>
      <c r="G48" s="204"/>
      <c r="H48" s="204"/>
      <c r="I48" s="204"/>
      <c r="J48" s="204"/>
      <c r="K48" s="204"/>
      <c r="L48" s="204"/>
      <c r="M48" s="37"/>
      <c r="N48" s="37"/>
      <c r="O48" s="37"/>
      <c r="P48" s="37"/>
      <c r="Q48" s="37"/>
      <c r="R48" s="37"/>
      <c r="S48" s="37"/>
      <c r="T48" s="37"/>
      <c r="U48" s="37"/>
      <c r="V48" s="204"/>
      <c r="W48" s="240"/>
      <c r="X48" s="233"/>
    </row>
    <row r="49" spans="1:24" ht="30" hidden="1" customHeight="1" thickTop="1" thickBot="1" x14ac:dyDescent="0.3">
      <c r="A49" s="35"/>
      <c r="B49" s="224" t="s">
        <v>174</v>
      </c>
      <c r="C49" s="44" t="s">
        <v>229</v>
      </c>
      <c r="D49" s="37">
        <f t="shared" ref="D49:U49" si="12">D43+D45+D47</f>
        <v>0</v>
      </c>
      <c r="E49" s="37">
        <f t="shared" si="12"/>
        <v>0</v>
      </c>
      <c r="F49" s="37">
        <f t="shared" si="12"/>
        <v>3666.453</v>
      </c>
      <c r="G49" s="37">
        <f t="shared" si="12"/>
        <v>5150</v>
      </c>
      <c r="H49" s="37">
        <f t="shared" si="12"/>
        <v>10144</v>
      </c>
      <c r="I49" s="37">
        <f t="shared" si="12"/>
        <v>0</v>
      </c>
      <c r="J49" s="37">
        <f t="shared" si="12"/>
        <v>0</v>
      </c>
      <c r="K49" s="37">
        <f t="shared" si="12"/>
        <v>0</v>
      </c>
      <c r="L49" s="37">
        <f t="shared" si="12"/>
        <v>564</v>
      </c>
      <c r="M49" s="37">
        <f t="shared" si="12"/>
        <v>1200</v>
      </c>
      <c r="N49" s="37">
        <f t="shared" si="12"/>
        <v>0</v>
      </c>
      <c r="O49" s="37">
        <f t="shared" si="12"/>
        <v>20724.453000000001</v>
      </c>
      <c r="P49" s="37"/>
      <c r="Q49" s="37">
        <f t="shared" si="12"/>
        <v>0</v>
      </c>
      <c r="R49" s="37">
        <f t="shared" si="12"/>
        <v>326996.53700000001</v>
      </c>
      <c r="S49" s="37">
        <f t="shared" si="12"/>
        <v>0</v>
      </c>
      <c r="T49" s="37">
        <f t="shared" si="12"/>
        <v>0</v>
      </c>
      <c r="U49" s="37">
        <f t="shared" si="12"/>
        <v>326996.53700000001</v>
      </c>
      <c r="V49" s="204"/>
      <c r="W49" s="240">
        <f>W43+W45+W47</f>
        <v>347720.99</v>
      </c>
      <c r="X49" s="233">
        <f>X43+X45</f>
        <v>2635435.2319999998</v>
      </c>
    </row>
    <row r="50" spans="1:24" ht="24.95" hidden="1" customHeight="1" thickTop="1" x14ac:dyDescent="0.25">
      <c r="A50" s="22"/>
      <c r="B50" s="23"/>
      <c r="C50" s="24" t="s">
        <v>18</v>
      </c>
      <c r="D50" s="25">
        <f t="shared" ref="D50:L50" si="13">D49</f>
        <v>0</v>
      </c>
      <c r="E50" s="25">
        <f t="shared" si="13"/>
        <v>0</v>
      </c>
      <c r="F50" s="25">
        <f t="shared" si="13"/>
        <v>3666.453</v>
      </c>
      <c r="G50" s="25">
        <f t="shared" si="13"/>
        <v>5150</v>
      </c>
      <c r="H50" s="25">
        <f t="shared" si="13"/>
        <v>10144</v>
      </c>
      <c r="I50" s="25">
        <f t="shared" si="13"/>
        <v>0</v>
      </c>
      <c r="J50" s="25">
        <f t="shared" si="13"/>
        <v>0</v>
      </c>
      <c r="K50" s="25">
        <f t="shared" si="13"/>
        <v>0</v>
      </c>
      <c r="L50" s="25">
        <f t="shared" si="13"/>
        <v>564</v>
      </c>
      <c r="M50" s="25">
        <f t="shared" ref="M50:U50" si="14">M49</f>
        <v>1200</v>
      </c>
      <c r="N50" s="25">
        <f t="shared" si="14"/>
        <v>0</v>
      </c>
      <c r="O50" s="25">
        <f t="shared" si="14"/>
        <v>20724.453000000001</v>
      </c>
      <c r="P50" s="25"/>
      <c r="Q50" s="25">
        <f>Q49</f>
        <v>0</v>
      </c>
      <c r="R50" s="25">
        <f>R49</f>
        <v>326996.53700000001</v>
      </c>
      <c r="S50" s="25">
        <f t="shared" si="14"/>
        <v>0</v>
      </c>
      <c r="T50" s="25">
        <f t="shared" si="14"/>
        <v>0</v>
      </c>
      <c r="U50" s="25">
        <f t="shared" si="14"/>
        <v>326996.53700000001</v>
      </c>
      <c r="V50" s="25"/>
      <c r="W50" s="241">
        <f>O50+U50</f>
        <v>347720.99</v>
      </c>
      <c r="X50" s="248">
        <f>X49</f>
        <v>2635435.2319999998</v>
      </c>
    </row>
    <row r="51" spans="1:24" ht="24.95" hidden="1" customHeight="1" x14ac:dyDescent="0.25">
      <c r="A51" s="492"/>
      <c r="B51" s="493"/>
      <c r="C51" s="494"/>
      <c r="D51" s="322"/>
      <c r="E51" s="322"/>
      <c r="F51" s="322"/>
      <c r="G51" s="322"/>
      <c r="H51" s="322"/>
      <c r="I51" s="322"/>
      <c r="J51" s="322"/>
      <c r="K51" s="322"/>
      <c r="L51" s="322"/>
      <c r="M51" s="322"/>
      <c r="N51" s="322"/>
      <c r="O51" s="322"/>
      <c r="P51" s="322"/>
      <c r="Q51" s="322"/>
      <c r="R51" s="322"/>
      <c r="S51" s="322"/>
      <c r="T51" s="322"/>
      <c r="U51" s="322"/>
      <c r="V51" s="323"/>
      <c r="W51" s="495"/>
      <c r="X51" s="496"/>
    </row>
    <row r="52" spans="1:24" ht="30" hidden="1" customHeight="1" x14ac:dyDescent="0.2">
      <c r="A52" s="40">
        <v>1</v>
      </c>
      <c r="B52" s="226" t="s">
        <v>395</v>
      </c>
      <c r="C52" s="28" t="s">
        <v>277</v>
      </c>
      <c r="D52" s="322"/>
      <c r="E52" s="322"/>
      <c r="F52" s="322"/>
      <c r="G52" s="322"/>
      <c r="H52" s="322"/>
      <c r="I52" s="322"/>
      <c r="J52" s="322"/>
      <c r="K52" s="322"/>
      <c r="L52" s="322"/>
      <c r="M52" s="322"/>
      <c r="N52" s="322"/>
      <c r="O52" s="497">
        <f t="shared" ref="O52:O67" si="15">SUM(D52:N52)</f>
        <v>0</v>
      </c>
      <c r="P52" s="322"/>
      <c r="Q52" s="322"/>
      <c r="R52" s="322"/>
      <c r="S52" s="322"/>
      <c r="T52" s="322"/>
      <c r="U52" s="497">
        <f t="shared" ref="U52:U66" si="16">SUM(Q52:T52)</f>
        <v>0</v>
      </c>
      <c r="V52" s="323"/>
      <c r="W52" s="249">
        <f t="shared" ref="W52:W66" si="17">O52+U52</f>
        <v>0</v>
      </c>
      <c r="X52" s="382">
        <v>1913.8140000000001</v>
      </c>
    </row>
    <row r="53" spans="1:24" ht="30" hidden="1" customHeight="1" x14ac:dyDescent="0.2">
      <c r="A53" s="40">
        <v>2</v>
      </c>
      <c r="B53" s="226" t="s">
        <v>410</v>
      </c>
      <c r="C53" s="41" t="s">
        <v>407</v>
      </c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>
        <f t="shared" si="15"/>
        <v>0</v>
      </c>
      <c r="P53" s="231"/>
      <c r="Q53" s="231"/>
      <c r="R53" s="231"/>
      <c r="S53" s="231"/>
      <c r="T53" s="231"/>
      <c r="U53" s="231">
        <f t="shared" si="16"/>
        <v>0</v>
      </c>
      <c r="V53" s="232"/>
      <c r="W53" s="249">
        <f t="shared" si="17"/>
        <v>0</v>
      </c>
      <c r="X53" s="382">
        <f>2958</f>
        <v>2958</v>
      </c>
    </row>
    <row r="54" spans="1:24" ht="30" hidden="1" customHeight="1" x14ac:dyDescent="0.2">
      <c r="A54" s="40">
        <v>3</v>
      </c>
      <c r="B54" s="678" t="s">
        <v>411</v>
      </c>
      <c r="C54" s="41" t="s">
        <v>409</v>
      </c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>
        <f t="shared" si="15"/>
        <v>0</v>
      </c>
      <c r="P54" s="231"/>
      <c r="Q54" s="231"/>
      <c r="R54" s="231"/>
      <c r="S54" s="231"/>
      <c r="T54" s="231"/>
      <c r="U54" s="231">
        <f t="shared" si="16"/>
        <v>0</v>
      </c>
      <c r="V54" s="232"/>
      <c r="W54" s="249">
        <f t="shared" si="17"/>
        <v>0</v>
      </c>
      <c r="X54" s="382">
        <f>2462</f>
        <v>2462</v>
      </c>
    </row>
    <row r="55" spans="1:24" ht="30" hidden="1" customHeight="1" x14ac:dyDescent="0.2">
      <c r="A55" s="40">
        <v>4</v>
      </c>
      <c r="B55" s="226" t="s">
        <v>510</v>
      </c>
      <c r="C55" s="41" t="s">
        <v>509</v>
      </c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>
        <f t="shared" si="15"/>
        <v>0</v>
      </c>
      <c r="P55" s="231"/>
      <c r="Q55" s="231"/>
      <c r="R55" s="231"/>
      <c r="S55" s="231"/>
      <c r="T55" s="231"/>
      <c r="U55" s="231">
        <f t="shared" si="16"/>
        <v>0</v>
      </c>
      <c r="V55" s="232"/>
      <c r="W55" s="249">
        <f t="shared" si="17"/>
        <v>0</v>
      </c>
      <c r="X55" s="382">
        <f>-184</f>
        <v>-184</v>
      </c>
    </row>
    <row r="56" spans="1:24" ht="30" hidden="1" customHeight="1" x14ac:dyDescent="0.2">
      <c r="A56" s="40">
        <v>5</v>
      </c>
      <c r="B56" s="684" t="s">
        <v>535</v>
      </c>
      <c r="C56" s="28" t="s">
        <v>277</v>
      </c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>
        <f t="shared" si="15"/>
        <v>0</v>
      </c>
      <c r="P56" s="231"/>
      <c r="Q56" s="231"/>
      <c r="R56" s="231"/>
      <c r="S56" s="231"/>
      <c r="T56" s="231"/>
      <c r="U56" s="231">
        <f t="shared" si="16"/>
        <v>0</v>
      </c>
      <c r="V56" s="232"/>
      <c r="W56" s="249">
        <f t="shared" si="17"/>
        <v>0</v>
      </c>
      <c r="X56" s="382">
        <f>1811.944</f>
        <v>1811.944</v>
      </c>
    </row>
    <row r="57" spans="1:24" ht="30" hidden="1" customHeight="1" x14ac:dyDescent="0.2">
      <c r="A57" s="40">
        <v>6</v>
      </c>
      <c r="B57" s="226" t="s">
        <v>549</v>
      </c>
      <c r="C57" s="41" t="s">
        <v>548</v>
      </c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>
        <f t="shared" si="15"/>
        <v>0</v>
      </c>
      <c r="P57" s="231"/>
      <c r="Q57" s="231"/>
      <c r="R57" s="231"/>
      <c r="S57" s="231"/>
      <c r="T57" s="231"/>
      <c r="U57" s="231">
        <f t="shared" si="16"/>
        <v>0</v>
      </c>
      <c r="V57" s="232"/>
      <c r="W57" s="249">
        <f t="shared" si="17"/>
        <v>0</v>
      </c>
      <c r="X57" s="382">
        <f>1500</f>
        <v>1500</v>
      </c>
    </row>
    <row r="58" spans="1:24" ht="30" hidden="1" customHeight="1" x14ac:dyDescent="0.2">
      <c r="A58" s="40">
        <v>7</v>
      </c>
      <c r="B58" s="649" t="s">
        <v>558</v>
      </c>
      <c r="C58" s="41" t="s">
        <v>559</v>
      </c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>
        <f t="shared" si="15"/>
        <v>0</v>
      </c>
      <c r="P58" s="231"/>
      <c r="Q58" s="231"/>
      <c r="R58" s="231"/>
      <c r="S58" s="231"/>
      <c r="T58" s="231"/>
      <c r="U58" s="231">
        <f t="shared" si="16"/>
        <v>0</v>
      </c>
      <c r="V58" s="232"/>
      <c r="W58" s="249">
        <f t="shared" si="17"/>
        <v>0</v>
      </c>
      <c r="X58" s="382">
        <f>5000</f>
        <v>5000</v>
      </c>
    </row>
    <row r="59" spans="1:24" ht="24.95" hidden="1" customHeight="1" x14ac:dyDescent="0.2">
      <c r="A59" s="40"/>
      <c r="B59" s="27"/>
      <c r="C59" s="34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>
        <f t="shared" si="15"/>
        <v>0</v>
      </c>
      <c r="P59" s="231"/>
      <c r="Q59" s="231"/>
      <c r="R59" s="231"/>
      <c r="S59" s="231"/>
      <c r="T59" s="231"/>
      <c r="U59" s="231">
        <f t="shared" si="16"/>
        <v>0</v>
      </c>
      <c r="V59" s="232"/>
      <c r="W59" s="249">
        <f t="shared" si="17"/>
        <v>0</v>
      </c>
      <c r="X59" s="250"/>
    </row>
    <row r="60" spans="1:24" ht="24.95" hidden="1" customHeight="1" x14ac:dyDescent="0.2">
      <c r="A60" s="40"/>
      <c r="B60" s="320"/>
      <c r="C60" s="28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>
        <f t="shared" si="15"/>
        <v>0</v>
      </c>
      <c r="P60" s="231"/>
      <c r="Q60" s="231"/>
      <c r="R60" s="231"/>
      <c r="S60" s="231"/>
      <c r="T60" s="231"/>
      <c r="U60" s="231">
        <f t="shared" si="16"/>
        <v>0</v>
      </c>
      <c r="V60" s="232"/>
      <c r="W60" s="249">
        <f t="shared" si="17"/>
        <v>0</v>
      </c>
      <c r="X60" s="250"/>
    </row>
    <row r="61" spans="1:24" ht="24.95" hidden="1" customHeight="1" x14ac:dyDescent="0.2">
      <c r="A61" s="40"/>
      <c r="B61" s="27"/>
      <c r="C61" s="28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>
        <f t="shared" si="15"/>
        <v>0</v>
      </c>
      <c r="P61" s="231"/>
      <c r="Q61" s="231"/>
      <c r="R61" s="231"/>
      <c r="S61" s="231"/>
      <c r="T61" s="231"/>
      <c r="U61" s="231">
        <f t="shared" si="16"/>
        <v>0</v>
      </c>
      <c r="V61" s="232"/>
      <c r="W61" s="249">
        <f t="shared" si="17"/>
        <v>0</v>
      </c>
      <c r="X61" s="250"/>
    </row>
    <row r="62" spans="1:24" ht="24.95" hidden="1" customHeight="1" x14ac:dyDescent="0.2">
      <c r="A62" s="40"/>
      <c r="B62" s="321"/>
      <c r="C62" s="28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>
        <f t="shared" si="15"/>
        <v>0</v>
      </c>
      <c r="P62" s="231"/>
      <c r="Q62" s="231"/>
      <c r="R62" s="231"/>
      <c r="S62" s="231"/>
      <c r="T62" s="231"/>
      <c r="U62" s="231">
        <f t="shared" si="16"/>
        <v>0</v>
      </c>
      <c r="V62" s="232"/>
      <c r="W62" s="249">
        <f t="shared" si="17"/>
        <v>0</v>
      </c>
      <c r="X62" s="250"/>
    </row>
    <row r="63" spans="1:24" ht="24.95" hidden="1" customHeight="1" x14ac:dyDescent="0.2">
      <c r="A63" s="40"/>
      <c r="B63" s="75"/>
      <c r="C63" s="28"/>
      <c r="D63" s="231"/>
      <c r="E63" s="231"/>
      <c r="F63" s="231"/>
      <c r="G63" s="231"/>
      <c r="H63" s="231"/>
      <c r="I63" s="231"/>
      <c r="J63" s="231"/>
      <c r="K63" s="231"/>
      <c r="L63" s="231"/>
      <c r="M63" s="231"/>
      <c r="N63" s="231"/>
      <c r="O63" s="231">
        <f t="shared" si="15"/>
        <v>0</v>
      </c>
      <c r="P63" s="231"/>
      <c r="Q63" s="231"/>
      <c r="R63" s="231"/>
      <c r="S63" s="231"/>
      <c r="T63" s="231"/>
      <c r="U63" s="231">
        <f t="shared" si="16"/>
        <v>0</v>
      </c>
      <c r="V63" s="232"/>
      <c r="W63" s="249">
        <f t="shared" si="17"/>
        <v>0</v>
      </c>
      <c r="X63" s="250"/>
    </row>
    <row r="64" spans="1:24" ht="24.95" hidden="1" customHeight="1" x14ac:dyDescent="0.2">
      <c r="A64" s="40"/>
      <c r="B64" s="75"/>
      <c r="C64" s="4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>
        <f t="shared" si="15"/>
        <v>0</v>
      </c>
      <c r="P64" s="231"/>
      <c r="Q64" s="231"/>
      <c r="R64" s="231"/>
      <c r="S64" s="231"/>
      <c r="T64" s="231"/>
      <c r="U64" s="231">
        <f t="shared" si="16"/>
        <v>0</v>
      </c>
      <c r="V64" s="232"/>
      <c r="W64" s="249">
        <f t="shared" si="17"/>
        <v>0</v>
      </c>
      <c r="X64" s="250"/>
    </row>
    <row r="65" spans="1:24" ht="24.95" hidden="1" customHeight="1" x14ac:dyDescent="0.2">
      <c r="A65" s="40"/>
      <c r="B65" s="27"/>
      <c r="C65" s="4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>
        <f t="shared" si="15"/>
        <v>0</v>
      </c>
      <c r="P65" s="231"/>
      <c r="Q65" s="231"/>
      <c r="R65" s="231"/>
      <c r="S65" s="231"/>
      <c r="T65" s="231"/>
      <c r="U65" s="231">
        <f t="shared" si="16"/>
        <v>0</v>
      </c>
      <c r="V65" s="232"/>
      <c r="W65" s="249">
        <f t="shared" si="17"/>
        <v>0</v>
      </c>
      <c r="X65" s="250"/>
    </row>
    <row r="66" spans="1:24" ht="24.95" hidden="1" customHeight="1" x14ac:dyDescent="0.2">
      <c r="A66" s="40"/>
      <c r="B66" s="27"/>
      <c r="C66" s="41"/>
      <c r="D66" s="231"/>
      <c r="E66" s="231"/>
      <c r="F66" s="231"/>
      <c r="G66" s="231"/>
      <c r="H66" s="231"/>
      <c r="I66" s="231"/>
      <c r="J66" s="231"/>
      <c r="K66" s="231"/>
      <c r="L66" s="231"/>
      <c r="M66" s="231"/>
      <c r="N66" s="231"/>
      <c r="O66" s="231">
        <f t="shared" si="15"/>
        <v>0</v>
      </c>
      <c r="P66" s="231"/>
      <c r="Q66" s="231"/>
      <c r="R66" s="231"/>
      <c r="S66" s="231"/>
      <c r="T66" s="231"/>
      <c r="U66" s="231">
        <f t="shared" si="16"/>
        <v>0</v>
      </c>
      <c r="V66" s="232"/>
      <c r="W66" s="249">
        <f t="shared" si="17"/>
        <v>0</v>
      </c>
      <c r="X66" s="250"/>
    </row>
    <row r="67" spans="1:24" ht="24.95" hidden="1" customHeight="1" x14ac:dyDescent="0.2">
      <c r="A67" s="40"/>
      <c r="B67" s="27"/>
      <c r="C67" s="41"/>
      <c r="D67" s="231"/>
      <c r="E67" s="231"/>
      <c r="F67" s="231"/>
      <c r="G67" s="231"/>
      <c r="H67" s="231"/>
      <c r="I67" s="231"/>
      <c r="J67" s="231"/>
      <c r="K67" s="231"/>
      <c r="L67" s="231"/>
      <c r="M67" s="231"/>
      <c r="N67" s="231"/>
      <c r="O67" s="231">
        <f t="shared" si="15"/>
        <v>0</v>
      </c>
      <c r="P67" s="231"/>
      <c r="Q67" s="231"/>
      <c r="R67" s="231"/>
      <c r="S67" s="231"/>
      <c r="T67" s="231"/>
      <c r="U67" s="231"/>
      <c r="V67" s="232"/>
      <c r="W67" s="249"/>
      <c r="X67" s="250"/>
    </row>
    <row r="68" spans="1:24" ht="24.95" hidden="1" customHeight="1" x14ac:dyDescent="0.2">
      <c r="A68" s="40"/>
      <c r="B68" s="136"/>
      <c r="C68" s="4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2"/>
      <c r="W68" s="249"/>
      <c r="X68" s="250"/>
    </row>
    <row r="69" spans="1:24" ht="9.9499999999999993" hidden="1" customHeight="1" x14ac:dyDescent="0.2">
      <c r="A69" s="40"/>
      <c r="B69" s="126"/>
      <c r="C69" s="41"/>
      <c r="D69" s="231"/>
      <c r="E69" s="231"/>
      <c r="F69" s="231"/>
      <c r="G69" s="231"/>
      <c r="H69" s="231"/>
      <c r="I69" s="231"/>
      <c r="J69" s="231"/>
      <c r="K69" s="231"/>
      <c r="L69" s="231"/>
      <c r="M69" s="231"/>
      <c r="N69" s="231"/>
      <c r="O69" s="231"/>
      <c r="P69" s="231"/>
      <c r="Q69" s="231"/>
      <c r="R69" s="231"/>
      <c r="S69" s="231"/>
      <c r="T69" s="231"/>
      <c r="U69" s="231"/>
      <c r="V69" s="232"/>
      <c r="W69" s="249"/>
      <c r="X69" s="250"/>
    </row>
    <row r="70" spans="1:24" ht="30" hidden="1" customHeight="1" x14ac:dyDescent="0.2">
      <c r="A70" s="210" t="s">
        <v>88</v>
      </c>
      <c r="B70" s="206"/>
      <c r="C70" s="211" t="s">
        <v>86</v>
      </c>
      <c r="D70" s="72">
        <f t="shared" ref="D70:O70" si="18">SUM(D52:D69)</f>
        <v>0</v>
      </c>
      <c r="E70" s="72">
        <f t="shared" si="18"/>
        <v>0</v>
      </c>
      <c r="F70" s="72">
        <f t="shared" si="18"/>
        <v>0</v>
      </c>
      <c r="G70" s="72">
        <f t="shared" si="18"/>
        <v>0</v>
      </c>
      <c r="H70" s="72">
        <f t="shared" si="18"/>
        <v>0</v>
      </c>
      <c r="I70" s="72">
        <f t="shared" si="18"/>
        <v>0</v>
      </c>
      <c r="J70" s="72">
        <f t="shared" si="18"/>
        <v>0</v>
      </c>
      <c r="K70" s="72">
        <f t="shared" si="18"/>
        <v>0</v>
      </c>
      <c r="L70" s="72">
        <f t="shared" si="18"/>
        <v>0</v>
      </c>
      <c r="M70" s="72">
        <f t="shared" si="18"/>
        <v>0</v>
      </c>
      <c r="N70" s="72">
        <f t="shared" si="18"/>
        <v>0</v>
      </c>
      <c r="O70" s="72">
        <f t="shared" si="18"/>
        <v>0</v>
      </c>
      <c r="P70" s="72"/>
      <c r="Q70" s="72">
        <f>SUM(Q52:Q69)</f>
        <v>0</v>
      </c>
      <c r="R70" s="72">
        <f>SUM(R52:R69)</f>
        <v>0</v>
      </c>
      <c r="S70" s="72">
        <f>SUM(S52:S69)</f>
        <v>0</v>
      </c>
      <c r="T70" s="72">
        <f>SUM(T52:T69)</f>
        <v>0</v>
      </c>
      <c r="U70" s="72">
        <f>SUM(U52:U69)</f>
        <v>0</v>
      </c>
      <c r="V70" s="72"/>
      <c r="W70" s="251">
        <f>O70+U70</f>
        <v>0</v>
      </c>
      <c r="X70" s="246">
        <f>SUM(X52:X69)</f>
        <v>15461.758</v>
      </c>
    </row>
    <row r="71" spans="1:24" ht="20.100000000000001" hidden="1" customHeight="1" x14ac:dyDescent="0.2">
      <c r="A71" s="225"/>
      <c r="B71" s="226"/>
      <c r="C71" s="124"/>
      <c r="D71" s="72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2"/>
      <c r="W71" s="249"/>
      <c r="X71" s="250"/>
    </row>
    <row r="72" spans="1:24" ht="30" hidden="1" customHeight="1" x14ac:dyDescent="0.2">
      <c r="A72" s="40" t="s">
        <v>117</v>
      </c>
      <c r="B72" s="227" t="s">
        <v>347</v>
      </c>
      <c r="C72" s="41" t="s">
        <v>346</v>
      </c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>
        <f t="shared" ref="O72:O77" si="19">SUM(D72:N72)</f>
        <v>0</v>
      </c>
      <c r="P72" s="169"/>
      <c r="Q72" s="169"/>
      <c r="R72" s="169">
        <f>-1</f>
        <v>-1</v>
      </c>
      <c r="S72" s="169"/>
      <c r="T72" s="169"/>
      <c r="U72" s="169">
        <f>SUM(Q72:T72)</f>
        <v>-1</v>
      </c>
      <c r="V72" s="170"/>
      <c r="W72" s="490">
        <f>O72+U72</f>
        <v>-1</v>
      </c>
      <c r="X72" s="382"/>
    </row>
    <row r="73" spans="1:24" ht="30" hidden="1" customHeight="1" x14ac:dyDescent="0.2">
      <c r="A73" s="180" t="s">
        <v>117</v>
      </c>
      <c r="B73" s="181" t="s">
        <v>439</v>
      </c>
      <c r="C73" s="41" t="s">
        <v>440</v>
      </c>
      <c r="D73" s="169"/>
      <c r="E73" s="169"/>
      <c r="F73" s="169">
        <v>1376.076</v>
      </c>
      <c r="G73" s="169"/>
      <c r="H73" s="169"/>
      <c r="I73" s="169"/>
      <c r="J73" s="169"/>
      <c r="K73" s="169"/>
      <c r="L73" s="169"/>
      <c r="M73" s="169"/>
      <c r="N73" s="169"/>
      <c r="O73" s="169">
        <f t="shared" si="19"/>
        <v>1376.076</v>
      </c>
      <c r="P73" s="169"/>
      <c r="Q73" s="169"/>
      <c r="R73" s="169"/>
      <c r="S73" s="169"/>
      <c r="T73" s="169"/>
      <c r="U73" s="169">
        <f>SUM(Q73:T73)</f>
        <v>0</v>
      </c>
      <c r="V73" s="170"/>
      <c r="W73" s="490">
        <f>O73+U73</f>
        <v>1376.076</v>
      </c>
      <c r="X73" s="382"/>
    </row>
    <row r="74" spans="1:24" ht="30" hidden="1" customHeight="1" x14ac:dyDescent="0.2">
      <c r="A74" s="40" t="s">
        <v>117</v>
      </c>
      <c r="B74" s="679" t="s">
        <v>444</v>
      </c>
      <c r="C74" s="28" t="s">
        <v>445</v>
      </c>
      <c r="D74" s="169"/>
      <c r="E74" s="169"/>
      <c r="F74" s="169"/>
      <c r="G74" s="169">
        <f>-455</f>
        <v>-455</v>
      </c>
      <c r="H74" s="169">
        <f>455</f>
        <v>455</v>
      </c>
      <c r="I74" s="169"/>
      <c r="J74" s="169"/>
      <c r="K74" s="169"/>
      <c r="L74" s="169"/>
      <c r="M74" s="169"/>
      <c r="N74" s="169"/>
      <c r="O74" s="169">
        <f t="shared" si="19"/>
        <v>0</v>
      </c>
      <c r="P74" s="169"/>
      <c r="Q74" s="169"/>
      <c r="R74" s="169"/>
      <c r="S74" s="169"/>
      <c r="T74" s="169"/>
      <c r="U74" s="169">
        <f>SUM(Q74:T74)</f>
        <v>0</v>
      </c>
      <c r="V74" s="170"/>
      <c r="W74" s="490">
        <f>O74+U74</f>
        <v>0</v>
      </c>
      <c r="X74" s="382"/>
    </row>
    <row r="75" spans="1:24" ht="24.95" hidden="1" customHeight="1" x14ac:dyDescent="0.2">
      <c r="A75" s="40"/>
      <c r="B75" s="685" t="s">
        <v>536</v>
      </c>
      <c r="C75" s="41" t="s">
        <v>440</v>
      </c>
      <c r="D75" s="169"/>
      <c r="E75" s="169"/>
      <c r="F75" s="169">
        <f>1328.364+699.978</f>
        <v>2028.3420000000001</v>
      </c>
      <c r="G75" s="169"/>
      <c r="H75" s="169"/>
      <c r="I75" s="169"/>
      <c r="J75" s="169"/>
      <c r="K75" s="169"/>
      <c r="L75" s="169"/>
      <c r="M75" s="169"/>
      <c r="N75" s="169"/>
      <c r="O75" s="169">
        <f t="shared" si="19"/>
        <v>2028.3420000000001</v>
      </c>
      <c r="P75" s="169"/>
      <c r="Q75" s="169"/>
      <c r="R75" s="169"/>
      <c r="S75" s="169"/>
      <c r="T75" s="169"/>
      <c r="U75" s="169"/>
      <c r="V75" s="170"/>
      <c r="W75" s="490">
        <f t="shared" ref="W75:W83" si="20">O75+U75</f>
        <v>2028.3420000000001</v>
      </c>
      <c r="X75" s="382"/>
    </row>
    <row r="76" spans="1:24" ht="24.95" hidden="1" customHeight="1" x14ac:dyDescent="0.2">
      <c r="A76" s="40"/>
      <c r="B76" s="181" t="s">
        <v>541</v>
      </c>
      <c r="C76" s="41" t="s">
        <v>542</v>
      </c>
      <c r="D76" s="169"/>
      <c r="E76" s="169"/>
      <c r="F76" s="169"/>
      <c r="G76" s="169">
        <f>-55</f>
        <v>-55</v>
      </c>
      <c r="H76" s="169">
        <f>12</f>
        <v>12</v>
      </c>
      <c r="I76" s="169"/>
      <c r="J76" s="169"/>
      <c r="K76" s="169"/>
      <c r="L76" s="169">
        <f>43</f>
        <v>43</v>
      </c>
      <c r="M76" s="169"/>
      <c r="N76" s="169"/>
      <c r="O76" s="169">
        <f t="shared" si="19"/>
        <v>0</v>
      </c>
      <c r="P76" s="169"/>
      <c r="Q76" s="169"/>
      <c r="R76" s="169"/>
      <c r="S76" s="169"/>
      <c r="T76" s="169"/>
      <c r="U76" s="169"/>
      <c r="V76" s="170"/>
      <c r="W76" s="490">
        <f t="shared" si="20"/>
        <v>0</v>
      </c>
      <c r="X76" s="382"/>
    </row>
    <row r="77" spans="1:24" ht="24.95" hidden="1" customHeight="1" x14ac:dyDescent="0.2">
      <c r="A77" s="40"/>
      <c r="B77" s="181" t="s">
        <v>571</v>
      </c>
      <c r="C77" s="41" t="s">
        <v>440</v>
      </c>
      <c r="D77" s="169"/>
      <c r="E77" s="169"/>
      <c r="F77" s="169">
        <f>589.913</f>
        <v>589.91300000000001</v>
      </c>
      <c r="G77" s="169"/>
      <c r="H77" s="169"/>
      <c r="I77" s="169"/>
      <c r="J77" s="169"/>
      <c r="K77" s="169"/>
      <c r="L77" s="169"/>
      <c r="M77" s="169"/>
      <c r="N77" s="169"/>
      <c r="O77" s="169">
        <f t="shared" si="19"/>
        <v>589.91300000000001</v>
      </c>
      <c r="P77" s="169"/>
      <c r="Q77" s="169"/>
      <c r="R77" s="169"/>
      <c r="S77" s="169"/>
      <c r="T77" s="169"/>
      <c r="U77" s="169"/>
      <c r="V77" s="170"/>
      <c r="W77" s="490">
        <f t="shared" si="20"/>
        <v>589.91300000000001</v>
      </c>
      <c r="X77" s="382"/>
    </row>
    <row r="78" spans="1:24" ht="24.95" hidden="1" customHeight="1" x14ac:dyDescent="0.2">
      <c r="A78" s="40"/>
      <c r="B78" s="683" t="s">
        <v>580</v>
      </c>
      <c r="C78" s="41" t="s">
        <v>440</v>
      </c>
      <c r="D78" s="169"/>
      <c r="E78" s="169"/>
      <c r="F78" s="169">
        <v>263.97800000000001</v>
      </c>
      <c r="G78" s="169"/>
      <c r="H78" s="169"/>
      <c r="I78" s="169"/>
      <c r="J78" s="169"/>
      <c r="K78" s="169"/>
      <c r="L78" s="169"/>
      <c r="M78" s="169"/>
      <c r="N78" s="169"/>
      <c r="O78" s="169">
        <f t="shared" ref="O78:O83" si="21">SUM(D78:N78)</f>
        <v>263.97800000000001</v>
      </c>
      <c r="P78" s="169"/>
      <c r="Q78" s="169"/>
      <c r="R78" s="169"/>
      <c r="S78" s="169"/>
      <c r="T78" s="169"/>
      <c r="U78" s="169"/>
      <c r="V78" s="170"/>
      <c r="W78" s="490">
        <f t="shared" si="20"/>
        <v>263.97800000000001</v>
      </c>
      <c r="X78" s="382"/>
    </row>
    <row r="79" spans="1:24" ht="24.95" hidden="1" customHeight="1" x14ac:dyDescent="0.2">
      <c r="A79" s="40"/>
      <c r="B79" s="123"/>
      <c r="C79" s="41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>
        <f t="shared" si="21"/>
        <v>0</v>
      </c>
      <c r="P79" s="169"/>
      <c r="Q79" s="169"/>
      <c r="R79" s="169"/>
      <c r="S79" s="169"/>
      <c r="T79" s="169"/>
      <c r="U79" s="169"/>
      <c r="V79" s="170"/>
      <c r="W79" s="490">
        <f t="shared" si="20"/>
        <v>0</v>
      </c>
      <c r="X79" s="382"/>
    </row>
    <row r="80" spans="1:24" ht="24.95" hidden="1" customHeight="1" x14ac:dyDescent="0.2">
      <c r="A80" s="40"/>
      <c r="B80" s="123"/>
      <c r="C80" s="41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>
        <f t="shared" si="21"/>
        <v>0</v>
      </c>
      <c r="P80" s="169"/>
      <c r="Q80" s="169"/>
      <c r="R80" s="169"/>
      <c r="S80" s="169"/>
      <c r="T80" s="169"/>
      <c r="U80" s="169"/>
      <c r="V80" s="170"/>
      <c r="W80" s="490">
        <f t="shared" si="20"/>
        <v>0</v>
      </c>
      <c r="X80" s="382"/>
    </row>
    <row r="81" spans="1:24" ht="24.95" hidden="1" customHeight="1" x14ac:dyDescent="0.2">
      <c r="A81" s="40"/>
      <c r="B81" s="123"/>
      <c r="C81" s="41"/>
      <c r="D81" s="169"/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>
        <f t="shared" si="21"/>
        <v>0</v>
      </c>
      <c r="P81" s="169"/>
      <c r="Q81" s="169"/>
      <c r="R81" s="169"/>
      <c r="S81" s="169"/>
      <c r="T81" s="169"/>
      <c r="U81" s="169"/>
      <c r="V81" s="170"/>
      <c r="W81" s="490">
        <f t="shared" si="20"/>
        <v>0</v>
      </c>
      <c r="X81" s="382"/>
    </row>
    <row r="82" spans="1:24" ht="24.95" hidden="1" customHeight="1" x14ac:dyDescent="0.2">
      <c r="A82" s="40"/>
      <c r="B82" s="123"/>
      <c r="C82" s="41"/>
      <c r="D82" s="169"/>
      <c r="E82" s="169"/>
      <c r="F82" s="169"/>
      <c r="G82" s="169"/>
      <c r="H82" s="169"/>
      <c r="I82" s="169"/>
      <c r="J82" s="169"/>
      <c r="K82" s="169"/>
      <c r="L82" s="169"/>
      <c r="M82" s="169"/>
      <c r="N82" s="169"/>
      <c r="O82" s="169">
        <f t="shared" si="21"/>
        <v>0</v>
      </c>
      <c r="P82" s="169"/>
      <c r="Q82" s="169"/>
      <c r="R82" s="169"/>
      <c r="S82" s="169"/>
      <c r="T82" s="169"/>
      <c r="U82" s="169"/>
      <c r="V82" s="170"/>
      <c r="W82" s="490">
        <f t="shared" si="20"/>
        <v>0</v>
      </c>
      <c r="X82" s="382"/>
    </row>
    <row r="83" spans="1:24" ht="24.95" hidden="1" customHeight="1" x14ac:dyDescent="0.2">
      <c r="A83" s="40"/>
      <c r="B83" s="123"/>
      <c r="C83" s="41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>
        <f t="shared" si="21"/>
        <v>0</v>
      </c>
      <c r="P83" s="169"/>
      <c r="Q83" s="169"/>
      <c r="R83" s="169"/>
      <c r="S83" s="169"/>
      <c r="T83" s="169"/>
      <c r="U83" s="169"/>
      <c r="V83" s="170"/>
      <c r="W83" s="490">
        <f t="shared" si="20"/>
        <v>0</v>
      </c>
      <c r="X83" s="382"/>
    </row>
    <row r="84" spans="1:24" ht="24.95" hidden="1" customHeight="1" x14ac:dyDescent="0.2">
      <c r="A84" s="40"/>
      <c r="B84" s="123"/>
      <c r="C84" s="41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70"/>
      <c r="W84" s="490"/>
      <c r="X84" s="382"/>
    </row>
    <row r="85" spans="1:24" ht="9.9499999999999993" hidden="1" customHeight="1" x14ac:dyDescent="0.2">
      <c r="A85" s="40"/>
      <c r="B85" s="123"/>
      <c r="C85" s="41"/>
      <c r="D85" s="231"/>
      <c r="E85" s="231"/>
      <c r="F85" s="231"/>
      <c r="G85" s="231"/>
      <c r="H85" s="231"/>
      <c r="I85" s="231"/>
      <c r="J85" s="231"/>
      <c r="K85" s="231"/>
      <c r="L85" s="231"/>
      <c r="M85" s="231"/>
      <c r="N85" s="231"/>
      <c r="O85" s="231"/>
      <c r="P85" s="231"/>
      <c r="Q85" s="231"/>
      <c r="R85" s="231"/>
      <c r="S85" s="231"/>
      <c r="T85" s="231"/>
      <c r="U85" s="231"/>
      <c r="V85" s="232"/>
      <c r="W85" s="249"/>
      <c r="X85" s="250"/>
    </row>
    <row r="86" spans="1:24" ht="30" hidden="1" customHeight="1" x14ac:dyDescent="0.2">
      <c r="A86" s="210" t="s">
        <v>89</v>
      </c>
      <c r="B86" s="206"/>
      <c r="C86" s="211" t="s">
        <v>87</v>
      </c>
      <c r="D86" s="155">
        <f t="shared" ref="D86:O86" si="22">SUM(D72:D85)</f>
        <v>0</v>
      </c>
      <c r="E86" s="155">
        <f t="shared" si="22"/>
        <v>0</v>
      </c>
      <c r="F86" s="155">
        <f t="shared" si="22"/>
        <v>4258.3090000000002</v>
      </c>
      <c r="G86" s="155">
        <f t="shared" si="22"/>
        <v>-510</v>
      </c>
      <c r="H86" s="155">
        <f t="shared" si="22"/>
        <v>467</v>
      </c>
      <c r="I86" s="155">
        <f t="shared" si="22"/>
        <v>0</v>
      </c>
      <c r="J86" s="155">
        <f t="shared" si="22"/>
        <v>0</v>
      </c>
      <c r="K86" s="155">
        <f t="shared" si="22"/>
        <v>0</v>
      </c>
      <c r="L86" s="155">
        <f t="shared" si="22"/>
        <v>43</v>
      </c>
      <c r="M86" s="155">
        <f t="shared" si="22"/>
        <v>0</v>
      </c>
      <c r="N86" s="155">
        <f t="shared" si="22"/>
        <v>0</v>
      </c>
      <c r="O86" s="155">
        <f t="shared" si="22"/>
        <v>4258.3090000000002</v>
      </c>
      <c r="P86" s="155"/>
      <c r="Q86" s="155">
        <f>SUM(Q72:Q85)</f>
        <v>0</v>
      </c>
      <c r="R86" s="155">
        <f>SUM(R72:R85)</f>
        <v>-1</v>
      </c>
      <c r="S86" s="155">
        <f>SUM(S72:S85)</f>
        <v>0</v>
      </c>
      <c r="T86" s="155">
        <f>SUM(T72:T85)</f>
        <v>0</v>
      </c>
      <c r="U86" s="155">
        <f>SUM(U72:U85)</f>
        <v>-1</v>
      </c>
      <c r="V86" s="155"/>
      <c r="W86" s="238">
        <f>O86+U86</f>
        <v>4257.3090000000002</v>
      </c>
      <c r="X86" s="329">
        <f>SUM(X72:X85)</f>
        <v>0</v>
      </c>
    </row>
    <row r="87" spans="1:24" ht="9.9499999999999993" hidden="1" customHeight="1" x14ac:dyDescent="0.2">
      <c r="A87" s="40"/>
      <c r="B87" s="123"/>
      <c r="C87" s="4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2"/>
      <c r="W87" s="249"/>
      <c r="X87" s="250"/>
    </row>
    <row r="88" spans="1:24" ht="24.95" hidden="1" customHeight="1" x14ac:dyDescent="0.2">
      <c r="A88" s="40"/>
      <c r="B88" s="123"/>
      <c r="C88" s="41" t="s">
        <v>68</v>
      </c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31">
        <f>SUM(D88:N88)</f>
        <v>0</v>
      </c>
      <c r="P88" s="231"/>
      <c r="Q88" s="231"/>
      <c r="R88" s="231"/>
      <c r="S88" s="231"/>
      <c r="T88" s="231"/>
      <c r="U88" s="231">
        <f>SUM(Q88:T88)</f>
        <v>0</v>
      </c>
      <c r="V88" s="232"/>
      <c r="W88" s="249">
        <f>O88+U88</f>
        <v>0</v>
      </c>
      <c r="X88" s="250"/>
    </row>
    <row r="89" spans="1:24" ht="24.95" hidden="1" customHeight="1" thickBot="1" x14ac:dyDescent="0.25">
      <c r="A89" s="40"/>
      <c r="B89" s="104"/>
      <c r="C89" s="105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52"/>
      <c r="Q89" s="252"/>
      <c r="R89" s="252"/>
      <c r="S89" s="252"/>
      <c r="T89" s="252"/>
      <c r="U89" s="252"/>
      <c r="V89" s="253"/>
      <c r="W89" s="254"/>
      <c r="X89" s="255"/>
    </row>
    <row r="90" spans="1:24" ht="30" hidden="1" customHeight="1" thickTop="1" thickBot="1" x14ac:dyDescent="0.25">
      <c r="A90" s="47"/>
      <c r="B90" s="109" t="s">
        <v>180</v>
      </c>
      <c r="C90" s="44" t="s">
        <v>90</v>
      </c>
      <c r="D90" s="204">
        <f t="shared" ref="D90:O90" si="23">D70+D86</f>
        <v>0</v>
      </c>
      <c r="E90" s="204">
        <f t="shared" si="23"/>
        <v>0</v>
      </c>
      <c r="F90" s="204">
        <f t="shared" si="23"/>
        <v>4258.3090000000002</v>
      </c>
      <c r="G90" s="204">
        <f t="shared" si="23"/>
        <v>-510</v>
      </c>
      <c r="H90" s="204">
        <f t="shared" si="23"/>
        <v>467</v>
      </c>
      <c r="I90" s="204">
        <f t="shared" si="23"/>
        <v>0</v>
      </c>
      <c r="J90" s="204">
        <f t="shared" si="23"/>
        <v>0</v>
      </c>
      <c r="K90" s="204">
        <f t="shared" si="23"/>
        <v>0</v>
      </c>
      <c r="L90" s="204">
        <f t="shared" si="23"/>
        <v>43</v>
      </c>
      <c r="M90" s="204">
        <f t="shared" si="23"/>
        <v>0</v>
      </c>
      <c r="N90" s="204">
        <f t="shared" si="23"/>
        <v>0</v>
      </c>
      <c r="O90" s="204">
        <f t="shared" si="23"/>
        <v>4258.3090000000002</v>
      </c>
      <c r="P90" s="204"/>
      <c r="Q90" s="204">
        <f>Q70+Q86</f>
        <v>0</v>
      </c>
      <c r="R90" s="204">
        <f>R70+R86</f>
        <v>-1</v>
      </c>
      <c r="S90" s="204">
        <f>S70+S86</f>
        <v>0</v>
      </c>
      <c r="T90" s="204">
        <f>T70+T86</f>
        <v>0</v>
      </c>
      <c r="U90" s="204">
        <f>U70+U86</f>
        <v>-1</v>
      </c>
      <c r="V90" s="204"/>
      <c r="W90" s="256">
        <f>W70+W86</f>
        <v>4257.3090000000002</v>
      </c>
      <c r="X90" s="233">
        <f>X70+X86</f>
        <v>15461.758</v>
      </c>
    </row>
    <row r="91" spans="1:24" ht="30" hidden="1" customHeight="1" thickTop="1" thickBot="1" x14ac:dyDescent="0.25">
      <c r="A91" s="42"/>
      <c r="B91" s="705" t="s">
        <v>592</v>
      </c>
      <c r="C91" s="44" t="s">
        <v>154</v>
      </c>
      <c r="D91" s="257">
        <f t="shared" ref="D91:O91" si="24">D50+D90</f>
        <v>0</v>
      </c>
      <c r="E91" s="257">
        <f t="shared" si="24"/>
        <v>0</v>
      </c>
      <c r="F91" s="257">
        <f t="shared" si="24"/>
        <v>7924.7620000000006</v>
      </c>
      <c r="G91" s="257">
        <f t="shared" si="24"/>
        <v>4640</v>
      </c>
      <c r="H91" s="257">
        <f t="shared" si="24"/>
        <v>10611</v>
      </c>
      <c r="I91" s="257">
        <f t="shared" si="24"/>
        <v>0</v>
      </c>
      <c r="J91" s="257">
        <f t="shared" si="24"/>
        <v>0</v>
      </c>
      <c r="K91" s="257">
        <f t="shared" si="24"/>
        <v>0</v>
      </c>
      <c r="L91" s="257">
        <f t="shared" si="24"/>
        <v>607</v>
      </c>
      <c r="M91" s="257">
        <f t="shared" si="24"/>
        <v>1200</v>
      </c>
      <c r="N91" s="257">
        <f t="shared" si="24"/>
        <v>0</v>
      </c>
      <c r="O91" s="257">
        <f t="shared" si="24"/>
        <v>24982.762000000002</v>
      </c>
      <c r="P91" s="257"/>
      <c r="Q91" s="257">
        <f>Q50+Q90</f>
        <v>0</v>
      </c>
      <c r="R91" s="257">
        <f>R50+R90</f>
        <v>326995.53700000001</v>
      </c>
      <c r="S91" s="257">
        <f>S50+S90</f>
        <v>0</v>
      </c>
      <c r="T91" s="257">
        <f>T50+T90</f>
        <v>0</v>
      </c>
      <c r="U91" s="257">
        <f>U50+U90</f>
        <v>326995.53700000001</v>
      </c>
      <c r="V91" s="257"/>
      <c r="W91" s="256">
        <f>W50+W90</f>
        <v>351978.299</v>
      </c>
      <c r="X91" s="233">
        <f>X50+X90</f>
        <v>2650896.9899999998</v>
      </c>
    </row>
    <row r="92" spans="1:24" ht="24.95" customHeight="1" x14ac:dyDescent="0.25">
      <c r="A92" s="22"/>
      <c r="B92" s="505" t="s">
        <v>593</v>
      </c>
      <c r="C92" s="24" t="s">
        <v>18</v>
      </c>
      <c r="D92" s="25">
        <f t="shared" ref="D92:U92" si="25">D91</f>
        <v>0</v>
      </c>
      <c r="E92" s="25">
        <f t="shared" si="25"/>
        <v>0</v>
      </c>
      <c r="F92" s="25">
        <f t="shared" si="25"/>
        <v>7924.7620000000006</v>
      </c>
      <c r="G92" s="25">
        <f t="shared" si="25"/>
        <v>4640</v>
      </c>
      <c r="H92" s="25">
        <f t="shared" si="25"/>
        <v>10611</v>
      </c>
      <c r="I92" s="25">
        <f t="shared" si="25"/>
        <v>0</v>
      </c>
      <c r="J92" s="25">
        <f t="shared" si="25"/>
        <v>0</v>
      </c>
      <c r="K92" s="25">
        <f t="shared" si="25"/>
        <v>0</v>
      </c>
      <c r="L92" s="25">
        <f t="shared" si="25"/>
        <v>607</v>
      </c>
      <c r="M92" s="25">
        <f t="shared" si="25"/>
        <v>1200</v>
      </c>
      <c r="N92" s="25">
        <f t="shared" si="25"/>
        <v>0</v>
      </c>
      <c r="O92" s="25">
        <f t="shared" si="25"/>
        <v>24982.762000000002</v>
      </c>
      <c r="P92" s="25"/>
      <c r="Q92" s="25">
        <f t="shared" si="25"/>
        <v>0</v>
      </c>
      <c r="R92" s="25">
        <f t="shared" si="25"/>
        <v>326995.53700000001</v>
      </c>
      <c r="S92" s="25">
        <f t="shared" si="25"/>
        <v>0</v>
      </c>
      <c r="T92" s="25">
        <f t="shared" si="25"/>
        <v>0</v>
      </c>
      <c r="U92" s="25">
        <f t="shared" si="25"/>
        <v>326995.53700000001</v>
      </c>
      <c r="V92" s="25"/>
      <c r="W92" s="241">
        <f t="shared" ref="W92:W98" si="26">O92+U92</f>
        <v>351978.299</v>
      </c>
      <c r="X92" s="248">
        <f>X91</f>
        <v>2650896.9899999998</v>
      </c>
    </row>
    <row r="93" spans="1:24" ht="30.75" customHeight="1" x14ac:dyDescent="0.2">
      <c r="A93" s="40"/>
      <c r="B93" s="519"/>
      <c r="C93" s="41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3"/>
      <c r="W93" s="258"/>
      <c r="X93" s="329"/>
    </row>
    <row r="94" spans="1:24" ht="30.75" customHeight="1" x14ac:dyDescent="0.2">
      <c r="A94" s="40">
        <v>1</v>
      </c>
      <c r="B94" s="710" t="s">
        <v>632</v>
      </c>
      <c r="C94" s="41" t="s">
        <v>747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>
        <f>SUM(D94:N94)</f>
        <v>0</v>
      </c>
      <c r="P94" s="72"/>
      <c r="Q94" s="72"/>
      <c r="R94" s="72"/>
      <c r="S94" s="72"/>
      <c r="T94" s="72"/>
      <c r="U94" s="72">
        <f>SUM(Q94:T94)</f>
        <v>0</v>
      </c>
      <c r="V94" s="73"/>
      <c r="W94" s="258">
        <f t="shared" ref="W94" si="27">O94+U94</f>
        <v>0</v>
      </c>
      <c r="X94" s="329">
        <f>56000</f>
        <v>56000</v>
      </c>
    </row>
    <row r="95" spans="1:24" ht="30.75" customHeight="1" x14ac:dyDescent="0.2">
      <c r="A95" s="180">
        <v>2</v>
      </c>
      <c r="B95" s="520" t="s">
        <v>658</v>
      </c>
      <c r="C95" s="41" t="s">
        <v>657</v>
      </c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>
        <f>SUM(D95:N95)</f>
        <v>0</v>
      </c>
      <c r="P95" s="72"/>
      <c r="Q95" s="72"/>
      <c r="R95" s="72"/>
      <c r="S95" s="72"/>
      <c r="T95" s="72"/>
      <c r="U95" s="72">
        <f>SUM(Q95:T95)</f>
        <v>0</v>
      </c>
      <c r="V95" s="73"/>
      <c r="W95" s="258">
        <f t="shared" si="26"/>
        <v>0</v>
      </c>
      <c r="X95" s="329">
        <f>15500</f>
        <v>15500</v>
      </c>
    </row>
    <row r="96" spans="1:24" ht="30.75" customHeight="1" x14ac:dyDescent="0.2">
      <c r="A96" s="40">
        <v>3</v>
      </c>
      <c r="B96" s="520" t="s">
        <v>680</v>
      </c>
      <c r="C96" s="41" t="s">
        <v>679</v>
      </c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>
        <f>SUM(D96:N96)</f>
        <v>0</v>
      </c>
      <c r="P96" s="72"/>
      <c r="Q96" s="72"/>
      <c r="R96" s="72"/>
      <c r="S96" s="72"/>
      <c r="T96" s="72"/>
      <c r="U96" s="72">
        <f>SUM(Q96:T96)</f>
        <v>0</v>
      </c>
      <c r="V96" s="73"/>
      <c r="W96" s="258">
        <f t="shared" si="26"/>
        <v>0</v>
      </c>
      <c r="X96" s="329">
        <f>924.565</f>
        <v>924.56500000000005</v>
      </c>
    </row>
    <row r="97" spans="1:24" ht="30.75" customHeight="1" x14ac:dyDescent="0.2">
      <c r="A97" s="180">
        <v>4</v>
      </c>
      <c r="B97" s="707" t="s">
        <v>722</v>
      </c>
      <c r="C97" s="41" t="s">
        <v>749</v>
      </c>
      <c r="D97" s="72"/>
      <c r="E97" s="72"/>
      <c r="F97" s="72"/>
      <c r="G97" s="72"/>
      <c r="H97" s="72"/>
      <c r="I97" s="72"/>
      <c r="J97" s="72"/>
      <c r="K97" s="72"/>
      <c r="L97" s="72">
        <f>540</f>
        <v>540</v>
      </c>
      <c r="M97" s="72"/>
      <c r="N97" s="72"/>
      <c r="O97" s="72">
        <f>SUM(D97:N97)</f>
        <v>540</v>
      </c>
      <c r="P97" s="72"/>
      <c r="Q97" s="72"/>
      <c r="R97" s="72"/>
      <c r="S97" s="72"/>
      <c r="T97" s="72"/>
      <c r="U97" s="72">
        <f>SUM(Q97:T97)</f>
        <v>0</v>
      </c>
      <c r="V97" s="73"/>
      <c r="W97" s="258">
        <f t="shared" si="26"/>
        <v>540</v>
      </c>
      <c r="X97" s="329">
        <f>-540</f>
        <v>-540</v>
      </c>
    </row>
    <row r="98" spans="1:24" ht="30.75" hidden="1" customHeight="1" x14ac:dyDescent="0.2">
      <c r="A98" s="40"/>
      <c r="B98" s="520"/>
      <c r="C98" s="41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>
        <f>SUM(D98:N98)</f>
        <v>0</v>
      </c>
      <c r="P98" s="72"/>
      <c r="Q98" s="72"/>
      <c r="R98" s="72"/>
      <c r="S98" s="72"/>
      <c r="T98" s="72"/>
      <c r="U98" s="72">
        <f>SUM(Q98:T98)</f>
        <v>0</v>
      </c>
      <c r="V98" s="73"/>
      <c r="W98" s="258">
        <f t="shared" si="26"/>
        <v>0</v>
      </c>
      <c r="X98" s="329"/>
    </row>
    <row r="99" spans="1:24" ht="30.75" hidden="1" customHeight="1" x14ac:dyDescent="0.2">
      <c r="A99" s="40"/>
      <c r="B99" s="520"/>
      <c r="C99" s="41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3"/>
      <c r="W99" s="258"/>
      <c r="X99" s="329"/>
    </row>
    <row r="100" spans="1:24" ht="30.75" customHeight="1" x14ac:dyDescent="0.2">
      <c r="A100" s="40"/>
      <c r="B100" s="520"/>
      <c r="C100" s="41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3"/>
      <c r="W100" s="258"/>
      <c r="X100" s="329"/>
    </row>
    <row r="101" spans="1:24" ht="24.95" customHeight="1" x14ac:dyDescent="0.2">
      <c r="A101" s="40"/>
      <c r="B101" s="32"/>
      <c r="C101" s="41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3"/>
      <c r="W101" s="258"/>
      <c r="X101" s="329"/>
    </row>
    <row r="102" spans="1:24" ht="24.95" customHeight="1" x14ac:dyDescent="0.2">
      <c r="A102" s="210" t="s">
        <v>88</v>
      </c>
      <c r="B102" s="206"/>
      <c r="C102" s="211" t="s">
        <v>86</v>
      </c>
      <c r="D102" s="169">
        <f t="shared" ref="D102:X102" si="28">SUM(D93:D101)</f>
        <v>0</v>
      </c>
      <c r="E102" s="169">
        <f t="shared" si="28"/>
        <v>0</v>
      </c>
      <c r="F102" s="169">
        <f t="shared" si="28"/>
        <v>0</v>
      </c>
      <c r="G102" s="169">
        <f t="shared" si="28"/>
        <v>0</v>
      </c>
      <c r="H102" s="169">
        <f t="shared" si="28"/>
        <v>0</v>
      </c>
      <c r="I102" s="169">
        <f t="shared" si="28"/>
        <v>0</v>
      </c>
      <c r="J102" s="169">
        <f t="shared" si="28"/>
        <v>0</v>
      </c>
      <c r="K102" s="169">
        <f t="shared" si="28"/>
        <v>0</v>
      </c>
      <c r="L102" s="169">
        <f t="shared" si="28"/>
        <v>540</v>
      </c>
      <c r="M102" s="169">
        <f t="shared" si="28"/>
        <v>0</v>
      </c>
      <c r="N102" s="169">
        <f t="shared" si="28"/>
        <v>0</v>
      </c>
      <c r="O102" s="169">
        <f t="shared" si="28"/>
        <v>540</v>
      </c>
      <c r="P102" s="169"/>
      <c r="Q102" s="169">
        <f t="shared" si="28"/>
        <v>0</v>
      </c>
      <c r="R102" s="169">
        <f t="shared" si="28"/>
        <v>0</v>
      </c>
      <c r="S102" s="169">
        <f t="shared" si="28"/>
        <v>0</v>
      </c>
      <c r="T102" s="169">
        <f t="shared" si="28"/>
        <v>0</v>
      </c>
      <c r="U102" s="169">
        <f t="shared" si="28"/>
        <v>0</v>
      </c>
      <c r="V102" s="169"/>
      <c r="W102" s="251">
        <f t="shared" si="28"/>
        <v>540</v>
      </c>
      <c r="X102" s="332">
        <f t="shared" si="28"/>
        <v>71884.565000000002</v>
      </c>
    </row>
    <row r="103" spans="1:24" ht="15.75" customHeight="1" x14ac:dyDescent="0.2">
      <c r="A103" s="40"/>
      <c r="B103" s="31"/>
      <c r="C103" s="41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3"/>
      <c r="W103" s="258"/>
      <c r="X103" s="329"/>
    </row>
    <row r="104" spans="1:24" ht="30.75" customHeight="1" x14ac:dyDescent="0.2">
      <c r="A104" s="40">
        <v>5</v>
      </c>
      <c r="B104" s="520" t="s">
        <v>651</v>
      </c>
      <c r="C104" s="41" t="s">
        <v>273</v>
      </c>
      <c r="D104" s="155"/>
      <c r="E104" s="155"/>
      <c r="F104" s="155">
        <f>487.286</f>
        <v>487.286</v>
      </c>
      <c r="G104" s="155"/>
      <c r="H104" s="155"/>
      <c r="I104" s="155"/>
      <c r="J104" s="155"/>
      <c r="K104" s="155"/>
      <c r="L104" s="155"/>
      <c r="M104" s="155"/>
      <c r="N104" s="155"/>
      <c r="O104" s="155">
        <f>SUM(D104:N104)</f>
        <v>487.286</v>
      </c>
      <c r="P104" s="155"/>
      <c r="Q104" s="155"/>
      <c r="R104" s="155"/>
      <c r="S104" s="155"/>
      <c r="T104" s="155"/>
      <c r="U104" s="155">
        <f>SUM(Q104:T104)</f>
        <v>0</v>
      </c>
      <c r="V104" s="161"/>
      <c r="W104" s="518">
        <f>O104+U104</f>
        <v>487.286</v>
      </c>
      <c r="X104" s="329"/>
    </row>
    <row r="105" spans="1:24" ht="30.75" customHeight="1" x14ac:dyDescent="0.2">
      <c r="A105" s="40">
        <v>6</v>
      </c>
      <c r="B105" s="520" t="s">
        <v>720</v>
      </c>
      <c r="C105" s="41" t="s">
        <v>273</v>
      </c>
      <c r="D105" s="155"/>
      <c r="E105" s="155"/>
      <c r="F105" s="155">
        <f>2005.817</f>
        <v>2005.817</v>
      </c>
      <c r="G105" s="155"/>
      <c r="H105" s="155"/>
      <c r="I105" s="155"/>
      <c r="J105" s="155"/>
      <c r="K105" s="155"/>
      <c r="L105" s="168"/>
      <c r="M105" s="155"/>
      <c r="N105" s="155"/>
      <c r="O105" s="155">
        <f>SUM(D105:N105)</f>
        <v>2005.817</v>
      </c>
      <c r="P105" s="155"/>
      <c r="Q105" s="155"/>
      <c r="R105" s="155"/>
      <c r="S105" s="155"/>
      <c r="T105" s="155"/>
      <c r="U105" s="155">
        <f>SUM(Q105:T105)</f>
        <v>0</v>
      </c>
      <c r="V105" s="161"/>
      <c r="W105" s="518">
        <f>O105+U105</f>
        <v>2005.817</v>
      </c>
      <c r="X105" s="329"/>
    </row>
    <row r="106" spans="1:24" ht="30.75" customHeight="1" x14ac:dyDescent="0.2">
      <c r="A106" s="40">
        <v>7</v>
      </c>
      <c r="B106" s="703" t="s">
        <v>721</v>
      </c>
      <c r="C106" s="41" t="s">
        <v>445</v>
      </c>
      <c r="D106" s="155"/>
      <c r="E106" s="155"/>
      <c r="F106" s="155"/>
      <c r="G106" s="155">
        <f>-45-495+752+1000+235-440+678+14-1049-900</f>
        <v>-250</v>
      </c>
      <c r="H106" s="155">
        <f>300-165+355+910-500+50+70-480-200-1249+32+44-69+196-337+12+52-135+13-54-4+1+12+23+200+10+16-200+2+57+446-20+1</f>
        <v>-611</v>
      </c>
      <c r="I106" s="155"/>
      <c r="J106" s="155"/>
      <c r="K106" s="155"/>
      <c r="L106" s="155">
        <f>4+1+880</f>
        <v>885</v>
      </c>
      <c r="M106" s="155">
        <f>270-294</f>
        <v>-24</v>
      </c>
      <c r="N106" s="168"/>
      <c r="O106" s="155">
        <f>SUM(D106:N106)</f>
        <v>0</v>
      </c>
      <c r="P106" s="155"/>
      <c r="Q106" s="155"/>
      <c r="R106" s="155"/>
      <c r="S106" s="155"/>
      <c r="T106" s="155"/>
      <c r="U106" s="155">
        <f>SUM(Q106:T106)</f>
        <v>0</v>
      </c>
      <c r="V106" s="161"/>
      <c r="W106" s="518">
        <f>O106+U106</f>
        <v>0</v>
      </c>
      <c r="X106" s="329">
        <f>1247949-1247949</f>
        <v>0</v>
      </c>
    </row>
    <row r="107" spans="1:24" ht="30.75" hidden="1" customHeight="1" x14ac:dyDescent="0.2">
      <c r="A107" s="40" t="s">
        <v>117</v>
      </c>
      <c r="B107" s="227"/>
      <c r="C107" s="41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>
        <f>SUM(D107:N107)</f>
        <v>0</v>
      </c>
      <c r="P107" s="155"/>
      <c r="Q107" s="155"/>
      <c r="R107" s="155"/>
      <c r="S107" s="155"/>
      <c r="T107" s="155"/>
      <c r="U107" s="155">
        <f>SUM(Q107:T107)</f>
        <v>0</v>
      </c>
      <c r="V107" s="161"/>
      <c r="W107" s="518">
        <f>O107+U107</f>
        <v>0</v>
      </c>
      <c r="X107" s="329"/>
    </row>
    <row r="108" spans="1:24" ht="30.75" hidden="1" customHeight="1" x14ac:dyDescent="0.2">
      <c r="A108" s="40" t="s">
        <v>117</v>
      </c>
      <c r="B108" s="227"/>
      <c r="C108" s="41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>
        <f>SUM(D108:N108)</f>
        <v>0</v>
      </c>
      <c r="P108" s="155"/>
      <c r="Q108" s="155"/>
      <c r="R108" s="155"/>
      <c r="S108" s="155"/>
      <c r="T108" s="155"/>
      <c r="U108" s="155">
        <f>SUM(Q108:T108)</f>
        <v>0</v>
      </c>
      <c r="V108" s="161"/>
      <c r="W108" s="518">
        <f>O108+U108</f>
        <v>0</v>
      </c>
      <c r="X108" s="329"/>
    </row>
    <row r="109" spans="1:24" ht="30.75" customHeight="1" x14ac:dyDescent="0.2">
      <c r="A109" s="40"/>
      <c r="B109" s="227"/>
      <c r="C109" s="41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61"/>
      <c r="W109" s="518"/>
      <c r="X109" s="329"/>
    </row>
    <row r="110" spans="1:24" ht="30.75" customHeight="1" x14ac:dyDescent="0.2">
      <c r="A110" s="40"/>
      <c r="B110" s="31"/>
      <c r="C110" s="41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3"/>
      <c r="W110" s="258"/>
      <c r="X110" s="329"/>
    </row>
    <row r="111" spans="1:24" ht="24.95" customHeight="1" x14ac:dyDescent="0.2">
      <c r="A111" s="210" t="s">
        <v>89</v>
      </c>
      <c r="B111" s="206"/>
      <c r="C111" s="211" t="s">
        <v>87</v>
      </c>
      <c r="D111" s="169">
        <f t="shared" ref="D111:X111" si="29">SUM(D104:D110)</f>
        <v>0</v>
      </c>
      <c r="E111" s="169">
        <f t="shared" si="29"/>
        <v>0</v>
      </c>
      <c r="F111" s="169">
        <f t="shared" si="29"/>
        <v>2493.1030000000001</v>
      </c>
      <c r="G111" s="169">
        <f t="shared" si="29"/>
        <v>-250</v>
      </c>
      <c r="H111" s="169">
        <f t="shared" si="29"/>
        <v>-611</v>
      </c>
      <c r="I111" s="169">
        <f t="shared" si="29"/>
        <v>0</v>
      </c>
      <c r="J111" s="169">
        <f t="shared" si="29"/>
        <v>0</v>
      </c>
      <c r="K111" s="169">
        <f t="shared" si="29"/>
        <v>0</v>
      </c>
      <c r="L111" s="169">
        <f t="shared" si="29"/>
        <v>885</v>
      </c>
      <c r="M111" s="169">
        <f t="shared" si="29"/>
        <v>-24</v>
      </c>
      <c r="N111" s="169">
        <f t="shared" si="29"/>
        <v>0</v>
      </c>
      <c r="O111" s="169">
        <f t="shared" si="29"/>
        <v>2493.1030000000001</v>
      </c>
      <c r="P111" s="169"/>
      <c r="Q111" s="169">
        <f t="shared" si="29"/>
        <v>0</v>
      </c>
      <c r="R111" s="169">
        <f t="shared" si="29"/>
        <v>0</v>
      </c>
      <c r="S111" s="169">
        <f t="shared" si="29"/>
        <v>0</v>
      </c>
      <c r="T111" s="169">
        <f t="shared" si="29"/>
        <v>0</v>
      </c>
      <c r="U111" s="169">
        <f t="shared" si="29"/>
        <v>0</v>
      </c>
      <c r="V111" s="169"/>
      <c r="W111" s="262">
        <f t="shared" si="29"/>
        <v>2493.1030000000001</v>
      </c>
      <c r="X111" s="262">
        <f t="shared" si="29"/>
        <v>0</v>
      </c>
    </row>
    <row r="112" spans="1:24" ht="12" customHeight="1" x14ac:dyDescent="0.2">
      <c r="A112" s="40"/>
      <c r="B112" s="31"/>
      <c r="C112" s="41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3"/>
      <c r="W112" s="258"/>
      <c r="X112" s="329"/>
    </row>
    <row r="113" spans="1:24" ht="24.95" customHeight="1" thickBot="1" x14ac:dyDescent="0.25">
      <c r="A113" s="40"/>
      <c r="B113" s="32"/>
      <c r="C113" s="34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3"/>
      <c r="W113" s="258"/>
      <c r="X113" s="329"/>
    </row>
    <row r="114" spans="1:24" ht="24.95" customHeight="1" thickTop="1" thickBot="1" x14ac:dyDescent="0.25">
      <c r="A114" s="42"/>
      <c r="B114" s="109" t="s">
        <v>593</v>
      </c>
      <c r="C114" s="44" t="s">
        <v>90</v>
      </c>
      <c r="D114" s="204">
        <f>D102+D111</f>
        <v>0</v>
      </c>
      <c r="E114" s="204">
        <f t="shared" ref="E114:U114" si="30">E102+E111</f>
        <v>0</v>
      </c>
      <c r="F114" s="204">
        <f t="shared" si="30"/>
        <v>2493.1030000000001</v>
      </c>
      <c r="G114" s="204">
        <f t="shared" si="30"/>
        <v>-250</v>
      </c>
      <c r="H114" s="204">
        <f t="shared" si="30"/>
        <v>-611</v>
      </c>
      <c r="I114" s="204">
        <f t="shared" si="30"/>
        <v>0</v>
      </c>
      <c r="J114" s="204">
        <f t="shared" si="30"/>
        <v>0</v>
      </c>
      <c r="K114" s="204">
        <f t="shared" si="30"/>
        <v>0</v>
      </c>
      <c r="L114" s="204">
        <f>L102+L111</f>
        <v>1425</v>
      </c>
      <c r="M114" s="204">
        <f t="shared" si="30"/>
        <v>-24</v>
      </c>
      <c r="N114" s="204">
        <f t="shared" si="30"/>
        <v>0</v>
      </c>
      <c r="O114" s="204">
        <f t="shared" si="30"/>
        <v>3033.1030000000001</v>
      </c>
      <c r="P114" s="204"/>
      <c r="Q114" s="204">
        <f>Q102+Q111</f>
        <v>0</v>
      </c>
      <c r="R114" s="204">
        <f t="shared" si="30"/>
        <v>0</v>
      </c>
      <c r="S114" s="204">
        <f t="shared" si="30"/>
        <v>0</v>
      </c>
      <c r="T114" s="204">
        <f t="shared" si="30"/>
        <v>0</v>
      </c>
      <c r="U114" s="204">
        <f t="shared" si="30"/>
        <v>0</v>
      </c>
      <c r="V114" s="204"/>
      <c r="W114" s="256">
        <f>W102+W111</f>
        <v>3033.1030000000001</v>
      </c>
      <c r="X114" s="174">
        <f>X102+X111</f>
        <v>71884.565000000002</v>
      </c>
    </row>
    <row r="115" spans="1:24" ht="30" customHeight="1" thickTop="1" thickBot="1" x14ac:dyDescent="0.25">
      <c r="A115" s="42"/>
      <c r="B115" s="504" t="s">
        <v>599</v>
      </c>
      <c r="C115" s="44" t="s">
        <v>154</v>
      </c>
      <c r="D115" s="257">
        <f t="shared" ref="D115:O115" si="31">D50+D90+D114</f>
        <v>0</v>
      </c>
      <c r="E115" s="257">
        <f t="shared" si="31"/>
        <v>0</v>
      </c>
      <c r="F115" s="257">
        <f t="shared" si="31"/>
        <v>10417.865000000002</v>
      </c>
      <c r="G115" s="257">
        <f t="shared" si="31"/>
        <v>4390</v>
      </c>
      <c r="H115" s="257">
        <f t="shared" si="31"/>
        <v>10000</v>
      </c>
      <c r="I115" s="257">
        <f t="shared" si="31"/>
        <v>0</v>
      </c>
      <c r="J115" s="257">
        <f t="shared" si="31"/>
        <v>0</v>
      </c>
      <c r="K115" s="257">
        <f t="shared" si="31"/>
        <v>0</v>
      </c>
      <c r="L115" s="257">
        <f t="shared" si="31"/>
        <v>2032</v>
      </c>
      <c r="M115" s="257">
        <f t="shared" si="31"/>
        <v>1176</v>
      </c>
      <c r="N115" s="257">
        <f t="shared" si="31"/>
        <v>0</v>
      </c>
      <c r="O115" s="257">
        <f t="shared" si="31"/>
        <v>28015.865000000002</v>
      </c>
      <c r="P115" s="257"/>
      <c r="Q115" s="257">
        <f>Q50+Q90+Q114</f>
        <v>0</v>
      </c>
      <c r="R115" s="257">
        <f>R50+R90+R114</f>
        <v>326995.53700000001</v>
      </c>
      <c r="S115" s="257">
        <f>S50+S90+S114</f>
        <v>0</v>
      </c>
      <c r="T115" s="257">
        <f>T50+T90+T114</f>
        <v>0</v>
      </c>
      <c r="U115" s="257">
        <f>U50+U90+U114</f>
        <v>326995.53700000001</v>
      </c>
      <c r="V115" s="257"/>
      <c r="W115" s="256">
        <f>W50+W90+W114</f>
        <v>355011.402</v>
      </c>
      <c r="X115" s="233">
        <f>X50+X90+X114</f>
        <v>2722781.5549999997</v>
      </c>
    </row>
    <row r="116" spans="1:24" ht="24.95" hidden="1" customHeight="1" thickTop="1" x14ac:dyDescent="0.2">
      <c r="A116" s="182"/>
      <c r="B116" s="546" t="s">
        <v>183</v>
      </c>
      <c r="C116" s="24" t="s">
        <v>18</v>
      </c>
      <c r="D116" s="25">
        <f t="shared" ref="D116:U116" si="32">D115</f>
        <v>0</v>
      </c>
      <c r="E116" s="25">
        <f t="shared" si="32"/>
        <v>0</v>
      </c>
      <c r="F116" s="25">
        <f t="shared" si="32"/>
        <v>10417.865000000002</v>
      </c>
      <c r="G116" s="25">
        <f t="shared" si="32"/>
        <v>4390</v>
      </c>
      <c r="H116" s="25">
        <f t="shared" si="32"/>
        <v>10000</v>
      </c>
      <c r="I116" s="25">
        <f t="shared" si="32"/>
        <v>0</v>
      </c>
      <c r="J116" s="25">
        <f t="shared" si="32"/>
        <v>0</v>
      </c>
      <c r="K116" s="25">
        <f t="shared" si="32"/>
        <v>0</v>
      </c>
      <c r="L116" s="25">
        <f t="shared" si="32"/>
        <v>2032</v>
      </c>
      <c r="M116" s="25">
        <f t="shared" si="32"/>
        <v>1176</v>
      </c>
      <c r="N116" s="25">
        <f t="shared" si="32"/>
        <v>0</v>
      </c>
      <c r="O116" s="25">
        <f t="shared" si="32"/>
        <v>28015.865000000002</v>
      </c>
      <c r="P116" s="25"/>
      <c r="Q116" s="25">
        <f>Q115</f>
        <v>0</v>
      </c>
      <c r="R116" s="25">
        <f>R115</f>
        <v>326995.53700000001</v>
      </c>
      <c r="S116" s="25">
        <f t="shared" si="32"/>
        <v>0</v>
      </c>
      <c r="T116" s="25">
        <f t="shared" si="32"/>
        <v>0</v>
      </c>
      <c r="U116" s="25">
        <f t="shared" si="32"/>
        <v>326995.53700000001</v>
      </c>
      <c r="V116" s="25"/>
      <c r="W116" s="241">
        <f t="shared" ref="W116:W121" si="33">O116+U116</f>
        <v>355011.402</v>
      </c>
      <c r="X116" s="248">
        <f>X115</f>
        <v>2722781.5549999997</v>
      </c>
    </row>
    <row r="117" spans="1:24" ht="30.75" hidden="1" customHeight="1" x14ac:dyDescent="0.2">
      <c r="A117" s="40">
        <v>1</v>
      </c>
      <c r="B117" s="333"/>
      <c r="C117" s="28"/>
      <c r="D117" s="169"/>
      <c r="E117" s="169"/>
      <c r="F117" s="169"/>
      <c r="G117" s="169"/>
      <c r="H117" s="169"/>
      <c r="I117" s="169"/>
      <c r="J117" s="169"/>
      <c r="K117" s="169"/>
      <c r="L117" s="169"/>
      <c r="M117" s="169"/>
      <c r="N117" s="169"/>
      <c r="O117" s="169">
        <f>SUM(D117:N117)</f>
        <v>0</v>
      </c>
      <c r="P117" s="169"/>
      <c r="Q117" s="169"/>
      <c r="R117" s="169"/>
      <c r="S117" s="169"/>
      <c r="T117" s="169"/>
      <c r="U117" s="169">
        <f>SUM(Q117:T117)</f>
        <v>0</v>
      </c>
      <c r="V117" s="170"/>
      <c r="W117" s="171">
        <f t="shared" si="33"/>
        <v>0</v>
      </c>
      <c r="X117" s="446"/>
    </row>
    <row r="118" spans="1:24" ht="30.75" hidden="1" customHeight="1" x14ac:dyDescent="0.2">
      <c r="A118" s="180"/>
      <c r="B118" s="228"/>
      <c r="C118" s="28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>
        <f>SUM(D118:N118)</f>
        <v>0</v>
      </c>
      <c r="P118" s="169"/>
      <c r="Q118" s="169"/>
      <c r="R118" s="169"/>
      <c r="S118" s="169"/>
      <c r="T118" s="169"/>
      <c r="U118" s="169">
        <f>SUM(Q118:T118)</f>
        <v>0</v>
      </c>
      <c r="V118" s="170"/>
      <c r="W118" s="171">
        <f t="shared" si="33"/>
        <v>0</v>
      </c>
      <c r="X118" s="382"/>
    </row>
    <row r="119" spans="1:24" ht="30.75" hidden="1" customHeight="1" x14ac:dyDescent="0.2">
      <c r="A119" s="180"/>
      <c r="B119" s="228"/>
      <c r="C119" s="28"/>
      <c r="D119" s="169"/>
      <c r="E119" s="169"/>
      <c r="F119" s="169"/>
      <c r="G119" s="169"/>
      <c r="H119" s="169"/>
      <c r="I119" s="169"/>
      <c r="J119" s="169"/>
      <c r="K119" s="169"/>
      <c r="L119" s="169"/>
      <c r="M119" s="169"/>
      <c r="N119" s="169"/>
      <c r="O119" s="169">
        <f>SUM(D119:N119)</f>
        <v>0</v>
      </c>
      <c r="P119" s="169"/>
      <c r="Q119" s="169"/>
      <c r="R119" s="169"/>
      <c r="S119" s="169"/>
      <c r="T119" s="169"/>
      <c r="U119" s="169">
        <f>SUM(Q119:T119)</f>
        <v>0</v>
      </c>
      <c r="V119" s="170"/>
      <c r="W119" s="171">
        <f t="shared" si="33"/>
        <v>0</v>
      </c>
      <c r="X119" s="382"/>
    </row>
    <row r="120" spans="1:24" ht="24.95" hidden="1" customHeight="1" x14ac:dyDescent="0.2">
      <c r="A120" s="40"/>
      <c r="B120" s="30"/>
      <c r="C120" s="28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>
        <f>SUM(D120:N120)</f>
        <v>0</v>
      </c>
      <c r="P120" s="169"/>
      <c r="Q120" s="169"/>
      <c r="R120" s="169"/>
      <c r="S120" s="169"/>
      <c r="T120" s="169"/>
      <c r="U120" s="169">
        <f>SUM(Q120:T120)</f>
        <v>0</v>
      </c>
      <c r="V120" s="170"/>
      <c r="W120" s="171">
        <f t="shared" si="33"/>
        <v>0</v>
      </c>
      <c r="X120" s="382"/>
    </row>
    <row r="121" spans="1:24" ht="24.95" hidden="1" customHeight="1" x14ac:dyDescent="0.2">
      <c r="A121" s="40"/>
      <c r="B121" s="31"/>
      <c r="C121" s="41"/>
      <c r="D121" s="169"/>
      <c r="E121" s="169"/>
      <c r="F121" s="169"/>
      <c r="G121" s="169"/>
      <c r="H121" s="169"/>
      <c r="I121" s="169"/>
      <c r="J121" s="169"/>
      <c r="K121" s="169"/>
      <c r="L121" s="169"/>
      <c r="M121" s="169"/>
      <c r="N121" s="169"/>
      <c r="O121" s="169">
        <f>SUM(D121:N121)</f>
        <v>0</v>
      </c>
      <c r="P121" s="169"/>
      <c r="Q121" s="169"/>
      <c r="R121" s="169"/>
      <c r="S121" s="169"/>
      <c r="T121" s="169"/>
      <c r="U121" s="169">
        <f>SUM(Q121:T121)</f>
        <v>0</v>
      </c>
      <c r="V121" s="170"/>
      <c r="W121" s="171">
        <f t="shared" si="33"/>
        <v>0</v>
      </c>
      <c r="X121" s="382"/>
    </row>
    <row r="122" spans="1:24" ht="24.95" hidden="1" customHeight="1" x14ac:dyDescent="0.2">
      <c r="A122" s="40"/>
      <c r="B122" s="31"/>
      <c r="C122" s="41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70"/>
      <c r="W122" s="171"/>
      <c r="X122" s="382"/>
    </row>
    <row r="123" spans="1:24" ht="9.9499999999999993" hidden="1" customHeight="1" x14ac:dyDescent="0.2">
      <c r="A123" s="40"/>
      <c r="B123" s="126"/>
      <c r="C123" s="41"/>
      <c r="D123" s="169"/>
      <c r="E123" s="169"/>
      <c r="F123" s="169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169"/>
      <c r="T123" s="169"/>
      <c r="U123" s="169"/>
      <c r="V123" s="170"/>
      <c r="W123" s="171"/>
      <c r="X123" s="250"/>
    </row>
    <row r="124" spans="1:24" ht="24.95" hidden="1" customHeight="1" x14ac:dyDescent="0.2">
      <c r="A124" s="210" t="s">
        <v>88</v>
      </c>
      <c r="B124" s="206"/>
      <c r="C124" s="211" t="s">
        <v>86</v>
      </c>
      <c r="D124" s="169">
        <f t="shared" ref="D124:X124" si="34">SUM(D117:D123)</f>
        <v>0</v>
      </c>
      <c r="E124" s="169">
        <f t="shared" si="34"/>
        <v>0</v>
      </c>
      <c r="F124" s="169">
        <f t="shared" si="34"/>
        <v>0</v>
      </c>
      <c r="G124" s="169">
        <f t="shared" si="34"/>
        <v>0</v>
      </c>
      <c r="H124" s="169">
        <f t="shared" si="34"/>
        <v>0</v>
      </c>
      <c r="I124" s="169">
        <f t="shared" si="34"/>
        <v>0</v>
      </c>
      <c r="J124" s="169">
        <f t="shared" si="34"/>
        <v>0</v>
      </c>
      <c r="K124" s="169">
        <f t="shared" si="34"/>
        <v>0</v>
      </c>
      <c r="L124" s="169">
        <f t="shared" si="34"/>
        <v>0</v>
      </c>
      <c r="M124" s="169">
        <f t="shared" si="34"/>
        <v>0</v>
      </c>
      <c r="N124" s="169">
        <f t="shared" si="34"/>
        <v>0</v>
      </c>
      <c r="O124" s="169">
        <f t="shared" si="34"/>
        <v>0</v>
      </c>
      <c r="P124" s="169"/>
      <c r="Q124" s="169">
        <f t="shared" si="34"/>
        <v>0</v>
      </c>
      <c r="R124" s="169">
        <f t="shared" si="34"/>
        <v>0</v>
      </c>
      <c r="S124" s="169">
        <f t="shared" si="34"/>
        <v>0</v>
      </c>
      <c r="T124" s="169">
        <f t="shared" si="34"/>
        <v>0</v>
      </c>
      <c r="U124" s="169">
        <f t="shared" si="34"/>
        <v>0</v>
      </c>
      <c r="V124" s="169"/>
      <c r="W124" s="262">
        <f t="shared" si="34"/>
        <v>0</v>
      </c>
      <c r="X124" s="382">
        <f t="shared" si="34"/>
        <v>0</v>
      </c>
    </row>
    <row r="125" spans="1:24" ht="9.9499999999999993" hidden="1" customHeight="1" x14ac:dyDescent="0.2">
      <c r="A125" s="40"/>
      <c r="B125" s="31"/>
      <c r="C125" s="41"/>
      <c r="D125" s="169"/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71"/>
      <c r="X125" s="250"/>
    </row>
    <row r="126" spans="1:24" ht="30.75" hidden="1" customHeight="1" x14ac:dyDescent="0.2">
      <c r="A126" s="180" t="s">
        <v>117</v>
      </c>
      <c r="B126" s="227"/>
      <c r="C126" s="41"/>
      <c r="D126" s="169"/>
      <c r="E126" s="169"/>
      <c r="F126" s="169"/>
      <c r="G126" s="169"/>
      <c r="H126" s="169"/>
      <c r="I126" s="169"/>
      <c r="J126" s="169"/>
      <c r="K126" s="169"/>
      <c r="M126" s="169"/>
      <c r="N126" s="169"/>
      <c r="O126" s="169">
        <f>SUM(D126:N126)</f>
        <v>0</v>
      </c>
      <c r="P126" s="169"/>
      <c r="Q126" s="169"/>
      <c r="R126" s="169"/>
      <c r="S126" s="169"/>
      <c r="T126" s="169"/>
      <c r="U126" s="169">
        <f>SUM(Q126:T126)</f>
        <v>0</v>
      </c>
      <c r="V126" s="169"/>
      <c r="W126" s="171">
        <f>O126+U126</f>
        <v>0</v>
      </c>
      <c r="X126" s="250"/>
    </row>
    <row r="127" spans="1:24" ht="30.75" hidden="1" customHeight="1" x14ac:dyDescent="0.2">
      <c r="A127" s="180"/>
      <c r="B127" s="227"/>
      <c r="C127" s="41"/>
      <c r="D127" s="169"/>
      <c r="E127" s="169"/>
      <c r="F127" s="169"/>
      <c r="G127" s="169"/>
      <c r="H127" s="169"/>
      <c r="I127" s="169"/>
      <c r="J127" s="169"/>
      <c r="K127" s="169"/>
      <c r="L127" s="169"/>
      <c r="M127" s="169"/>
      <c r="N127" s="169"/>
      <c r="O127" s="169">
        <f>SUM(D127:N127)</f>
        <v>0</v>
      </c>
      <c r="P127" s="169"/>
      <c r="Q127" s="169"/>
      <c r="R127" s="169"/>
      <c r="S127" s="169"/>
      <c r="T127" s="169"/>
      <c r="U127" s="169">
        <f>SUM(Q127:T127)</f>
        <v>0</v>
      </c>
      <c r="V127" s="169"/>
      <c r="W127" s="171">
        <f>O127+U127</f>
        <v>0</v>
      </c>
      <c r="X127" s="250"/>
    </row>
    <row r="128" spans="1:24" ht="30.75" hidden="1" customHeight="1" x14ac:dyDescent="0.2">
      <c r="A128" s="40"/>
      <c r="B128" s="31"/>
      <c r="C128" s="41"/>
      <c r="D128" s="169"/>
      <c r="E128" s="169"/>
      <c r="F128" s="169"/>
      <c r="G128" s="169"/>
      <c r="H128" s="169"/>
      <c r="I128" s="169"/>
      <c r="J128" s="169"/>
      <c r="K128" s="169"/>
      <c r="L128" s="169"/>
      <c r="M128" s="169"/>
      <c r="N128" s="169"/>
      <c r="O128" s="169">
        <f>SUM(D128:N128)</f>
        <v>0</v>
      </c>
      <c r="P128" s="169"/>
      <c r="Q128" s="169"/>
      <c r="R128" s="169"/>
      <c r="S128" s="169"/>
      <c r="T128" s="169"/>
      <c r="U128" s="169">
        <f>SUM(Q128:T128)</f>
        <v>0</v>
      </c>
      <c r="V128" s="169"/>
      <c r="W128" s="171">
        <f>O128+U128</f>
        <v>0</v>
      </c>
      <c r="X128" s="250"/>
    </row>
    <row r="129" spans="1:27" ht="24.95" hidden="1" customHeight="1" x14ac:dyDescent="0.2">
      <c r="A129" s="40"/>
      <c r="B129" s="123"/>
      <c r="C129" s="41"/>
      <c r="D129" s="169"/>
      <c r="E129" s="169"/>
      <c r="F129" s="169"/>
      <c r="G129" s="169"/>
      <c r="H129" s="169"/>
      <c r="I129" s="169"/>
      <c r="J129" s="169"/>
      <c r="K129" s="169"/>
      <c r="L129" s="169"/>
      <c r="M129" s="169"/>
      <c r="N129" s="169"/>
      <c r="O129" s="169">
        <f>SUM(D129:N129)</f>
        <v>0</v>
      </c>
      <c r="P129" s="169"/>
      <c r="Q129" s="169"/>
      <c r="R129" s="169"/>
      <c r="S129" s="169"/>
      <c r="T129" s="169"/>
      <c r="U129" s="169">
        <f>SUM(Q129:T129)</f>
        <v>0</v>
      </c>
      <c r="V129" s="169"/>
      <c r="W129" s="171">
        <f>O129+U129</f>
        <v>0</v>
      </c>
      <c r="X129" s="250"/>
    </row>
    <row r="130" spans="1:27" ht="9.9499999999999993" hidden="1" customHeight="1" x14ac:dyDescent="0.2">
      <c r="A130" s="40"/>
      <c r="B130" s="123"/>
      <c r="C130" s="41"/>
      <c r="D130" s="169"/>
      <c r="E130" s="169"/>
      <c r="F130" s="169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169"/>
      <c r="T130" s="169"/>
      <c r="U130" s="169"/>
      <c r="V130" s="169"/>
      <c r="W130" s="171"/>
      <c r="X130" s="246"/>
    </row>
    <row r="131" spans="1:27" ht="24.95" hidden="1" customHeight="1" x14ac:dyDescent="0.2">
      <c r="A131" s="210" t="s">
        <v>89</v>
      </c>
      <c r="B131" s="206"/>
      <c r="C131" s="211" t="s">
        <v>87</v>
      </c>
      <c r="D131" s="169">
        <f>SUM(D126:D130)</f>
        <v>0</v>
      </c>
      <c r="E131" s="169">
        <f t="shared" ref="E131:K131" si="35">SUM(E126:E130)</f>
        <v>0</v>
      </c>
      <c r="F131" s="169">
        <f t="shared" si="35"/>
        <v>0</v>
      </c>
      <c r="G131" s="169">
        <f t="shared" si="35"/>
        <v>0</v>
      </c>
      <c r="H131" s="169">
        <f t="shared" si="35"/>
        <v>0</v>
      </c>
      <c r="I131" s="169">
        <f t="shared" si="35"/>
        <v>0</v>
      </c>
      <c r="J131" s="169">
        <f t="shared" si="35"/>
        <v>0</v>
      </c>
      <c r="K131" s="169">
        <f t="shared" si="35"/>
        <v>0</v>
      </c>
      <c r="L131" s="169">
        <f>SUM(L126:L130)</f>
        <v>0</v>
      </c>
      <c r="M131" s="169">
        <f t="shared" ref="M131:X131" si="36">SUM(M126:M130)</f>
        <v>0</v>
      </c>
      <c r="N131" s="169">
        <f>SUM(N126:N130)</f>
        <v>0</v>
      </c>
      <c r="O131" s="169">
        <f t="shared" si="36"/>
        <v>0</v>
      </c>
      <c r="P131" s="169"/>
      <c r="Q131" s="169">
        <f>SUM(Q126:Q130)</f>
        <v>0</v>
      </c>
      <c r="R131" s="169">
        <f>SUM(R126:R130)</f>
        <v>0</v>
      </c>
      <c r="S131" s="169">
        <f t="shared" si="36"/>
        <v>0</v>
      </c>
      <c r="T131" s="169">
        <f t="shared" si="36"/>
        <v>0</v>
      </c>
      <c r="U131" s="169">
        <f t="shared" si="36"/>
        <v>0</v>
      </c>
      <c r="V131" s="169"/>
      <c r="W131" s="262">
        <f t="shared" si="36"/>
        <v>0</v>
      </c>
      <c r="X131" s="262">
        <f t="shared" si="36"/>
        <v>0</v>
      </c>
    </row>
    <row r="132" spans="1:27" ht="24.95" hidden="1" customHeight="1" x14ac:dyDescent="0.2">
      <c r="A132" s="40"/>
      <c r="B132" s="31"/>
      <c r="C132" s="41"/>
      <c r="D132" s="169"/>
      <c r="E132" s="169"/>
      <c r="F132" s="169"/>
      <c r="G132" s="169"/>
      <c r="H132" s="169"/>
      <c r="I132" s="169"/>
      <c r="J132" s="169"/>
      <c r="K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9"/>
      <c r="W132" s="171"/>
      <c r="X132" s="250"/>
    </row>
    <row r="133" spans="1:27" ht="24.95" hidden="1" customHeight="1" thickBot="1" x14ac:dyDescent="0.25">
      <c r="A133" s="40"/>
      <c r="B133" s="32"/>
      <c r="C133" s="34"/>
      <c r="D133" s="169"/>
      <c r="E133" s="169"/>
      <c r="F133" s="169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169"/>
      <c r="T133" s="169"/>
      <c r="U133" s="169"/>
      <c r="V133" s="169"/>
      <c r="W133" s="171"/>
      <c r="X133" s="250"/>
    </row>
    <row r="134" spans="1:27" ht="24.95" hidden="1" customHeight="1" thickTop="1" thickBot="1" x14ac:dyDescent="0.25">
      <c r="A134" s="46"/>
      <c r="B134" s="261" t="s">
        <v>184</v>
      </c>
      <c r="C134" s="44" t="s">
        <v>90</v>
      </c>
      <c r="D134" s="173">
        <f t="shared" ref="D134:X134" si="37">D124+D131</f>
        <v>0</v>
      </c>
      <c r="E134" s="173">
        <f t="shared" si="37"/>
        <v>0</v>
      </c>
      <c r="F134" s="173">
        <f t="shared" si="37"/>
        <v>0</v>
      </c>
      <c r="G134" s="173">
        <f t="shared" si="37"/>
        <v>0</v>
      </c>
      <c r="H134" s="173">
        <f t="shared" si="37"/>
        <v>0</v>
      </c>
      <c r="I134" s="173">
        <f t="shared" si="37"/>
        <v>0</v>
      </c>
      <c r="J134" s="173">
        <f t="shared" si="37"/>
        <v>0</v>
      </c>
      <c r="K134" s="173">
        <f t="shared" si="37"/>
        <v>0</v>
      </c>
      <c r="L134" s="173">
        <f t="shared" si="37"/>
        <v>0</v>
      </c>
      <c r="M134" s="173">
        <f t="shared" si="37"/>
        <v>0</v>
      </c>
      <c r="N134" s="173">
        <f t="shared" si="37"/>
        <v>0</v>
      </c>
      <c r="O134" s="173">
        <f t="shared" si="37"/>
        <v>0</v>
      </c>
      <c r="P134" s="173"/>
      <c r="Q134" s="173">
        <f>Q124+Q131</f>
        <v>0</v>
      </c>
      <c r="R134" s="173">
        <f>R124+R131</f>
        <v>0</v>
      </c>
      <c r="S134" s="173">
        <f t="shared" si="37"/>
        <v>0</v>
      </c>
      <c r="T134" s="173">
        <f t="shared" si="37"/>
        <v>0</v>
      </c>
      <c r="U134" s="173">
        <f t="shared" si="37"/>
        <v>0</v>
      </c>
      <c r="V134" s="173"/>
      <c r="W134" s="174">
        <f t="shared" si="37"/>
        <v>0</v>
      </c>
      <c r="X134" s="174">
        <f t="shared" si="37"/>
        <v>0</v>
      </c>
    </row>
    <row r="135" spans="1:27" ht="24.95" hidden="1" customHeight="1" thickTop="1" thickBot="1" x14ac:dyDescent="0.25">
      <c r="A135" s="42"/>
      <c r="B135" s="43" t="s">
        <v>183</v>
      </c>
      <c r="C135" s="44" t="s">
        <v>154</v>
      </c>
      <c r="D135" s="204">
        <f t="shared" ref="D135:U135" si="38">D116+D134</f>
        <v>0</v>
      </c>
      <c r="E135" s="204">
        <f t="shared" si="38"/>
        <v>0</v>
      </c>
      <c r="F135" s="204">
        <f t="shared" si="38"/>
        <v>10417.865000000002</v>
      </c>
      <c r="G135" s="204">
        <f t="shared" si="38"/>
        <v>4390</v>
      </c>
      <c r="H135" s="204">
        <f t="shared" si="38"/>
        <v>10000</v>
      </c>
      <c r="I135" s="204">
        <f t="shared" si="38"/>
        <v>0</v>
      </c>
      <c r="J135" s="204">
        <f t="shared" si="38"/>
        <v>0</v>
      </c>
      <c r="K135" s="204">
        <f t="shared" si="38"/>
        <v>0</v>
      </c>
      <c r="L135" s="204">
        <f t="shared" si="38"/>
        <v>2032</v>
      </c>
      <c r="M135" s="204">
        <f t="shared" si="38"/>
        <v>1176</v>
      </c>
      <c r="N135" s="204">
        <f t="shared" si="38"/>
        <v>0</v>
      </c>
      <c r="O135" s="204">
        <f t="shared" si="38"/>
        <v>28015.865000000002</v>
      </c>
      <c r="P135" s="204"/>
      <c r="Q135" s="204">
        <f t="shared" si="38"/>
        <v>0</v>
      </c>
      <c r="R135" s="204">
        <f t="shared" si="38"/>
        <v>326995.53700000001</v>
      </c>
      <c r="S135" s="204">
        <f t="shared" si="38"/>
        <v>0</v>
      </c>
      <c r="T135" s="204">
        <f t="shared" si="38"/>
        <v>0</v>
      </c>
      <c r="U135" s="204">
        <f t="shared" si="38"/>
        <v>326995.53700000001</v>
      </c>
      <c r="V135" s="204"/>
      <c r="W135" s="174">
        <f>O135+U135</f>
        <v>355011.402</v>
      </c>
      <c r="X135" s="174">
        <f>X115+X134</f>
        <v>2722781.5549999997</v>
      </c>
      <c r="Y135" s="29"/>
      <c r="Z135" s="29"/>
      <c r="AA135" s="29"/>
    </row>
    <row r="136" spans="1:27" ht="24.95" hidden="1" customHeight="1" thickTop="1" x14ac:dyDescent="0.2">
      <c r="A136" s="182"/>
      <c r="B136" s="546" t="s">
        <v>186</v>
      </c>
      <c r="C136" s="24" t="s">
        <v>18</v>
      </c>
      <c r="D136" s="25">
        <f t="shared" ref="D136:O136" si="39">D135</f>
        <v>0</v>
      </c>
      <c r="E136" s="25">
        <f t="shared" si="39"/>
        <v>0</v>
      </c>
      <c r="F136" s="25">
        <f t="shared" si="39"/>
        <v>10417.865000000002</v>
      </c>
      <c r="G136" s="25">
        <f t="shared" si="39"/>
        <v>4390</v>
      </c>
      <c r="H136" s="25">
        <f t="shared" si="39"/>
        <v>10000</v>
      </c>
      <c r="I136" s="25">
        <f t="shared" si="39"/>
        <v>0</v>
      </c>
      <c r="J136" s="25">
        <f t="shared" si="39"/>
        <v>0</v>
      </c>
      <c r="K136" s="25">
        <f t="shared" si="39"/>
        <v>0</v>
      </c>
      <c r="L136" s="25">
        <f t="shared" si="39"/>
        <v>2032</v>
      </c>
      <c r="M136" s="25">
        <f t="shared" si="39"/>
        <v>1176</v>
      </c>
      <c r="N136" s="25">
        <f t="shared" si="39"/>
        <v>0</v>
      </c>
      <c r="O136" s="25">
        <f t="shared" si="39"/>
        <v>28015.865000000002</v>
      </c>
      <c r="P136" s="25"/>
      <c r="Q136" s="25">
        <f>Q135</f>
        <v>0</v>
      </c>
      <c r="R136" s="25">
        <f>R135</f>
        <v>326995.53700000001</v>
      </c>
      <c r="S136" s="25">
        <f>S135</f>
        <v>0</v>
      </c>
      <c r="T136" s="25">
        <f>T135</f>
        <v>0</v>
      </c>
      <c r="U136" s="25">
        <f>U135</f>
        <v>326995.53700000001</v>
      </c>
      <c r="V136" s="25"/>
      <c r="W136" s="241">
        <f>O136+U136</f>
        <v>355011.402</v>
      </c>
      <c r="X136" s="248">
        <f>X135</f>
        <v>2722781.5549999997</v>
      </c>
      <c r="Y136" s="29"/>
      <c r="Z136" s="29"/>
      <c r="AA136" s="29"/>
    </row>
    <row r="137" spans="1:27" ht="24.95" hidden="1" customHeight="1" x14ac:dyDescent="0.2">
      <c r="A137" s="207"/>
      <c r="B137" s="577"/>
      <c r="C137" s="494"/>
      <c r="D137" s="322"/>
      <c r="E137" s="322"/>
      <c r="F137" s="322"/>
      <c r="G137" s="322"/>
      <c r="H137" s="322"/>
      <c r="I137" s="322"/>
      <c r="J137" s="322"/>
      <c r="K137" s="322"/>
      <c r="L137" s="322"/>
      <c r="M137" s="322"/>
      <c r="N137" s="322"/>
      <c r="O137" s="322"/>
      <c r="P137" s="322"/>
      <c r="Q137" s="322"/>
      <c r="R137" s="322"/>
      <c r="S137" s="322"/>
      <c r="T137" s="322"/>
      <c r="U137" s="322"/>
      <c r="V137" s="323"/>
      <c r="W137" s="495"/>
      <c r="X137" s="578"/>
      <c r="Y137" s="29"/>
      <c r="Z137" s="29"/>
      <c r="AA137" s="29"/>
    </row>
    <row r="138" spans="1:27" ht="24.95" hidden="1" customHeight="1" x14ac:dyDescent="0.2">
      <c r="A138" s="180">
        <v>1</v>
      </c>
      <c r="B138" s="576"/>
      <c r="C138" s="28"/>
      <c r="D138" s="169"/>
      <c r="E138" s="169"/>
      <c r="F138" s="169"/>
      <c r="G138" s="169"/>
      <c r="H138" s="169"/>
      <c r="I138" s="169"/>
      <c r="J138" s="169"/>
      <c r="K138" s="169"/>
      <c r="L138" s="169"/>
      <c r="M138" s="169"/>
      <c r="N138" s="169"/>
      <c r="O138" s="169">
        <f>SUM(D138:N138)</f>
        <v>0</v>
      </c>
      <c r="P138" s="169"/>
      <c r="Q138" s="169"/>
      <c r="R138" s="169"/>
      <c r="S138" s="169"/>
      <c r="T138" s="169"/>
      <c r="U138" s="169">
        <f>SUM(Q138:T138)</f>
        <v>0</v>
      </c>
      <c r="V138" s="170"/>
      <c r="W138" s="171">
        <f t="shared" ref="W138:W143" si="40">O138+U138</f>
        <v>0</v>
      </c>
      <c r="X138" s="382"/>
      <c r="Y138" s="29"/>
      <c r="Z138" s="29"/>
      <c r="AA138" s="29"/>
    </row>
    <row r="139" spans="1:27" ht="24.95" hidden="1" customHeight="1" x14ac:dyDescent="0.2">
      <c r="A139" s="180">
        <v>2</v>
      </c>
      <c r="B139" s="575"/>
      <c r="C139" s="28"/>
      <c r="D139" s="169"/>
      <c r="E139" s="169"/>
      <c r="F139" s="169"/>
      <c r="G139" s="169"/>
      <c r="H139" s="169"/>
      <c r="I139" s="169"/>
      <c r="J139" s="169"/>
      <c r="K139" s="169"/>
      <c r="L139" s="169"/>
      <c r="M139" s="169"/>
      <c r="N139" s="169"/>
      <c r="O139" s="169">
        <f>SUM(D139:N139)</f>
        <v>0</v>
      </c>
      <c r="P139" s="169"/>
      <c r="Q139" s="169"/>
      <c r="R139" s="169"/>
      <c r="S139" s="169"/>
      <c r="T139" s="169"/>
      <c r="U139" s="169">
        <f>SUM(Q139:T139)</f>
        <v>0</v>
      </c>
      <c r="V139" s="170"/>
      <c r="W139" s="171">
        <f t="shared" si="40"/>
        <v>0</v>
      </c>
      <c r="X139" s="382"/>
      <c r="Y139" s="29"/>
      <c r="Z139" s="29"/>
      <c r="AA139" s="29"/>
    </row>
    <row r="140" spans="1:27" ht="24.95" hidden="1" customHeight="1" x14ac:dyDescent="0.2">
      <c r="A140" s="180">
        <v>3</v>
      </c>
      <c r="B140" s="576"/>
      <c r="C140" s="28"/>
      <c r="D140" s="169"/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>
        <f>SUM(D140:N140)</f>
        <v>0</v>
      </c>
      <c r="P140" s="169"/>
      <c r="Q140" s="169"/>
      <c r="R140" s="169"/>
      <c r="S140" s="169"/>
      <c r="T140" s="169"/>
      <c r="U140" s="169">
        <f>SUM(Q140:T140)</f>
        <v>0</v>
      </c>
      <c r="V140" s="170"/>
      <c r="W140" s="171">
        <f t="shared" si="40"/>
        <v>0</v>
      </c>
      <c r="X140" s="382"/>
      <c r="Y140" s="29"/>
      <c r="Z140" s="29"/>
      <c r="AA140" s="29"/>
    </row>
    <row r="141" spans="1:27" ht="24.95" hidden="1" customHeight="1" x14ac:dyDescent="0.2">
      <c r="A141" s="40">
        <v>4</v>
      </c>
      <c r="B141" s="576"/>
      <c r="C141" s="28"/>
      <c r="D141" s="169"/>
      <c r="E141" s="169"/>
      <c r="F141" s="169"/>
      <c r="G141" s="169"/>
      <c r="H141" s="169"/>
      <c r="I141" s="169"/>
      <c r="J141" s="169"/>
      <c r="K141" s="169"/>
      <c r="L141" s="169"/>
      <c r="M141" s="169"/>
      <c r="N141" s="169"/>
      <c r="O141" s="169">
        <f>SUM(D141:N141)</f>
        <v>0</v>
      </c>
      <c r="P141" s="169"/>
      <c r="Q141" s="169"/>
      <c r="R141" s="169"/>
      <c r="S141" s="169"/>
      <c r="T141" s="169"/>
      <c r="U141" s="169">
        <f>SUM(Q141:T141)</f>
        <v>0</v>
      </c>
      <c r="V141" s="170"/>
      <c r="W141" s="171">
        <f t="shared" si="40"/>
        <v>0</v>
      </c>
      <c r="X141" s="382"/>
      <c r="Y141" s="29"/>
      <c r="Z141" s="29"/>
      <c r="AA141" s="29"/>
    </row>
    <row r="142" spans="1:27" ht="24.95" hidden="1" customHeight="1" x14ac:dyDescent="0.2">
      <c r="A142" s="40"/>
      <c r="B142" s="31"/>
      <c r="C142" s="41"/>
      <c r="D142" s="169"/>
      <c r="E142" s="169"/>
      <c r="F142" s="169"/>
      <c r="G142" s="169"/>
      <c r="H142" s="169"/>
      <c r="I142" s="169"/>
      <c r="J142" s="169"/>
      <c r="K142" s="169"/>
      <c r="L142" s="169"/>
      <c r="M142" s="169"/>
      <c r="N142" s="169"/>
      <c r="O142" s="169">
        <f>SUM(D142:N142)</f>
        <v>0</v>
      </c>
      <c r="P142" s="169"/>
      <c r="Q142" s="169"/>
      <c r="R142" s="169"/>
      <c r="S142" s="169"/>
      <c r="T142" s="169"/>
      <c r="U142" s="169">
        <f>SUM(Q142:T142)</f>
        <v>0</v>
      </c>
      <c r="V142" s="170"/>
      <c r="W142" s="171">
        <f t="shared" si="40"/>
        <v>0</v>
      </c>
      <c r="X142" s="382"/>
      <c r="Y142" s="29"/>
      <c r="Z142" s="29"/>
      <c r="AA142" s="29"/>
    </row>
    <row r="143" spans="1:27" ht="24.95" hidden="1" customHeight="1" x14ac:dyDescent="0.2">
      <c r="A143" s="40"/>
      <c r="B143" s="31"/>
      <c r="C143" s="41"/>
      <c r="D143" s="169"/>
      <c r="E143" s="169"/>
      <c r="F143" s="169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70"/>
      <c r="W143" s="171">
        <f t="shared" si="40"/>
        <v>0</v>
      </c>
      <c r="X143" s="382"/>
      <c r="Y143" s="29"/>
      <c r="Z143" s="29"/>
      <c r="AA143" s="29"/>
    </row>
    <row r="144" spans="1:27" ht="24.95" hidden="1" customHeight="1" x14ac:dyDescent="0.2">
      <c r="A144" s="40"/>
      <c r="B144" s="126"/>
      <c r="C144" s="41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169"/>
      <c r="T144" s="169"/>
      <c r="U144" s="169"/>
      <c r="V144" s="170"/>
      <c r="W144" s="171"/>
      <c r="X144" s="250"/>
      <c r="Y144" s="29"/>
      <c r="Z144" s="29"/>
      <c r="AA144" s="29"/>
    </row>
    <row r="145" spans="1:27" ht="24.95" hidden="1" customHeight="1" x14ac:dyDescent="0.2">
      <c r="A145" s="210" t="s">
        <v>88</v>
      </c>
      <c r="B145" s="206"/>
      <c r="C145" s="211" t="s">
        <v>86</v>
      </c>
      <c r="D145" s="169">
        <f t="shared" ref="D145:X145" si="41">SUM(D138:D144)</f>
        <v>0</v>
      </c>
      <c r="E145" s="169">
        <f t="shared" si="41"/>
        <v>0</v>
      </c>
      <c r="F145" s="169">
        <f t="shared" si="41"/>
        <v>0</v>
      </c>
      <c r="G145" s="169">
        <f t="shared" si="41"/>
        <v>0</v>
      </c>
      <c r="H145" s="169">
        <f t="shared" si="41"/>
        <v>0</v>
      </c>
      <c r="I145" s="169">
        <f t="shared" si="41"/>
        <v>0</v>
      </c>
      <c r="J145" s="169">
        <f t="shared" si="41"/>
        <v>0</v>
      </c>
      <c r="K145" s="169">
        <f t="shared" si="41"/>
        <v>0</v>
      </c>
      <c r="L145" s="169">
        <f t="shared" si="41"/>
        <v>0</v>
      </c>
      <c r="M145" s="169">
        <f t="shared" si="41"/>
        <v>0</v>
      </c>
      <c r="N145" s="169">
        <f t="shared" si="41"/>
        <v>0</v>
      </c>
      <c r="O145" s="169">
        <f t="shared" si="41"/>
        <v>0</v>
      </c>
      <c r="P145" s="169"/>
      <c r="Q145" s="169">
        <f t="shared" si="41"/>
        <v>0</v>
      </c>
      <c r="R145" s="169">
        <f t="shared" si="41"/>
        <v>0</v>
      </c>
      <c r="S145" s="169">
        <f t="shared" si="41"/>
        <v>0</v>
      </c>
      <c r="T145" s="169">
        <f t="shared" si="41"/>
        <v>0</v>
      </c>
      <c r="U145" s="169">
        <f t="shared" si="41"/>
        <v>0</v>
      </c>
      <c r="V145" s="169"/>
      <c r="W145" s="262">
        <f t="shared" si="41"/>
        <v>0</v>
      </c>
      <c r="X145" s="382">
        <f t="shared" si="41"/>
        <v>0</v>
      </c>
      <c r="Y145" s="29"/>
      <c r="Z145" s="29"/>
      <c r="AA145" s="29"/>
    </row>
    <row r="146" spans="1:27" ht="24.95" hidden="1" customHeight="1" x14ac:dyDescent="0.25">
      <c r="A146" s="40"/>
      <c r="C146" s="440"/>
      <c r="D146" s="440"/>
      <c r="E146" s="440"/>
      <c r="F146" s="440"/>
      <c r="G146" s="169"/>
      <c r="H146" s="169"/>
      <c r="I146" s="169"/>
      <c r="J146" s="169"/>
      <c r="K146" s="169"/>
      <c r="L146" s="169"/>
      <c r="M146" s="169"/>
      <c r="N146" s="169"/>
      <c r="O146" s="169">
        <f>SUM(D146:N146)</f>
        <v>0</v>
      </c>
      <c r="P146" s="169"/>
      <c r="Q146" s="169"/>
      <c r="R146" s="169"/>
      <c r="S146" s="169"/>
      <c r="T146" s="169"/>
      <c r="U146" s="169"/>
      <c r="V146" s="169"/>
      <c r="W146" s="171"/>
      <c r="X146" s="250"/>
      <c r="Y146" s="29"/>
      <c r="Z146" s="29"/>
      <c r="AA146" s="29"/>
    </row>
    <row r="147" spans="1:27" ht="24.95" hidden="1" customHeight="1" x14ac:dyDescent="0.2">
      <c r="A147" s="180" t="s">
        <v>117</v>
      </c>
      <c r="B147" s="227"/>
      <c r="C147" s="41"/>
      <c r="D147" s="169"/>
      <c r="E147" s="169"/>
      <c r="F147" s="169"/>
      <c r="G147" s="169"/>
      <c r="H147" s="169"/>
      <c r="I147" s="169"/>
      <c r="J147" s="169"/>
      <c r="K147" s="169"/>
      <c r="M147" s="169"/>
      <c r="N147" s="169"/>
      <c r="O147" s="169">
        <f>SUM(D147:N147)</f>
        <v>0</v>
      </c>
      <c r="P147" s="169"/>
      <c r="Q147" s="169"/>
      <c r="R147" s="169"/>
      <c r="S147" s="169"/>
      <c r="T147" s="169"/>
      <c r="U147" s="169">
        <f>SUM(Q147:T147)</f>
        <v>0</v>
      </c>
      <c r="V147" s="169"/>
      <c r="W147" s="171">
        <f>O147+U147</f>
        <v>0</v>
      </c>
      <c r="X147" s="250"/>
      <c r="Y147" s="29"/>
      <c r="Z147" s="29"/>
      <c r="AA147" s="29"/>
    </row>
    <row r="148" spans="1:27" ht="24.95" hidden="1" customHeight="1" x14ac:dyDescent="0.2">
      <c r="A148" s="180" t="s">
        <v>117</v>
      </c>
      <c r="B148" s="227"/>
      <c r="C148" s="41"/>
      <c r="D148" s="169"/>
      <c r="E148" s="169"/>
      <c r="F148" s="169"/>
      <c r="G148" s="169"/>
      <c r="H148" s="169"/>
      <c r="I148" s="169"/>
      <c r="J148" s="169"/>
      <c r="K148" s="169"/>
      <c r="L148" s="169"/>
      <c r="M148" s="169"/>
      <c r="N148" s="169"/>
      <c r="O148" s="169">
        <f>SUM(D148:N148)</f>
        <v>0</v>
      </c>
      <c r="P148" s="169"/>
      <c r="Q148" s="169"/>
      <c r="R148" s="169"/>
      <c r="S148" s="169"/>
      <c r="T148" s="169"/>
      <c r="U148" s="169">
        <f>SUM(Q148:T148)</f>
        <v>0</v>
      </c>
      <c r="V148" s="169"/>
      <c r="W148" s="171">
        <f>O148+U148</f>
        <v>0</v>
      </c>
      <c r="X148" s="250"/>
      <c r="Y148" s="29"/>
      <c r="Z148" s="29"/>
      <c r="AA148" s="29"/>
    </row>
    <row r="149" spans="1:27" ht="24.95" hidden="1" customHeight="1" x14ac:dyDescent="0.2">
      <c r="A149" s="40"/>
      <c r="B149" s="123"/>
      <c r="C149" s="41"/>
      <c r="D149" s="169"/>
      <c r="E149" s="169"/>
      <c r="F149" s="169"/>
      <c r="G149" s="169"/>
      <c r="H149" s="169"/>
      <c r="I149" s="169"/>
      <c r="J149" s="169"/>
      <c r="K149" s="169"/>
      <c r="L149" s="169"/>
      <c r="M149" s="169"/>
      <c r="N149" s="169"/>
      <c r="O149" s="169">
        <f>SUM(D149:N149)</f>
        <v>0</v>
      </c>
      <c r="P149" s="169"/>
      <c r="Q149" s="169"/>
      <c r="R149" s="169"/>
      <c r="S149" s="169"/>
      <c r="T149" s="169"/>
      <c r="U149" s="169">
        <f>SUM(Q149:T149)</f>
        <v>0</v>
      </c>
      <c r="V149" s="169"/>
      <c r="W149" s="171">
        <f>O149+U149</f>
        <v>0</v>
      </c>
      <c r="X149" s="250"/>
      <c r="Y149" s="29"/>
      <c r="Z149" s="29"/>
      <c r="AA149" s="29"/>
    </row>
    <row r="150" spans="1:27" ht="24.95" hidden="1" customHeight="1" x14ac:dyDescent="0.2">
      <c r="A150" s="40"/>
      <c r="B150" s="123"/>
      <c r="C150" s="41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71"/>
      <c r="X150" s="246"/>
      <c r="Y150" s="29"/>
      <c r="Z150" s="29"/>
      <c r="AA150" s="29"/>
    </row>
    <row r="151" spans="1:27" ht="24.95" hidden="1" customHeight="1" x14ac:dyDescent="0.2">
      <c r="A151" s="210" t="s">
        <v>89</v>
      </c>
      <c r="B151" s="206"/>
      <c r="C151" s="211" t="s">
        <v>87</v>
      </c>
      <c r="D151" s="169">
        <f t="shared" ref="D151:O151" si="42">SUM(D147:D150)</f>
        <v>0</v>
      </c>
      <c r="E151" s="169">
        <f t="shared" si="42"/>
        <v>0</v>
      </c>
      <c r="F151" s="169">
        <f t="shared" si="42"/>
        <v>0</v>
      </c>
      <c r="G151" s="169">
        <f t="shared" si="42"/>
        <v>0</v>
      </c>
      <c r="H151" s="169">
        <f t="shared" si="42"/>
        <v>0</v>
      </c>
      <c r="I151" s="169">
        <f t="shared" si="42"/>
        <v>0</v>
      </c>
      <c r="J151" s="169">
        <f t="shared" si="42"/>
        <v>0</v>
      </c>
      <c r="K151" s="169">
        <f t="shared" si="42"/>
        <v>0</v>
      </c>
      <c r="L151" s="169">
        <f t="shared" si="42"/>
        <v>0</v>
      </c>
      <c r="M151" s="169">
        <f t="shared" si="42"/>
        <v>0</v>
      </c>
      <c r="N151" s="169">
        <f t="shared" si="42"/>
        <v>0</v>
      </c>
      <c r="O151" s="169">
        <f t="shared" si="42"/>
        <v>0</v>
      </c>
      <c r="P151" s="169"/>
      <c r="Q151" s="169">
        <f>SUM(Q147:Q150)</f>
        <v>0</v>
      </c>
      <c r="R151" s="169">
        <f>SUM(R147:R150)</f>
        <v>0</v>
      </c>
      <c r="S151" s="169">
        <f>SUM(S147:S150)</f>
        <v>0</v>
      </c>
      <c r="T151" s="169">
        <f>SUM(T147:T150)</f>
        <v>0</v>
      </c>
      <c r="U151" s="169">
        <f>SUM(U147:U150)</f>
        <v>0</v>
      </c>
      <c r="V151" s="169"/>
      <c r="W151" s="262">
        <f>SUM(W147:W150)</f>
        <v>0</v>
      </c>
      <c r="X151" s="262">
        <f>SUM(X147:X150)</f>
        <v>0</v>
      </c>
      <c r="Y151" s="29"/>
      <c r="Z151" s="29"/>
      <c r="AA151" s="29"/>
    </row>
    <row r="152" spans="1:27" ht="24.95" hidden="1" customHeight="1" x14ac:dyDescent="0.2">
      <c r="A152" s="40"/>
      <c r="B152" s="31"/>
      <c r="C152" s="41"/>
      <c r="D152" s="169"/>
      <c r="E152" s="169"/>
      <c r="F152" s="169"/>
      <c r="G152" s="169"/>
      <c r="H152" s="169"/>
      <c r="I152" s="169"/>
      <c r="J152" s="169"/>
      <c r="K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71"/>
      <c r="X152" s="250"/>
      <c r="Y152" s="29"/>
      <c r="Z152" s="29"/>
      <c r="AA152" s="29"/>
    </row>
    <row r="153" spans="1:27" ht="24.95" hidden="1" customHeight="1" thickBot="1" x14ac:dyDescent="0.25">
      <c r="A153" s="40"/>
      <c r="B153" s="32"/>
      <c r="C153" s="34"/>
      <c r="D153" s="169"/>
      <c r="E153" s="169"/>
      <c r="F153" s="169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169"/>
      <c r="T153" s="169"/>
      <c r="U153" s="169"/>
      <c r="V153" s="169"/>
      <c r="W153" s="171"/>
      <c r="X153" s="250"/>
      <c r="Y153" s="29"/>
      <c r="Z153" s="29"/>
      <c r="AA153" s="29"/>
    </row>
    <row r="154" spans="1:27" ht="24.95" hidden="1" customHeight="1" thickTop="1" thickBot="1" x14ac:dyDescent="0.25">
      <c r="A154" s="46"/>
      <c r="B154" s="261" t="s">
        <v>185</v>
      </c>
      <c r="C154" s="44" t="s">
        <v>90</v>
      </c>
      <c r="D154" s="173">
        <f t="shared" ref="D154:O154" si="43">D145+D151</f>
        <v>0</v>
      </c>
      <c r="E154" s="173">
        <f t="shared" si="43"/>
        <v>0</v>
      </c>
      <c r="F154" s="173">
        <f t="shared" si="43"/>
        <v>0</v>
      </c>
      <c r="G154" s="173">
        <f t="shared" si="43"/>
        <v>0</v>
      </c>
      <c r="H154" s="173">
        <f t="shared" si="43"/>
        <v>0</v>
      </c>
      <c r="I154" s="173">
        <f t="shared" si="43"/>
        <v>0</v>
      </c>
      <c r="J154" s="173">
        <f t="shared" si="43"/>
        <v>0</v>
      </c>
      <c r="K154" s="173">
        <f t="shared" si="43"/>
        <v>0</v>
      </c>
      <c r="L154" s="173">
        <f t="shared" si="43"/>
        <v>0</v>
      </c>
      <c r="M154" s="173">
        <f t="shared" si="43"/>
        <v>0</v>
      </c>
      <c r="N154" s="173">
        <f t="shared" si="43"/>
        <v>0</v>
      </c>
      <c r="O154" s="173">
        <f t="shared" si="43"/>
        <v>0</v>
      </c>
      <c r="P154" s="173"/>
      <c r="Q154" s="173">
        <f>Q145+Q151</f>
        <v>0</v>
      </c>
      <c r="R154" s="173">
        <f>R145+R151</f>
        <v>0</v>
      </c>
      <c r="S154" s="173">
        <f>S145+S151</f>
        <v>0</v>
      </c>
      <c r="T154" s="173">
        <f>T145+T151</f>
        <v>0</v>
      </c>
      <c r="U154" s="173">
        <f>U145+U151</f>
        <v>0</v>
      </c>
      <c r="V154" s="173"/>
      <c r="W154" s="174">
        <f>W145+W151</f>
        <v>0</v>
      </c>
      <c r="X154" s="174">
        <f>X145+X151</f>
        <v>0</v>
      </c>
      <c r="Y154" s="29"/>
      <c r="Z154" s="29"/>
      <c r="AA154" s="29"/>
    </row>
    <row r="155" spans="1:27" ht="24.95" hidden="1" customHeight="1" thickTop="1" thickBot="1" x14ac:dyDescent="0.25">
      <c r="A155" s="42"/>
      <c r="B155" s="43" t="s">
        <v>186</v>
      </c>
      <c r="C155" s="44" t="s">
        <v>154</v>
      </c>
      <c r="D155" s="204">
        <f t="shared" ref="D155:O155" si="44">D136+D154</f>
        <v>0</v>
      </c>
      <c r="E155" s="204">
        <f t="shared" si="44"/>
        <v>0</v>
      </c>
      <c r="F155" s="204">
        <f t="shared" si="44"/>
        <v>10417.865000000002</v>
      </c>
      <c r="G155" s="204">
        <f t="shared" si="44"/>
        <v>4390</v>
      </c>
      <c r="H155" s="204">
        <f t="shared" si="44"/>
        <v>10000</v>
      </c>
      <c r="I155" s="204">
        <f t="shared" si="44"/>
        <v>0</v>
      </c>
      <c r="J155" s="204">
        <f t="shared" si="44"/>
        <v>0</v>
      </c>
      <c r="K155" s="204">
        <f t="shared" si="44"/>
        <v>0</v>
      </c>
      <c r="L155" s="204">
        <f t="shared" si="44"/>
        <v>2032</v>
      </c>
      <c r="M155" s="204">
        <f t="shared" si="44"/>
        <v>1176</v>
      </c>
      <c r="N155" s="204">
        <f t="shared" si="44"/>
        <v>0</v>
      </c>
      <c r="O155" s="204">
        <f t="shared" si="44"/>
        <v>28015.865000000002</v>
      </c>
      <c r="P155" s="204"/>
      <c r="Q155" s="204">
        <f>Q136+Q154</f>
        <v>0</v>
      </c>
      <c r="R155" s="204">
        <f>R136+R154</f>
        <v>326995.53700000001</v>
      </c>
      <c r="S155" s="204">
        <f>S136+S154</f>
        <v>0</v>
      </c>
      <c r="T155" s="204">
        <f>T136+T154</f>
        <v>0</v>
      </c>
      <c r="U155" s="204">
        <f>U136+U154</f>
        <v>326995.53700000001</v>
      </c>
      <c r="V155" s="204"/>
      <c r="W155" s="174">
        <f>O155+U155</f>
        <v>355011.402</v>
      </c>
      <c r="X155" s="174">
        <f>X135+X154</f>
        <v>2722781.5549999997</v>
      </c>
      <c r="Y155" s="29"/>
      <c r="Z155" s="29"/>
      <c r="AA155" s="29"/>
    </row>
    <row r="156" spans="1:27" ht="24.95" hidden="1" customHeight="1" thickTop="1" x14ac:dyDescent="0.2">
      <c r="A156" s="207"/>
      <c r="B156" s="222"/>
      <c r="C156" s="223"/>
      <c r="D156" s="259"/>
      <c r="E156" s="259"/>
      <c r="F156" s="259"/>
      <c r="G156" s="259"/>
      <c r="H156" s="259"/>
      <c r="I156" s="259"/>
      <c r="J156" s="259"/>
      <c r="K156" s="259"/>
      <c r="L156" s="259"/>
      <c r="M156" s="259"/>
      <c r="N156" s="259"/>
      <c r="O156" s="259">
        <f t="shared" ref="O156:O162" si="45">SUM(D156:N156)</f>
        <v>0</v>
      </c>
      <c r="P156" s="259"/>
      <c r="Q156" s="259"/>
      <c r="R156" s="259"/>
      <c r="S156" s="259"/>
      <c r="T156" s="259"/>
      <c r="U156" s="259">
        <f t="shared" ref="U156:U162" si="46">SUM(Q156:T156)</f>
        <v>0</v>
      </c>
      <c r="V156" s="260"/>
      <c r="W156" s="336">
        <f t="shared" ref="W156:W163" si="47">O156+U156</f>
        <v>0</v>
      </c>
      <c r="X156" s="337"/>
      <c r="Y156" s="29"/>
      <c r="Z156" s="29"/>
      <c r="AA156" s="29"/>
    </row>
    <row r="157" spans="1:27" ht="24.95" hidden="1" customHeight="1" x14ac:dyDescent="0.2">
      <c r="A157" s="207"/>
      <c r="B157" s="222"/>
      <c r="C157" s="223"/>
      <c r="D157" s="259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>
        <f t="shared" si="45"/>
        <v>0</v>
      </c>
      <c r="P157" s="259"/>
      <c r="Q157" s="259"/>
      <c r="R157" s="259"/>
      <c r="S157" s="259"/>
      <c r="T157" s="259"/>
      <c r="U157" s="259">
        <f t="shared" si="46"/>
        <v>0</v>
      </c>
      <c r="V157" s="260"/>
      <c r="W157" s="336">
        <f t="shared" si="47"/>
        <v>0</v>
      </c>
      <c r="X157" s="337"/>
      <c r="Y157" s="29"/>
      <c r="Z157" s="29"/>
      <c r="AA157" s="29"/>
    </row>
    <row r="158" spans="1:27" ht="24.95" hidden="1" customHeight="1" x14ac:dyDescent="0.2">
      <c r="A158" s="207"/>
      <c r="B158" s="222"/>
      <c r="C158" s="223"/>
      <c r="D158" s="259"/>
      <c r="E158" s="259"/>
      <c r="F158" s="259"/>
      <c r="G158" s="259"/>
      <c r="H158" s="259"/>
      <c r="I158" s="259"/>
      <c r="J158" s="259"/>
      <c r="K158" s="259"/>
      <c r="L158" s="259"/>
      <c r="M158" s="259"/>
      <c r="N158" s="259"/>
      <c r="O158" s="259">
        <f t="shared" si="45"/>
        <v>0</v>
      </c>
      <c r="P158" s="259"/>
      <c r="Q158" s="259"/>
      <c r="R158" s="259"/>
      <c r="S158" s="259"/>
      <c r="T158" s="259"/>
      <c r="U158" s="259">
        <f t="shared" si="46"/>
        <v>0</v>
      </c>
      <c r="V158" s="260"/>
      <c r="W158" s="336">
        <f t="shared" si="47"/>
        <v>0</v>
      </c>
      <c r="X158" s="337"/>
      <c r="Y158" s="29"/>
      <c r="Z158" s="29"/>
      <c r="AA158" s="29"/>
    </row>
    <row r="159" spans="1:27" ht="24.95" hidden="1" customHeight="1" x14ac:dyDescent="0.2">
      <c r="A159" s="40"/>
      <c r="B159" s="48" t="s">
        <v>84</v>
      </c>
      <c r="C159" s="49" t="s">
        <v>22</v>
      </c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>
        <f t="shared" si="45"/>
        <v>0</v>
      </c>
      <c r="P159" s="155"/>
      <c r="Q159" s="155"/>
      <c r="R159" s="155"/>
      <c r="S159" s="155"/>
      <c r="T159" s="155"/>
      <c r="U159" s="155">
        <f t="shared" si="46"/>
        <v>0</v>
      </c>
      <c r="V159" s="161"/>
      <c r="W159" s="171">
        <f t="shared" si="47"/>
        <v>0</v>
      </c>
      <c r="X159" s="276"/>
    </row>
    <row r="160" spans="1:27" ht="24.95" hidden="1" customHeight="1" x14ac:dyDescent="0.2">
      <c r="A160" s="40"/>
      <c r="B160" s="48" t="s">
        <v>24</v>
      </c>
      <c r="C160" s="49" t="s">
        <v>22</v>
      </c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>
        <f t="shared" si="45"/>
        <v>0</v>
      </c>
      <c r="P160" s="155"/>
      <c r="Q160" s="155"/>
      <c r="R160" s="155"/>
      <c r="S160" s="155"/>
      <c r="T160" s="155"/>
      <c r="U160" s="155">
        <f t="shared" si="46"/>
        <v>0</v>
      </c>
      <c r="V160" s="161"/>
      <c r="W160" s="171">
        <f t="shared" si="47"/>
        <v>0</v>
      </c>
      <c r="X160" s="276"/>
    </row>
    <row r="161" spans="1:27" ht="24.95" hidden="1" customHeight="1" x14ac:dyDescent="0.2">
      <c r="A161" s="40"/>
      <c r="B161" s="48" t="s">
        <v>73</v>
      </c>
      <c r="C161" s="49" t="s">
        <v>22</v>
      </c>
      <c r="D161" s="155"/>
      <c r="E161" s="155"/>
      <c r="F161" s="155"/>
      <c r="G161" s="155"/>
      <c r="H161" s="155"/>
      <c r="I161" s="155"/>
      <c r="J161" s="155"/>
      <c r="K161" s="155"/>
      <c r="L161" s="155"/>
      <c r="M161" s="155"/>
      <c r="N161" s="155"/>
      <c r="O161" s="155">
        <f t="shared" si="45"/>
        <v>0</v>
      </c>
      <c r="P161" s="155"/>
      <c r="Q161" s="155"/>
      <c r="R161" s="155"/>
      <c r="S161" s="155"/>
      <c r="T161" s="155"/>
      <c r="U161" s="155">
        <f t="shared" si="46"/>
        <v>0</v>
      </c>
      <c r="V161" s="161"/>
      <c r="W161" s="171">
        <f t="shared" si="47"/>
        <v>0</v>
      </c>
      <c r="X161" s="276"/>
    </row>
    <row r="162" spans="1:27" ht="24.95" hidden="1" customHeight="1" x14ac:dyDescent="0.2">
      <c r="A162" s="40"/>
      <c r="B162" s="48"/>
      <c r="C162" s="41" t="s">
        <v>68</v>
      </c>
      <c r="D162" s="155"/>
      <c r="E162" s="155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>
        <f t="shared" si="45"/>
        <v>0</v>
      </c>
      <c r="P162" s="155"/>
      <c r="Q162" s="155"/>
      <c r="R162" s="155"/>
      <c r="S162" s="155"/>
      <c r="T162" s="155"/>
      <c r="U162" s="155">
        <f t="shared" si="46"/>
        <v>0</v>
      </c>
      <c r="V162" s="161"/>
      <c r="W162" s="171">
        <f t="shared" si="47"/>
        <v>0</v>
      </c>
      <c r="X162" s="276"/>
    </row>
    <row r="163" spans="1:27" ht="24.95" hidden="1" customHeight="1" thickBot="1" x14ac:dyDescent="0.25">
      <c r="A163" s="40"/>
      <c r="B163" s="48"/>
      <c r="C163" s="49"/>
      <c r="D163" s="155"/>
      <c r="E163" s="155"/>
      <c r="F163" s="155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61"/>
      <c r="W163" s="171">
        <f t="shared" si="47"/>
        <v>0</v>
      </c>
      <c r="X163" s="276"/>
    </row>
    <row r="164" spans="1:27" ht="24.95" hidden="1" customHeight="1" thickTop="1" thickBot="1" x14ac:dyDescent="0.25">
      <c r="A164" s="47"/>
      <c r="B164" s="43"/>
      <c r="C164" s="44" t="s">
        <v>30</v>
      </c>
      <c r="D164" s="163">
        <f t="shared" ref="D164:M164" si="48">SUM(D159:D163)</f>
        <v>0</v>
      </c>
      <c r="E164" s="163">
        <f t="shared" si="48"/>
        <v>0</v>
      </c>
      <c r="F164" s="163">
        <f t="shared" si="48"/>
        <v>0</v>
      </c>
      <c r="G164" s="163">
        <f t="shared" si="48"/>
        <v>0</v>
      </c>
      <c r="H164" s="163">
        <f t="shared" si="48"/>
        <v>0</v>
      </c>
      <c r="I164" s="163">
        <f t="shared" si="48"/>
        <v>0</v>
      </c>
      <c r="J164" s="163">
        <f t="shared" si="48"/>
        <v>0</v>
      </c>
      <c r="K164" s="163">
        <f t="shared" si="48"/>
        <v>0</v>
      </c>
      <c r="L164" s="163">
        <f t="shared" si="48"/>
        <v>0</v>
      </c>
      <c r="M164" s="163">
        <f t="shared" si="48"/>
        <v>0</v>
      </c>
      <c r="N164" s="163">
        <f t="shared" ref="N164:U164" si="49">SUM(N159:N163)</f>
        <v>0</v>
      </c>
      <c r="O164" s="163">
        <f t="shared" si="49"/>
        <v>0</v>
      </c>
      <c r="P164" s="163"/>
      <c r="Q164" s="163">
        <f>SUM(Q159:Q163)</f>
        <v>0</v>
      </c>
      <c r="R164" s="163">
        <f>SUM(R159:R163)</f>
        <v>0</v>
      </c>
      <c r="S164" s="163">
        <f t="shared" si="49"/>
        <v>0</v>
      </c>
      <c r="T164" s="163">
        <f t="shared" si="49"/>
        <v>0</v>
      </c>
      <c r="U164" s="163">
        <f t="shared" si="49"/>
        <v>0</v>
      </c>
      <c r="V164" s="273"/>
      <c r="W164" s="175">
        <f>O164+U164</f>
        <v>0</v>
      </c>
      <c r="X164" s="279">
        <f>SUM(X159:X163)</f>
        <v>0</v>
      </c>
    </row>
    <row r="165" spans="1:27" ht="9.9499999999999993" hidden="1" customHeight="1" thickTop="1" x14ac:dyDescent="0.2">
      <c r="A165" s="186"/>
      <c r="B165" s="187"/>
      <c r="C165" s="188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90"/>
      <c r="W165" s="269"/>
      <c r="X165" s="280"/>
    </row>
    <row r="166" spans="1:27" ht="24.95" hidden="1" customHeight="1" x14ac:dyDescent="0.2">
      <c r="A166" s="191"/>
      <c r="B166" s="192"/>
      <c r="C166" s="200" t="s">
        <v>68</v>
      </c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>
        <f>SUM(D166:N166)</f>
        <v>0</v>
      </c>
      <c r="P166" s="193"/>
      <c r="Q166" s="193"/>
      <c r="R166" s="193"/>
      <c r="S166" s="193"/>
      <c r="T166" s="193"/>
      <c r="U166" s="193">
        <f>SUM(Q166:T166)</f>
        <v>0</v>
      </c>
      <c r="V166" s="194"/>
      <c r="W166" s="270">
        <f>O166+U166</f>
        <v>0</v>
      </c>
      <c r="X166" s="281"/>
    </row>
    <row r="167" spans="1:27" ht="9.9499999999999993" hidden="1" customHeight="1" thickBot="1" x14ac:dyDescent="0.25">
      <c r="A167" s="195"/>
      <c r="B167" s="196"/>
      <c r="C167" s="197"/>
      <c r="D167" s="198"/>
      <c r="E167" s="198"/>
      <c r="F167" s="198"/>
      <c r="G167" s="198"/>
      <c r="H167" s="198"/>
      <c r="I167" s="198"/>
      <c r="J167" s="198"/>
      <c r="K167" s="198"/>
      <c r="L167" s="198"/>
      <c r="M167" s="198"/>
      <c r="N167" s="198"/>
      <c r="O167" s="198"/>
      <c r="P167" s="198"/>
      <c r="Q167" s="198"/>
      <c r="R167" s="198"/>
      <c r="S167" s="198"/>
      <c r="T167" s="198"/>
      <c r="U167" s="198"/>
      <c r="V167" s="199"/>
      <c r="W167" s="271"/>
      <c r="X167" s="282"/>
    </row>
    <row r="168" spans="1:27" ht="24.95" hidden="1" customHeight="1" thickTop="1" thickBot="1" x14ac:dyDescent="0.25">
      <c r="A168" s="92"/>
      <c r="B168" s="92" t="s">
        <v>98</v>
      </c>
      <c r="C168" s="44" t="s">
        <v>154</v>
      </c>
      <c r="D168" s="204">
        <f t="shared" ref="D168:O168" si="50">D135+D164</f>
        <v>0</v>
      </c>
      <c r="E168" s="204">
        <f t="shared" si="50"/>
        <v>0</v>
      </c>
      <c r="F168" s="204">
        <f t="shared" si="50"/>
        <v>10417.865000000002</v>
      </c>
      <c r="G168" s="204">
        <f t="shared" si="50"/>
        <v>4390</v>
      </c>
      <c r="H168" s="204">
        <f t="shared" si="50"/>
        <v>10000</v>
      </c>
      <c r="I168" s="204">
        <f t="shared" si="50"/>
        <v>0</v>
      </c>
      <c r="J168" s="204">
        <f t="shared" si="50"/>
        <v>0</v>
      </c>
      <c r="K168" s="204">
        <f t="shared" si="50"/>
        <v>0</v>
      </c>
      <c r="L168" s="204">
        <f t="shared" si="50"/>
        <v>2032</v>
      </c>
      <c r="M168" s="204">
        <f t="shared" si="50"/>
        <v>1176</v>
      </c>
      <c r="N168" s="204">
        <f t="shared" si="50"/>
        <v>0</v>
      </c>
      <c r="O168" s="204">
        <f t="shared" si="50"/>
        <v>28015.865000000002</v>
      </c>
      <c r="P168" s="204"/>
      <c r="Q168" s="204">
        <f>Q135+Q164</f>
        <v>0</v>
      </c>
      <c r="R168" s="204">
        <f>R135+R164</f>
        <v>326995.53700000001</v>
      </c>
      <c r="S168" s="204">
        <f>S135+S164</f>
        <v>0</v>
      </c>
      <c r="T168" s="204">
        <f>T135+T164</f>
        <v>0</v>
      </c>
      <c r="U168" s="204">
        <f>U135+U164</f>
        <v>326995.53700000001</v>
      </c>
      <c r="V168" s="274"/>
      <c r="W168" s="174">
        <f>W135+W164+W166</f>
        <v>355011.402</v>
      </c>
      <c r="X168" s="283">
        <f>X155+X164+X166</f>
        <v>2722781.5549999997</v>
      </c>
      <c r="AA168" s="29"/>
    </row>
    <row r="169" spans="1:27" ht="24.95" hidden="1" customHeight="1" thickTop="1" x14ac:dyDescent="0.2">
      <c r="A169" s="182"/>
      <c r="B169" s="183"/>
      <c r="C169" s="132" t="s">
        <v>18</v>
      </c>
      <c r="D169" s="25">
        <f t="shared" ref="D169:L169" si="51">D168</f>
        <v>0</v>
      </c>
      <c r="E169" s="25">
        <f t="shared" si="51"/>
        <v>0</v>
      </c>
      <c r="F169" s="25">
        <f t="shared" si="51"/>
        <v>10417.865000000002</v>
      </c>
      <c r="G169" s="25">
        <f t="shared" si="51"/>
        <v>4390</v>
      </c>
      <c r="H169" s="25">
        <f t="shared" si="51"/>
        <v>10000</v>
      </c>
      <c r="I169" s="25">
        <f t="shared" si="51"/>
        <v>0</v>
      </c>
      <c r="J169" s="25">
        <f t="shared" si="51"/>
        <v>0</v>
      </c>
      <c r="K169" s="25">
        <f t="shared" si="51"/>
        <v>0</v>
      </c>
      <c r="L169" s="25">
        <f t="shared" si="51"/>
        <v>2032</v>
      </c>
      <c r="M169" s="25">
        <f t="shared" ref="M169:U169" si="52">M168</f>
        <v>1176</v>
      </c>
      <c r="N169" s="25">
        <f t="shared" si="52"/>
        <v>0</v>
      </c>
      <c r="O169" s="25">
        <f t="shared" si="52"/>
        <v>28015.865000000002</v>
      </c>
      <c r="P169" s="25"/>
      <c r="Q169" s="25">
        <f>Q168</f>
        <v>0</v>
      </c>
      <c r="R169" s="25">
        <f>R168</f>
        <v>326995.53700000001</v>
      </c>
      <c r="S169" s="25">
        <f t="shared" si="52"/>
        <v>0</v>
      </c>
      <c r="T169" s="25">
        <f t="shared" si="52"/>
        <v>0</v>
      </c>
      <c r="U169" s="25">
        <f t="shared" si="52"/>
        <v>326995.53700000001</v>
      </c>
      <c r="V169" s="25"/>
      <c r="W169" s="184">
        <f>O169+U169</f>
        <v>355011.402</v>
      </c>
      <c r="X169" s="284">
        <f>X168</f>
        <v>2722781.5549999997</v>
      </c>
    </row>
    <row r="170" spans="1:27" ht="20.100000000000001" hidden="1" customHeight="1" x14ac:dyDescent="0.2">
      <c r="A170" s="180">
        <v>1</v>
      </c>
      <c r="B170" s="396"/>
      <c r="C170" s="286"/>
      <c r="D170" s="287"/>
      <c r="E170" s="169"/>
      <c r="F170" s="169"/>
      <c r="G170" s="169"/>
      <c r="H170" s="177"/>
      <c r="I170" s="169"/>
      <c r="J170" s="169"/>
      <c r="K170" s="169"/>
      <c r="L170" s="169"/>
      <c r="M170" s="169"/>
      <c r="N170" s="169"/>
      <c r="O170" s="169">
        <f t="shared" ref="O170:O187" si="53">SUM(D170:N170)</f>
        <v>0</v>
      </c>
      <c r="P170" s="169"/>
      <c r="Q170" s="169"/>
      <c r="R170" s="169"/>
      <c r="S170" s="169"/>
      <c r="T170" s="169"/>
      <c r="U170" s="169">
        <f t="shared" ref="U170:U187" si="54">SUM(Q170:T170)</f>
        <v>0</v>
      </c>
      <c r="V170" s="170"/>
      <c r="W170" s="171">
        <f t="shared" ref="W170:W187" si="55">O170+U170</f>
        <v>0</v>
      </c>
      <c r="X170" s="176"/>
    </row>
    <row r="171" spans="1:27" ht="20.100000000000001" hidden="1" customHeight="1" x14ac:dyDescent="0.2">
      <c r="A171" s="392">
        <v>2</v>
      </c>
      <c r="B171" s="393"/>
      <c r="C171" s="39"/>
      <c r="D171" s="169"/>
      <c r="E171" s="169"/>
      <c r="F171" s="169"/>
      <c r="G171" s="169"/>
      <c r="H171" s="177"/>
      <c r="I171" s="169"/>
      <c r="J171" s="169"/>
      <c r="K171" s="169"/>
      <c r="L171" s="169"/>
      <c r="M171" s="169"/>
      <c r="N171" s="169"/>
      <c r="O171" s="169">
        <f t="shared" si="53"/>
        <v>0</v>
      </c>
      <c r="P171" s="169"/>
      <c r="Q171" s="169"/>
      <c r="R171" s="169"/>
      <c r="S171" s="169"/>
      <c r="T171" s="169"/>
      <c r="U171" s="169">
        <f t="shared" si="54"/>
        <v>0</v>
      </c>
      <c r="V171" s="170"/>
      <c r="W171" s="171">
        <f t="shared" si="55"/>
        <v>0</v>
      </c>
      <c r="X171" s="176"/>
    </row>
    <row r="172" spans="1:27" ht="20.100000000000001" hidden="1" customHeight="1" x14ac:dyDescent="0.2">
      <c r="A172" s="180">
        <v>3</v>
      </c>
      <c r="B172" s="397"/>
      <c r="C172" s="33"/>
      <c r="D172" s="169"/>
      <c r="E172" s="169"/>
      <c r="F172" s="169"/>
      <c r="G172" s="169"/>
      <c r="H172" s="177"/>
      <c r="I172" s="169"/>
      <c r="J172" s="169"/>
      <c r="K172" s="169"/>
      <c r="L172" s="169"/>
      <c r="M172" s="169"/>
      <c r="N172" s="169"/>
      <c r="O172" s="169">
        <f t="shared" si="53"/>
        <v>0</v>
      </c>
      <c r="P172" s="169"/>
      <c r="Q172" s="169"/>
      <c r="R172" s="169"/>
      <c r="S172" s="169"/>
      <c r="T172" s="169"/>
      <c r="U172" s="169">
        <f t="shared" si="54"/>
        <v>0</v>
      </c>
      <c r="V172" s="170"/>
      <c r="W172" s="171">
        <f t="shared" si="55"/>
        <v>0</v>
      </c>
      <c r="X172" s="176"/>
    </row>
    <row r="173" spans="1:27" ht="20.100000000000001" hidden="1" customHeight="1" x14ac:dyDescent="0.2">
      <c r="A173" s="392">
        <v>4</v>
      </c>
      <c r="B173" s="50"/>
      <c r="C173" s="33"/>
      <c r="D173" s="169"/>
      <c r="E173" s="169"/>
      <c r="F173" s="169"/>
      <c r="G173" s="169"/>
      <c r="H173" s="177"/>
      <c r="I173" s="169"/>
      <c r="J173" s="169"/>
      <c r="K173" s="169"/>
      <c r="L173" s="169"/>
      <c r="M173" s="169"/>
      <c r="N173" s="169"/>
      <c r="O173" s="169">
        <f t="shared" si="53"/>
        <v>0</v>
      </c>
      <c r="P173" s="169"/>
      <c r="Q173" s="169"/>
      <c r="R173" s="169"/>
      <c r="S173" s="169"/>
      <c r="T173" s="169"/>
      <c r="U173" s="169">
        <f t="shared" si="54"/>
        <v>0</v>
      </c>
      <c r="V173" s="170"/>
      <c r="W173" s="171">
        <f t="shared" si="55"/>
        <v>0</v>
      </c>
      <c r="X173" s="176"/>
    </row>
    <row r="174" spans="1:27" ht="20.100000000000001" hidden="1" customHeight="1" x14ac:dyDescent="0.2">
      <c r="A174" s="180">
        <v>5</v>
      </c>
      <c r="B174" s="50"/>
      <c r="C174" s="33"/>
      <c r="D174" s="169"/>
      <c r="E174" s="169"/>
      <c r="F174" s="169"/>
      <c r="G174" s="169"/>
      <c r="H174" s="177"/>
      <c r="I174" s="169"/>
      <c r="J174" s="169"/>
      <c r="K174" s="169"/>
      <c r="L174" s="169"/>
      <c r="M174" s="169"/>
      <c r="N174" s="169"/>
      <c r="O174" s="169">
        <f t="shared" si="53"/>
        <v>0</v>
      </c>
      <c r="P174" s="169"/>
      <c r="Q174" s="169"/>
      <c r="R174" s="169"/>
      <c r="S174" s="169"/>
      <c r="T174" s="169"/>
      <c r="U174" s="169">
        <f t="shared" si="54"/>
        <v>0</v>
      </c>
      <c r="V174" s="170"/>
      <c r="W174" s="171">
        <f t="shared" si="55"/>
        <v>0</v>
      </c>
      <c r="X174" s="176"/>
    </row>
    <row r="175" spans="1:27" ht="20.100000000000001" hidden="1" customHeight="1" x14ac:dyDescent="0.2">
      <c r="A175" s="392">
        <v>6</v>
      </c>
      <c r="B175" s="288"/>
      <c r="C175" s="444"/>
      <c r="D175" s="445"/>
      <c r="E175" s="169"/>
      <c r="F175" s="169"/>
      <c r="G175" s="169"/>
      <c r="H175" s="177"/>
      <c r="I175" s="169"/>
      <c r="J175" s="169"/>
      <c r="K175" s="169"/>
      <c r="L175" s="169"/>
      <c r="M175" s="169"/>
      <c r="N175" s="169"/>
      <c r="O175" s="169">
        <f t="shared" si="53"/>
        <v>0</v>
      </c>
      <c r="P175" s="169"/>
      <c r="Q175" s="169"/>
      <c r="R175" s="169"/>
      <c r="S175" s="169"/>
      <c r="T175" s="169"/>
      <c r="U175" s="169">
        <f t="shared" si="54"/>
        <v>0</v>
      </c>
      <c r="V175" s="170"/>
      <c r="W175" s="171">
        <f t="shared" si="55"/>
        <v>0</v>
      </c>
      <c r="X175" s="176"/>
    </row>
    <row r="176" spans="1:27" ht="20.100000000000001" hidden="1" customHeight="1" x14ac:dyDescent="0.2">
      <c r="A176" s="180">
        <v>7</v>
      </c>
      <c r="B176" s="288"/>
      <c r="C176" s="444"/>
      <c r="D176" s="445"/>
      <c r="E176" s="169"/>
      <c r="F176" s="169"/>
      <c r="G176" s="169"/>
      <c r="H176" s="177"/>
      <c r="I176" s="169"/>
      <c r="J176" s="169"/>
      <c r="K176" s="169"/>
      <c r="L176" s="169"/>
      <c r="M176" s="169"/>
      <c r="N176" s="169"/>
      <c r="O176" s="169">
        <f t="shared" si="53"/>
        <v>0</v>
      </c>
      <c r="P176" s="169"/>
      <c r="Q176" s="169"/>
      <c r="R176" s="169"/>
      <c r="S176" s="169"/>
      <c r="T176" s="169"/>
      <c r="U176" s="169">
        <f t="shared" si="54"/>
        <v>0</v>
      </c>
      <c r="V176" s="170"/>
      <c r="W176" s="171">
        <f t="shared" si="55"/>
        <v>0</v>
      </c>
      <c r="X176" s="176"/>
    </row>
    <row r="177" spans="1:24" ht="20.100000000000001" hidden="1" customHeight="1" x14ac:dyDescent="0.2">
      <c r="A177" s="392">
        <v>8</v>
      </c>
      <c r="B177" s="288"/>
      <c r="C177" s="444"/>
      <c r="D177" s="445"/>
      <c r="E177" s="169"/>
      <c r="F177" s="169"/>
      <c r="G177" s="169"/>
      <c r="H177" s="177"/>
      <c r="I177" s="169"/>
      <c r="J177" s="169"/>
      <c r="K177" s="169"/>
      <c r="L177" s="169"/>
      <c r="M177" s="169"/>
      <c r="N177" s="169"/>
      <c r="O177" s="169">
        <f t="shared" si="53"/>
        <v>0</v>
      </c>
      <c r="P177" s="169"/>
      <c r="Q177" s="169"/>
      <c r="R177" s="169"/>
      <c r="S177" s="169"/>
      <c r="T177" s="169"/>
      <c r="U177" s="169">
        <f t="shared" si="54"/>
        <v>0</v>
      </c>
      <c r="V177" s="170"/>
      <c r="W177" s="171">
        <f t="shared" si="55"/>
        <v>0</v>
      </c>
      <c r="X177" s="176"/>
    </row>
    <row r="178" spans="1:24" ht="20.100000000000001" hidden="1" customHeight="1" x14ac:dyDescent="0.2">
      <c r="A178" s="180">
        <v>9</v>
      </c>
      <c r="B178" s="288"/>
      <c r="C178" s="444"/>
      <c r="D178" s="445"/>
      <c r="E178" s="169"/>
      <c r="F178" s="169"/>
      <c r="G178" s="169"/>
      <c r="H178" s="177"/>
      <c r="I178" s="169"/>
      <c r="J178" s="169"/>
      <c r="K178" s="169"/>
      <c r="L178" s="169"/>
      <c r="M178" s="169"/>
      <c r="N178" s="169"/>
      <c r="O178" s="169">
        <f t="shared" si="53"/>
        <v>0</v>
      </c>
      <c r="P178" s="169"/>
      <c r="Q178" s="169"/>
      <c r="R178" s="169"/>
      <c r="S178" s="169"/>
      <c r="T178" s="169"/>
      <c r="U178" s="169">
        <f t="shared" si="54"/>
        <v>0</v>
      </c>
      <c r="V178" s="170"/>
      <c r="W178" s="171">
        <f t="shared" si="55"/>
        <v>0</v>
      </c>
      <c r="X178" s="176"/>
    </row>
    <row r="179" spans="1:24" ht="20.100000000000001" hidden="1" customHeight="1" x14ac:dyDescent="0.2">
      <c r="A179" s="392">
        <v>10</v>
      </c>
      <c r="B179" s="288"/>
      <c r="C179" s="444"/>
      <c r="D179" s="445"/>
      <c r="E179" s="169"/>
      <c r="F179" s="169"/>
      <c r="G179" s="169"/>
      <c r="H179" s="177"/>
      <c r="I179" s="169"/>
      <c r="J179" s="169"/>
      <c r="K179" s="169"/>
      <c r="L179" s="169"/>
      <c r="M179" s="169"/>
      <c r="N179" s="169"/>
      <c r="O179" s="169">
        <f t="shared" si="53"/>
        <v>0</v>
      </c>
      <c r="P179" s="169"/>
      <c r="Q179" s="169"/>
      <c r="R179" s="169"/>
      <c r="S179" s="169"/>
      <c r="T179" s="169"/>
      <c r="U179" s="169">
        <f t="shared" si="54"/>
        <v>0</v>
      </c>
      <c r="V179" s="170"/>
      <c r="W179" s="171">
        <f t="shared" si="55"/>
        <v>0</v>
      </c>
      <c r="X179" s="176"/>
    </row>
    <row r="180" spans="1:24" ht="20.100000000000001" hidden="1" customHeight="1" x14ac:dyDescent="0.2">
      <c r="A180" s="180"/>
      <c r="B180" s="288"/>
      <c r="C180" s="33"/>
      <c r="D180" s="169"/>
      <c r="E180" s="169"/>
      <c r="F180" s="169"/>
      <c r="G180" s="169"/>
      <c r="H180" s="177"/>
      <c r="I180" s="169"/>
      <c r="J180" s="169"/>
      <c r="K180" s="169"/>
      <c r="L180" s="169"/>
      <c r="M180" s="169"/>
      <c r="N180" s="169"/>
      <c r="O180" s="169">
        <f t="shared" si="53"/>
        <v>0</v>
      </c>
      <c r="P180" s="169"/>
      <c r="Q180" s="169"/>
      <c r="R180" s="169"/>
      <c r="S180" s="169"/>
      <c r="T180" s="169"/>
      <c r="U180" s="169">
        <f t="shared" si="54"/>
        <v>0</v>
      </c>
      <c r="V180" s="170"/>
      <c r="W180" s="171">
        <f t="shared" si="55"/>
        <v>0</v>
      </c>
      <c r="X180" s="176"/>
    </row>
    <row r="181" spans="1:24" ht="20.100000000000001" hidden="1" customHeight="1" x14ac:dyDescent="0.2">
      <c r="A181" s="180"/>
      <c r="B181" s="288"/>
      <c r="C181" s="33"/>
      <c r="D181" s="169"/>
      <c r="E181" s="169"/>
      <c r="F181" s="169"/>
      <c r="G181" s="169"/>
      <c r="H181" s="177"/>
      <c r="I181" s="169"/>
      <c r="J181" s="169"/>
      <c r="K181" s="169"/>
      <c r="L181" s="169"/>
      <c r="M181" s="169"/>
      <c r="N181" s="169"/>
      <c r="O181" s="169">
        <f t="shared" si="53"/>
        <v>0</v>
      </c>
      <c r="P181" s="169"/>
      <c r="Q181" s="169"/>
      <c r="R181" s="169"/>
      <c r="S181" s="169"/>
      <c r="T181" s="169"/>
      <c r="U181" s="169">
        <f t="shared" si="54"/>
        <v>0</v>
      </c>
      <c r="V181" s="170"/>
      <c r="W181" s="171">
        <f t="shared" si="55"/>
        <v>0</v>
      </c>
      <c r="X181" s="176"/>
    </row>
    <row r="182" spans="1:24" ht="20.100000000000001" hidden="1" customHeight="1" x14ac:dyDescent="0.2">
      <c r="A182" s="180"/>
      <c r="B182" s="288"/>
      <c r="C182" s="33"/>
      <c r="D182" s="169"/>
      <c r="E182" s="169"/>
      <c r="F182" s="169"/>
      <c r="G182" s="169"/>
      <c r="H182" s="177"/>
      <c r="I182" s="169"/>
      <c r="J182" s="169"/>
      <c r="K182" s="169"/>
      <c r="L182" s="169"/>
      <c r="M182" s="169"/>
      <c r="N182" s="169"/>
      <c r="O182" s="169">
        <f t="shared" si="53"/>
        <v>0</v>
      </c>
      <c r="P182" s="169"/>
      <c r="Q182" s="169"/>
      <c r="R182" s="169"/>
      <c r="S182" s="169"/>
      <c r="T182" s="169"/>
      <c r="U182" s="169">
        <f t="shared" si="54"/>
        <v>0</v>
      </c>
      <c r="V182" s="170"/>
      <c r="W182" s="171">
        <f t="shared" si="55"/>
        <v>0</v>
      </c>
      <c r="X182" s="176"/>
    </row>
    <row r="183" spans="1:24" ht="20.100000000000001" hidden="1" customHeight="1" x14ac:dyDescent="0.2">
      <c r="A183" s="40"/>
      <c r="B183" s="50"/>
      <c r="C183" s="33"/>
      <c r="D183" s="169"/>
      <c r="E183" s="169"/>
      <c r="F183" s="169"/>
      <c r="G183" s="169"/>
      <c r="H183" s="177"/>
      <c r="I183" s="169"/>
      <c r="J183" s="169"/>
      <c r="K183" s="169"/>
      <c r="L183" s="169"/>
      <c r="M183" s="169"/>
      <c r="N183" s="169"/>
      <c r="O183" s="169">
        <f t="shared" si="53"/>
        <v>0</v>
      </c>
      <c r="P183" s="169"/>
      <c r="Q183" s="169"/>
      <c r="R183" s="169"/>
      <c r="S183" s="169"/>
      <c r="T183" s="169"/>
      <c r="U183" s="169">
        <f t="shared" si="54"/>
        <v>0</v>
      </c>
      <c r="V183" s="170"/>
      <c r="W183" s="171">
        <f t="shared" si="55"/>
        <v>0</v>
      </c>
      <c r="X183" s="176"/>
    </row>
    <row r="184" spans="1:24" ht="20.100000000000001" hidden="1" customHeight="1" x14ac:dyDescent="0.2">
      <c r="A184" s="40"/>
      <c r="B184" s="50"/>
      <c r="C184" s="33"/>
      <c r="D184" s="169"/>
      <c r="E184" s="169"/>
      <c r="F184" s="169"/>
      <c r="G184" s="169"/>
      <c r="H184" s="177"/>
      <c r="I184" s="169"/>
      <c r="J184" s="169"/>
      <c r="K184" s="169"/>
      <c r="L184" s="169"/>
      <c r="M184" s="169"/>
      <c r="N184" s="169"/>
      <c r="O184" s="169">
        <f t="shared" si="53"/>
        <v>0</v>
      </c>
      <c r="P184" s="169"/>
      <c r="Q184" s="169"/>
      <c r="R184" s="169"/>
      <c r="S184" s="169"/>
      <c r="T184" s="169"/>
      <c r="U184" s="169">
        <f t="shared" si="54"/>
        <v>0</v>
      </c>
      <c r="V184" s="170"/>
      <c r="W184" s="171">
        <f t="shared" si="55"/>
        <v>0</v>
      </c>
      <c r="X184" s="176"/>
    </row>
    <row r="185" spans="1:24" ht="20.100000000000001" hidden="1" customHeight="1" x14ac:dyDescent="0.2">
      <c r="A185" s="40"/>
      <c r="B185" s="50"/>
      <c r="C185" s="33"/>
      <c r="D185" s="169"/>
      <c r="E185" s="169"/>
      <c r="F185" s="169"/>
      <c r="G185" s="169"/>
      <c r="H185" s="177"/>
      <c r="I185" s="169"/>
      <c r="J185" s="169"/>
      <c r="K185" s="169"/>
      <c r="L185" s="169"/>
      <c r="M185" s="169"/>
      <c r="N185" s="169"/>
      <c r="O185" s="169">
        <f t="shared" si="53"/>
        <v>0</v>
      </c>
      <c r="P185" s="169"/>
      <c r="Q185" s="169"/>
      <c r="R185" s="169"/>
      <c r="S185" s="169"/>
      <c r="T185" s="169"/>
      <c r="U185" s="169">
        <f t="shared" si="54"/>
        <v>0</v>
      </c>
      <c r="V185" s="170"/>
      <c r="W185" s="171">
        <f t="shared" si="55"/>
        <v>0</v>
      </c>
      <c r="X185" s="176"/>
    </row>
    <row r="186" spans="1:24" ht="20.100000000000001" hidden="1" customHeight="1" x14ac:dyDescent="0.2">
      <c r="A186" s="40"/>
      <c r="B186" s="50"/>
      <c r="C186" s="33"/>
      <c r="D186" s="169"/>
      <c r="E186" s="169"/>
      <c r="F186" s="169"/>
      <c r="G186" s="169"/>
      <c r="H186" s="177"/>
      <c r="I186" s="169"/>
      <c r="J186" s="169"/>
      <c r="K186" s="169"/>
      <c r="L186" s="169"/>
      <c r="M186" s="169"/>
      <c r="N186" s="169"/>
      <c r="O186" s="169">
        <f t="shared" si="53"/>
        <v>0</v>
      </c>
      <c r="P186" s="169"/>
      <c r="Q186" s="169"/>
      <c r="R186" s="169"/>
      <c r="S186" s="169"/>
      <c r="T186" s="169"/>
      <c r="U186" s="169">
        <f t="shared" si="54"/>
        <v>0</v>
      </c>
      <c r="V186" s="170"/>
      <c r="W186" s="171">
        <f t="shared" si="55"/>
        <v>0</v>
      </c>
      <c r="X186" s="176"/>
    </row>
    <row r="187" spans="1:24" ht="20.100000000000001" hidden="1" customHeight="1" x14ac:dyDescent="0.2">
      <c r="A187" s="40"/>
      <c r="B187" s="50"/>
      <c r="C187" s="33"/>
      <c r="D187" s="169"/>
      <c r="E187" s="169"/>
      <c r="F187" s="169"/>
      <c r="G187" s="169"/>
      <c r="H187" s="177"/>
      <c r="I187" s="169"/>
      <c r="J187" s="169"/>
      <c r="K187" s="169"/>
      <c r="L187" s="169"/>
      <c r="M187" s="169"/>
      <c r="N187" s="169"/>
      <c r="O187" s="169">
        <f t="shared" si="53"/>
        <v>0</v>
      </c>
      <c r="P187" s="169"/>
      <c r="Q187" s="169"/>
      <c r="R187" s="169"/>
      <c r="S187" s="169"/>
      <c r="T187" s="169"/>
      <c r="U187" s="169">
        <f t="shared" si="54"/>
        <v>0</v>
      </c>
      <c r="V187" s="170"/>
      <c r="W187" s="171">
        <f t="shared" si="55"/>
        <v>0</v>
      </c>
      <c r="X187" s="176"/>
    </row>
    <row r="188" spans="1:24" ht="20.100000000000001" hidden="1" customHeight="1" x14ac:dyDescent="0.2">
      <c r="A188" s="40"/>
      <c r="B188" s="50"/>
      <c r="C188" s="33"/>
      <c r="D188" s="169"/>
      <c r="E188" s="169"/>
      <c r="F188" s="169"/>
      <c r="G188" s="169"/>
      <c r="H188" s="177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169"/>
      <c r="T188" s="169"/>
      <c r="U188" s="169"/>
      <c r="V188" s="170"/>
      <c r="W188" s="171"/>
      <c r="X188" s="285"/>
    </row>
    <row r="189" spans="1:24" ht="20.100000000000001" hidden="1" customHeight="1" x14ac:dyDescent="0.2">
      <c r="A189" s="210" t="s">
        <v>88</v>
      </c>
      <c r="B189" s="206"/>
      <c r="C189" s="211" t="s">
        <v>86</v>
      </c>
      <c r="D189" s="169">
        <f t="shared" ref="D189:X189" si="56">SUM(D170:D188)</f>
        <v>0</v>
      </c>
      <c r="E189" s="169">
        <f t="shared" si="56"/>
        <v>0</v>
      </c>
      <c r="F189" s="169">
        <f t="shared" si="56"/>
        <v>0</v>
      </c>
      <c r="G189" s="169">
        <f t="shared" si="56"/>
        <v>0</v>
      </c>
      <c r="H189" s="169">
        <f t="shared" si="56"/>
        <v>0</v>
      </c>
      <c r="I189" s="169">
        <f t="shared" si="56"/>
        <v>0</v>
      </c>
      <c r="J189" s="169">
        <f t="shared" si="56"/>
        <v>0</v>
      </c>
      <c r="K189" s="169">
        <f t="shared" si="56"/>
        <v>0</v>
      </c>
      <c r="L189" s="169">
        <f t="shared" si="56"/>
        <v>0</v>
      </c>
      <c r="M189" s="169">
        <f t="shared" si="56"/>
        <v>0</v>
      </c>
      <c r="N189" s="169">
        <f t="shared" si="56"/>
        <v>0</v>
      </c>
      <c r="O189" s="169">
        <f t="shared" si="56"/>
        <v>0</v>
      </c>
      <c r="P189" s="169"/>
      <c r="Q189" s="169">
        <f t="shared" si="56"/>
        <v>0</v>
      </c>
      <c r="R189" s="169">
        <f t="shared" si="56"/>
        <v>0</v>
      </c>
      <c r="S189" s="169">
        <f t="shared" si="56"/>
        <v>0</v>
      </c>
      <c r="T189" s="169">
        <f t="shared" si="56"/>
        <v>0</v>
      </c>
      <c r="U189" s="169">
        <f t="shared" si="56"/>
        <v>0</v>
      </c>
      <c r="V189" s="169"/>
      <c r="W189" s="262">
        <f t="shared" si="56"/>
        <v>0</v>
      </c>
      <c r="X189" s="176">
        <f t="shared" si="56"/>
        <v>0</v>
      </c>
    </row>
    <row r="190" spans="1:24" ht="20.100000000000001" hidden="1" customHeight="1" x14ac:dyDescent="0.2">
      <c r="A190" s="40"/>
      <c r="B190" s="50"/>
      <c r="C190" s="33"/>
      <c r="D190" s="169"/>
      <c r="E190" s="169"/>
      <c r="F190" s="169"/>
      <c r="G190" s="169"/>
      <c r="H190" s="177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169"/>
      <c r="T190" s="169"/>
      <c r="U190" s="169"/>
      <c r="V190" s="170"/>
      <c r="W190" s="171"/>
      <c r="X190" s="285"/>
    </row>
    <row r="191" spans="1:24" ht="20.100000000000001" hidden="1" customHeight="1" x14ac:dyDescent="0.2">
      <c r="A191" s="180" t="s">
        <v>117</v>
      </c>
      <c r="B191" s="399"/>
      <c r="C191" s="28"/>
      <c r="D191" s="169"/>
      <c r="E191" s="169"/>
      <c r="F191" s="169"/>
      <c r="G191" s="169"/>
      <c r="H191" s="169"/>
      <c r="I191" s="169"/>
      <c r="J191" s="169"/>
      <c r="K191" s="169"/>
      <c r="M191" s="169"/>
      <c r="N191" s="169"/>
      <c r="O191" s="169">
        <f>SUM(D191:N191)</f>
        <v>0</v>
      </c>
      <c r="P191" s="169"/>
      <c r="Q191" s="169"/>
      <c r="R191" s="169"/>
      <c r="S191" s="169"/>
      <c r="T191" s="169"/>
      <c r="U191" s="169">
        <f>SUM(Q191:T191)</f>
        <v>0</v>
      </c>
      <c r="V191" s="169"/>
      <c r="W191" s="171">
        <f>O191+U191</f>
        <v>0</v>
      </c>
      <c r="X191" s="276"/>
    </row>
    <row r="192" spans="1:24" ht="20.100000000000001" hidden="1" customHeight="1" x14ac:dyDescent="0.2">
      <c r="A192" s="180" t="s">
        <v>117</v>
      </c>
      <c r="B192" s="227"/>
      <c r="C192" s="28"/>
      <c r="D192" s="169"/>
      <c r="E192" s="169"/>
      <c r="F192" s="169"/>
      <c r="G192" s="169"/>
      <c r="H192" s="169"/>
      <c r="I192" s="169"/>
      <c r="J192" s="169"/>
      <c r="K192" s="169"/>
      <c r="L192" s="169"/>
      <c r="M192" s="169"/>
      <c r="N192" s="169"/>
      <c r="O192" s="169">
        <f>SUM(D192:N192)</f>
        <v>0</v>
      </c>
      <c r="P192" s="169"/>
      <c r="Q192" s="169"/>
      <c r="R192" s="169"/>
      <c r="S192" s="169"/>
      <c r="T192" s="169"/>
      <c r="U192" s="169">
        <f>SUM(Q192:T192)</f>
        <v>0</v>
      </c>
      <c r="V192" s="169"/>
      <c r="W192" s="171">
        <f>O192+U192</f>
        <v>0</v>
      </c>
      <c r="X192" s="176"/>
    </row>
    <row r="193" spans="1:25" ht="20.100000000000001" hidden="1" customHeight="1" x14ac:dyDescent="0.2">
      <c r="A193" s="40"/>
      <c r="B193" s="31"/>
      <c r="C193" s="41"/>
      <c r="D193" s="169"/>
      <c r="E193" s="169"/>
      <c r="F193" s="169"/>
      <c r="G193" s="169"/>
      <c r="H193" s="169"/>
      <c r="I193" s="169"/>
      <c r="J193" s="169"/>
      <c r="K193" s="169"/>
      <c r="L193" s="169"/>
      <c r="M193" s="169"/>
      <c r="N193" s="169"/>
      <c r="O193" s="169">
        <f>SUM(D193:N193)</f>
        <v>0</v>
      </c>
      <c r="P193" s="169"/>
      <c r="Q193" s="169"/>
      <c r="R193" s="169"/>
      <c r="S193" s="169"/>
      <c r="T193" s="169"/>
      <c r="U193" s="169">
        <f>SUM(Q193:T193)</f>
        <v>0</v>
      </c>
      <c r="V193" s="169"/>
      <c r="W193" s="171">
        <f>O193+U193</f>
        <v>0</v>
      </c>
      <c r="X193" s="276"/>
    </row>
    <row r="194" spans="1:25" ht="20.100000000000001" hidden="1" customHeight="1" x14ac:dyDescent="0.2">
      <c r="A194" s="40"/>
      <c r="B194" s="123"/>
      <c r="C194" s="41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  <c r="O194" s="169">
        <f>SUM(D194:N194)</f>
        <v>0</v>
      </c>
      <c r="P194" s="169"/>
      <c r="Q194" s="169"/>
      <c r="R194" s="169"/>
      <c r="S194" s="169"/>
      <c r="T194" s="169"/>
      <c r="U194" s="169">
        <f>SUM(Q194:T194)</f>
        <v>0</v>
      </c>
      <c r="V194" s="169"/>
      <c r="W194" s="171">
        <f>O194+U194</f>
        <v>0</v>
      </c>
      <c r="X194" s="276"/>
    </row>
    <row r="195" spans="1:25" ht="20.100000000000001" hidden="1" customHeight="1" x14ac:dyDescent="0.2">
      <c r="A195" s="40"/>
      <c r="B195" s="123"/>
      <c r="C195" s="41"/>
      <c r="D195" s="169"/>
      <c r="E195" s="169"/>
      <c r="F195" s="169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169"/>
      <c r="T195" s="169"/>
      <c r="U195" s="169"/>
      <c r="V195" s="169"/>
      <c r="W195" s="171"/>
      <c r="X195" s="277"/>
    </row>
    <row r="196" spans="1:25" ht="20.100000000000001" hidden="1" customHeight="1" x14ac:dyDescent="0.2">
      <c r="A196" s="210" t="s">
        <v>89</v>
      </c>
      <c r="B196" s="206"/>
      <c r="C196" s="211" t="s">
        <v>87</v>
      </c>
      <c r="D196" s="169">
        <f t="shared" ref="D196:U196" si="57">SUM(D191:D195)</f>
        <v>0</v>
      </c>
      <c r="E196" s="169">
        <f t="shared" si="57"/>
        <v>0</v>
      </c>
      <c r="F196" s="169">
        <f t="shared" si="57"/>
        <v>0</v>
      </c>
      <c r="G196" s="169">
        <f t="shared" si="57"/>
        <v>0</v>
      </c>
      <c r="H196" s="169">
        <f t="shared" si="57"/>
        <v>0</v>
      </c>
      <c r="I196" s="169">
        <f t="shared" si="57"/>
        <v>0</v>
      </c>
      <c r="J196" s="169">
        <f t="shared" si="57"/>
        <v>0</v>
      </c>
      <c r="K196" s="169">
        <f t="shared" si="57"/>
        <v>0</v>
      </c>
      <c r="L196" s="169">
        <f t="shared" si="57"/>
        <v>0</v>
      </c>
      <c r="M196" s="169">
        <f t="shared" si="57"/>
        <v>0</v>
      </c>
      <c r="N196" s="169">
        <f>SUM(N191:N195)</f>
        <v>0</v>
      </c>
      <c r="O196" s="169">
        <f t="shared" si="57"/>
        <v>0</v>
      </c>
      <c r="P196" s="169"/>
      <c r="Q196" s="169">
        <f>SUM(Q191:Q195)</f>
        <v>0</v>
      </c>
      <c r="R196" s="169">
        <f>SUM(R191:R195)</f>
        <v>0</v>
      </c>
      <c r="S196" s="169">
        <f t="shared" si="57"/>
        <v>0</v>
      </c>
      <c r="T196" s="169">
        <f t="shared" si="57"/>
        <v>0</v>
      </c>
      <c r="U196" s="169">
        <f t="shared" si="57"/>
        <v>0</v>
      </c>
      <c r="V196" s="169"/>
      <c r="W196" s="262">
        <f>SUM(W191:W195)</f>
        <v>0</v>
      </c>
      <c r="X196" s="262">
        <f>SUM(X191:X195)</f>
        <v>0</v>
      </c>
    </row>
    <row r="197" spans="1:25" ht="20.100000000000001" hidden="1" customHeight="1" x14ac:dyDescent="0.2">
      <c r="A197" s="40"/>
      <c r="B197" s="123"/>
      <c r="C197" s="41"/>
      <c r="D197" s="169"/>
      <c r="E197" s="169"/>
      <c r="F197" s="169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169"/>
      <c r="T197" s="169"/>
      <c r="U197" s="169"/>
      <c r="V197" s="169"/>
      <c r="W197" s="171"/>
      <c r="X197" s="276"/>
    </row>
    <row r="198" spans="1:25" ht="20.100000000000001" hidden="1" customHeight="1" thickBot="1" x14ac:dyDescent="0.25">
      <c r="A198" s="40"/>
      <c r="B198" s="32"/>
      <c r="C198" s="34"/>
      <c r="D198" s="169"/>
      <c r="E198" s="169"/>
      <c r="F198" s="169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169"/>
      <c r="T198" s="169"/>
      <c r="U198" s="169"/>
      <c r="V198" s="169"/>
      <c r="W198" s="171"/>
      <c r="X198" s="276"/>
    </row>
    <row r="199" spans="1:25" ht="24.75" hidden="1" customHeight="1" thickTop="1" thickBot="1" x14ac:dyDescent="0.25">
      <c r="A199" s="46"/>
      <c r="B199" s="261">
        <v>41639</v>
      </c>
      <c r="C199" s="44" t="s">
        <v>90</v>
      </c>
      <c r="D199" s="173">
        <f t="shared" ref="D199:U199" si="58">D189+D196</f>
        <v>0</v>
      </c>
      <c r="E199" s="173">
        <f t="shared" si="58"/>
        <v>0</v>
      </c>
      <c r="F199" s="173">
        <f t="shared" si="58"/>
        <v>0</v>
      </c>
      <c r="G199" s="173">
        <f t="shared" si="58"/>
        <v>0</v>
      </c>
      <c r="H199" s="173">
        <f t="shared" si="58"/>
        <v>0</v>
      </c>
      <c r="I199" s="173">
        <f t="shared" si="58"/>
        <v>0</v>
      </c>
      <c r="J199" s="173">
        <f t="shared" si="58"/>
        <v>0</v>
      </c>
      <c r="K199" s="173">
        <f t="shared" si="58"/>
        <v>0</v>
      </c>
      <c r="L199" s="173">
        <f t="shared" si="58"/>
        <v>0</v>
      </c>
      <c r="M199" s="173">
        <f t="shared" si="58"/>
        <v>0</v>
      </c>
      <c r="N199" s="173">
        <f t="shared" si="58"/>
        <v>0</v>
      </c>
      <c r="O199" s="173">
        <f t="shared" si="58"/>
        <v>0</v>
      </c>
      <c r="P199" s="173"/>
      <c r="Q199" s="173">
        <f>Q189+Q196</f>
        <v>0</v>
      </c>
      <c r="R199" s="173">
        <f>R189+R196</f>
        <v>0</v>
      </c>
      <c r="S199" s="173">
        <f t="shared" si="58"/>
        <v>0</v>
      </c>
      <c r="T199" s="173">
        <f t="shared" si="58"/>
        <v>0</v>
      </c>
      <c r="U199" s="173">
        <f t="shared" si="58"/>
        <v>0</v>
      </c>
      <c r="V199" s="173"/>
      <c r="W199" s="174">
        <f>W189+W196</f>
        <v>0</v>
      </c>
      <c r="X199" s="278">
        <f>X189+X196</f>
        <v>0</v>
      </c>
    </row>
    <row r="200" spans="1:25" ht="24.75" hidden="1" customHeight="1" thickTop="1" thickBot="1" x14ac:dyDescent="0.25">
      <c r="A200" s="42"/>
      <c r="B200" s="43" t="s">
        <v>122</v>
      </c>
      <c r="C200" s="44" t="s">
        <v>154</v>
      </c>
      <c r="D200" s="204">
        <f t="shared" ref="D200:U200" si="59">D169+D199</f>
        <v>0</v>
      </c>
      <c r="E200" s="204">
        <f t="shared" si="59"/>
        <v>0</v>
      </c>
      <c r="F200" s="204">
        <f t="shared" si="59"/>
        <v>10417.865000000002</v>
      </c>
      <c r="G200" s="204">
        <f t="shared" si="59"/>
        <v>4390</v>
      </c>
      <c r="H200" s="204">
        <f t="shared" si="59"/>
        <v>10000</v>
      </c>
      <c r="I200" s="204">
        <f t="shared" si="59"/>
        <v>0</v>
      </c>
      <c r="J200" s="204">
        <f t="shared" si="59"/>
        <v>0</v>
      </c>
      <c r="K200" s="204">
        <f t="shared" si="59"/>
        <v>0</v>
      </c>
      <c r="L200" s="204">
        <f t="shared" si="59"/>
        <v>2032</v>
      </c>
      <c r="M200" s="204">
        <f t="shared" si="59"/>
        <v>1176</v>
      </c>
      <c r="N200" s="204">
        <f t="shared" si="59"/>
        <v>0</v>
      </c>
      <c r="O200" s="204">
        <f t="shared" si="59"/>
        <v>28015.865000000002</v>
      </c>
      <c r="P200" s="204"/>
      <c r="Q200" s="204">
        <f t="shared" si="59"/>
        <v>0</v>
      </c>
      <c r="R200" s="204">
        <f t="shared" si="59"/>
        <v>326995.53700000001</v>
      </c>
      <c r="S200" s="204">
        <f t="shared" si="59"/>
        <v>0</v>
      </c>
      <c r="T200" s="204">
        <f t="shared" si="59"/>
        <v>0</v>
      </c>
      <c r="U200" s="204">
        <f t="shared" si="59"/>
        <v>326995.53700000001</v>
      </c>
      <c r="V200" s="204"/>
      <c r="W200" s="174">
        <f>O200+U200</f>
        <v>355011.402</v>
      </c>
      <c r="X200" s="278">
        <f>X168+X199</f>
        <v>2722781.5549999997</v>
      </c>
    </row>
    <row r="201" spans="1:25" ht="24.95" hidden="1" customHeight="1" thickTop="1" x14ac:dyDescent="0.25">
      <c r="D201" s="168"/>
      <c r="E201" s="168"/>
      <c r="F201" s="168"/>
      <c r="G201" s="168"/>
      <c r="H201" s="168"/>
      <c r="I201" s="168"/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</row>
    <row r="202" spans="1:25" ht="24.95" customHeight="1" thickTop="1" x14ac:dyDescent="0.25"/>
    <row r="203" spans="1:25" ht="24.95" hidden="1" customHeight="1" thickTop="1" thickBot="1" x14ac:dyDescent="0.3">
      <c r="C203" s="292" t="s">
        <v>101</v>
      </c>
      <c r="D203" s="291">
        <v>0</v>
      </c>
      <c r="E203" s="291">
        <v>0</v>
      </c>
      <c r="F203" s="291">
        <v>10417.865000000002</v>
      </c>
      <c r="G203" s="291">
        <v>4390</v>
      </c>
      <c r="H203" s="291">
        <v>10000</v>
      </c>
      <c r="I203" s="291">
        <v>0</v>
      </c>
      <c r="J203" s="291">
        <v>0</v>
      </c>
      <c r="K203" s="291">
        <v>0</v>
      </c>
      <c r="L203" s="291">
        <v>2032</v>
      </c>
      <c r="M203" s="291">
        <v>1176</v>
      </c>
      <c r="N203" s="291">
        <v>0</v>
      </c>
      <c r="O203" s="291">
        <v>28015.865000000002</v>
      </c>
      <c r="P203" s="291"/>
      <c r="Q203" s="291">
        <v>0</v>
      </c>
      <c r="R203" s="291">
        <v>326995.53700000001</v>
      </c>
      <c r="S203" s="291">
        <v>0</v>
      </c>
      <c r="T203" s="291">
        <v>0</v>
      </c>
      <c r="U203" s="291">
        <v>326995.53700000001</v>
      </c>
      <c r="V203" s="291"/>
      <c r="W203" s="291">
        <v>355011.402</v>
      </c>
      <c r="X203" s="291">
        <v>2722782</v>
      </c>
      <c r="Y203" s="29">
        <f>SUM(W203:X203)</f>
        <v>3077793.4019999998</v>
      </c>
    </row>
    <row r="204" spans="1:25" ht="24.95" hidden="1" customHeight="1" thickTop="1" x14ac:dyDescent="0.25"/>
    <row r="205" spans="1:25" ht="24.95" hidden="1" customHeight="1" x14ac:dyDescent="0.25">
      <c r="C205" s="2" t="s">
        <v>97</v>
      </c>
      <c r="D205" s="168">
        <f>D155-D203</f>
        <v>0</v>
      </c>
      <c r="E205" s="168">
        <f>E155-E203</f>
        <v>0</v>
      </c>
      <c r="F205" s="168">
        <f>F155-F203</f>
        <v>0</v>
      </c>
      <c r="G205" s="168">
        <f t="shared" ref="G205:X205" si="60">G155-G203</f>
        <v>0</v>
      </c>
      <c r="H205" s="168">
        <f t="shared" si="60"/>
        <v>0</v>
      </c>
      <c r="I205" s="168">
        <f t="shared" si="60"/>
        <v>0</v>
      </c>
      <c r="J205" s="168">
        <f t="shared" si="60"/>
        <v>0</v>
      </c>
      <c r="K205" s="168">
        <f t="shared" si="60"/>
        <v>0</v>
      </c>
      <c r="L205" s="168">
        <f t="shared" si="60"/>
        <v>0</v>
      </c>
      <c r="M205" s="168">
        <f t="shared" si="60"/>
        <v>0</v>
      </c>
      <c r="N205" s="168">
        <f t="shared" si="60"/>
        <v>0</v>
      </c>
      <c r="O205" s="168">
        <f t="shared" si="60"/>
        <v>0</v>
      </c>
      <c r="P205" s="168"/>
      <c r="Q205" s="168">
        <f t="shared" si="60"/>
        <v>0</v>
      </c>
      <c r="R205" s="168">
        <f t="shared" si="60"/>
        <v>0</v>
      </c>
      <c r="S205" s="168">
        <f t="shared" si="60"/>
        <v>0</v>
      </c>
      <c r="T205" s="168">
        <f t="shared" si="60"/>
        <v>0</v>
      </c>
      <c r="U205" s="168">
        <f t="shared" si="60"/>
        <v>0</v>
      </c>
      <c r="V205" s="168"/>
      <c r="W205" s="168">
        <f t="shared" si="60"/>
        <v>0</v>
      </c>
      <c r="X205" s="168">
        <f t="shared" si="60"/>
        <v>-0.44500000029802322</v>
      </c>
    </row>
    <row r="206" spans="1:25" ht="24.95" customHeight="1" x14ac:dyDescent="0.25"/>
    <row r="207" spans="1:25" ht="24.95" customHeight="1" x14ac:dyDescent="0.25"/>
    <row r="208" spans="1:25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498" spans="9:9" x14ac:dyDescent="0.25">
      <c r="I498" s="52">
        <f>-10437-1367-86-236+13-6357-200+31+71-310-1500-799-55-443-3970</f>
        <v>-25645</v>
      </c>
    </row>
  </sheetData>
  <mergeCells count="5">
    <mergeCell ref="A2:X2"/>
    <mergeCell ref="A4:X4"/>
    <mergeCell ref="D7:F7"/>
    <mergeCell ref="J7:K7"/>
    <mergeCell ref="Q7:T7"/>
  </mergeCells>
  <phoneticPr fontId="3" type="noConversion"/>
  <printOptions horizontalCentered="1" verticalCentered="1"/>
  <pageMargins left="0" right="0.19685039370078741" top="0.31496062992125984" bottom="0.35433070866141736" header="7.874015748031496E-2" footer="7.874015748031496E-2"/>
  <pageSetup paperSize="9" scale="4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47"/>
  <sheetViews>
    <sheetView zoomScale="75" zoomScaleNormal="75" workbookViewId="0"/>
  </sheetViews>
  <sheetFormatPr defaultRowHeight="16.5" x14ac:dyDescent="0.25"/>
  <cols>
    <col min="1" max="1" width="4.7109375" style="93" customWidth="1"/>
    <col min="2" max="2" width="13.5703125" style="1" hidden="1" customWidth="1"/>
    <col min="3" max="3" width="58.7109375" style="2" customWidth="1"/>
    <col min="4" max="4" width="13.28515625" style="2" customWidth="1"/>
    <col min="5" max="5" width="13.85546875" style="2" customWidth="1"/>
    <col min="6" max="6" width="12.7109375" style="2" customWidth="1"/>
    <col min="7" max="7" width="13.85546875" style="2" customWidth="1"/>
    <col min="8" max="8" width="12.28515625" style="2" customWidth="1"/>
    <col min="9" max="9" width="12.7109375" style="2" customWidth="1"/>
    <col min="10" max="11" width="12.28515625" style="2" customWidth="1"/>
    <col min="12" max="18" width="12.7109375" style="2" customWidth="1"/>
    <col min="19" max="19" width="1.7109375" style="2" customWidth="1"/>
    <col min="20" max="24" width="12.7109375" style="2" customWidth="1"/>
    <col min="25" max="25" width="18.28515625" style="53" customWidth="1"/>
    <col min="26" max="26" width="16.28515625" style="53" customWidth="1"/>
    <col min="27" max="29" width="10.42578125" style="53" customWidth="1"/>
    <col min="30" max="30" width="12.28515625" style="53" customWidth="1"/>
    <col min="31" max="31" width="14" style="53" customWidth="1"/>
    <col min="32" max="32" width="12.28515625" style="53" customWidth="1"/>
    <col min="33" max="34" width="10.42578125" style="53" customWidth="1"/>
    <col min="35" max="35" width="12.28515625" style="53" customWidth="1"/>
    <col min="36" max="36" width="9.140625" style="53"/>
    <col min="37" max="38" width="10.42578125" style="53" customWidth="1"/>
    <col min="39" max="39" width="12.28515625" style="53" customWidth="1"/>
    <col min="40" max="40" width="12.7109375" style="53" customWidth="1"/>
    <col min="41" max="16384" width="9.140625" style="2"/>
  </cols>
  <sheetData>
    <row r="1" spans="1:40" x14ac:dyDescent="0.25">
      <c r="Y1" s="185" t="s">
        <v>95</v>
      </c>
    </row>
    <row r="2" spans="1:40" ht="18.75" x14ac:dyDescent="0.2">
      <c r="A2" s="739" t="s">
        <v>0</v>
      </c>
      <c r="B2" s="739"/>
      <c r="C2" s="739"/>
      <c r="D2" s="739"/>
      <c r="E2" s="739"/>
      <c r="F2" s="739"/>
      <c r="G2" s="739"/>
      <c r="H2" s="739"/>
      <c r="I2" s="739"/>
      <c r="J2" s="739"/>
      <c r="K2" s="739"/>
      <c r="L2" s="739"/>
      <c r="M2" s="739"/>
      <c r="N2" s="739"/>
      <c r="O2" s="739"/>
      <c r="P2" s="739"/>
      <c r="Q2" s="739"/>
      <c r="R2" s="739"/>
      <c r="S2" s="739"/>
      <c r="T2" s="739"/>
      <c r="U2" s="739"/>
      <c r="V2" s="739"/>
      <c r="W2" s="739"/>
      <c r="X2" s="739"/>
      <c r="Y2" s="739"/>
    </row>
    <row r="3" spans="1:40" ht="18.75" x14ac:dyDescent="0.2">
      <c r="A3" s="453"/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</row>
    <row r="4" spans="1:40" ht="42" customHeight="1" x14ac:dyDescent="0.2">
      <c r="A4" s="740" t="s">
        <v>598</v>
      </c>
      <c r="B4" s="739"/>
      <c r="C4" s="739"/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  <c r="T4" s="739"/>
      <c r="U4" s="739"/>
      <c r="V4" s="739"/>
      <c r="W4" s="739"/>
      <c r="X4" s="739"/>
      <c r="Y4" s="739"/>
    </row>
    <row r="5" spans="1:40" ht="24.95" customHeight="1" x14ac:dyDescent="0.2">
      <c r="A5" s="454"/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</row>
    <row r="6" spans="1:40" ht="17.25" customHeight="1" thickBo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6" t="s">
        <v>1</v>
      </c>
    </row>
    <row r="7" spans="1:40" ht="17.25" thickBot="1" x14ac:dyDescent="0.3">
      <c r="A7" s="55"/>
      <c r="B7" s="8"/>
      <c r="C7" s="481"/>
      <c r="D7" s="749" t="s">
        <v>32</v>
      </c>
      <c r="E7" s="750"/>
      <c r="F7" s="750"/>
      <c r="G7" s="750"/>
      <c r="H7" s="750"/>
      <c r="I7" s="750"/>
      <c r="J7" s="750"/>
      <c r="K7" s="750"/>
      <c r="L7" s="750"/>
      <c r="M7" s="750"/>
      <c r="N7" s="750"/>
      <c r="O7" s="750"/>
      <c r="P7" s="750"/>
      <c r="Q7" s="750"/>
      <c r="R7" s="750"/>
      <c r="S7" s="750"/>
      <c r="T7" s="750"/>
      <c r="U7" s="750"/>
      <c r="V7" s="750"/>
      <c r="W7" s="750"/>
      <c r="X7" s="741"/>
      <c r="Y7" s="447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</row>
    <row r="8" spans="1:40" ht="17.25" customHeight="1" thickTop="1" x14ac:dyDescent="0.25">
      <c r="A8" s="57"/>
      <c r="B8" s="12"/>
      <c r="C8" s="13"/>
      <c r="D8" s="742" t="s">
        <v>171</v>
      </c>
      <c r="E8" s="743"/>
      <c r="F8" s="743"/>
      <c r="G8" s="743"/>
      <c r="H8" s="743"/>
      <c r="I8" s="743"/>
      <c r="J8" s="743"/>
      <c r="K8" s="744"/>
      <c r="L8" s="745" t="s">
        <v>172</v>
      </c>
      <c r="M8" s="746"/>
      <c r="N8" s="746"/>
      <c r="O8" s="746"/>
      <c r="P8" s="746"/>
      <c r="Q8" s="744"/>
      <c r="R8" s="469" t="s">
        <v>139</v>
      </c>
      <c r="S8" s="491"/>
      <c r="T8" s="745" t="s">
        <v>173</v>
      </c>
      <c r="U8" s="746"/>
      <c r="V8" s="746"/>
      <c r="W8" s="747"/>
      <c r="X8" s="473" t="s">
        <v>150</v>
      </c>
      <c r="Y8" s="725" t="s">
        <v>2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56"/>
    </row>
    <row r="9" spans="1:40" x14ac:dyDescent="0.25">
      <c r="A9" s="18" t="s">
        <v>8</v>
      </c>
      <c r="B9" s="12"/>
      <c r="C9" s="13" t="s">
        <v>3</v>
      </c>
      <c r="D9" s="58"/>
      <c r="E9" s="202" t="s">
        <v>37</v>
      </c>
      <c r="F9" s="59"/>
      <c r="G9" s="59" t="s">
        <v>33</v>
      </c>
      <c r="H9" s="59" t="s">
        <v>125</v>
      </c>
      <c r="I9" s="59" t="s">
        <v>126</v>
      </c>
      <c r="J9" s="59" t="s">
        <v>126</v>
      </c>
      <c r="K9" s="202" t="s">
        <v>750</v>
      </c>
      <c r="L9" s="59"/>
      <c r="M9" s="59"/>
      <c r="N9" s="59" t="s">
        <v>4</v>
      </c>
      <c r="O9" s="59" t="s">
        <v>156</v>
      </c>
      <c r="P9" s="60" t="s">
        <v>157</v>
      </c>
      <c r="Q9" s="202" t="s">
        <v>4</v>
      </c>
      <c r="R9" s="470" t="s">
        <v>140</v>
      </c>
      <c r="S9" s="470"/>
      <c r="T9" s="17" t="s">
        <v>158</v>
      </c>
      <c r="U9" s="17" t="s">
        <v>159</v>
      </c>
      <c r="V9" s="17" t="s">
        <v>230</v>
      </c>
      <c r="W9" s="17" t="s">
        <v>4</v>
      </c>
      <c r="X9" s="474" t="s">
        <v>151</v>
      </c>
      <c r="Y9" s="15" t="s">
        <v>35</v>
      </c>
      <c r="Z9" s="4"/>
      <c r="AA9" s="4"/>
      <c r="AB9" s="4"/>
      <c r="AC9" s="4"/>
      <c r="AD9" s="4"/>
      <c r="AE9" s="4"/>
      <c r="AF9" s="4"/>
      <c r="AG9" s="4"/>
      <c r="AH9" s="738"/>
      <c r="AI9" s="738"/>
      <c r="AJ9" s="4"/>
      <c r="AK9" s="4"/>
      <c r="AL9" s="4"/>
      <c r="AM9" s="4"/>
      <c r="AN9" s="56"/>
    </row>
    <row r="10" spans="1:40" ht="16.5" customHeight="1" x14ac:dyDescent="0.25">
      <c r="A10" s="11"/>
      <c r="B10" s="12"/>
      <c r="C10" s="13" t="s">
        <v>9</v>
      </c>
      <c r="D10" s="59" t="s">
        <v>36</v>
      </c>
      <c r="E10" s="59" t="s">
        <v>77</v>
      </c>
      <c r="F10" s="59" t="s">
        <v>38</v>
      </c>
      <c r="G10" s="59" t="s">
        <v>39</v>
      </c>
      <c r="H10" s="59" t="s">
        <v>127</v>
      </c>
      <c r="I10" s="59" t="s">
        <v>79</v>
      </c>
      <c r="J10" s="59" t="s">
        <v>79</v>
      </c>
      <c r="K10" s="59" t="s">
        <v>42</v>
      </c>
      <c r="L10" s="59" t="s">
        <v>160</v>
      </c>
      <c r="M10" s="59" t="s">
        <v>161</v>
      </c>
      <c r="N10" s="59" t="s">
        <v>162</v>
      </c>
      <c r="O10" s="59" t="s">
        <v>163</v>
      </c>
      <c r="P10" s="59" t="s">
        <v>50</v>
      </c>
      <c r="Q10" s="59" t="s">
        <v>162</v>
      </c>
      <c r="R10" s="471" t="s">
        <v>40</v>
      </c>
      <c r="S10" s="471"/>
      <c r="T10" s="13" t="s">
        <v>164</v>
      </c>
      <c r="U10" s="13" t="s">
        <v>144</v>
      </c>
      <c r="V10" s="13" t="s">
        <v>231</v>
      </c>
      <c r="W10" s="17" t="s">
        <v>187</v>
      </c>
      <c r="X10" s="404" t="s">
        <v>40</v>
      </c>
      <c r="Y10" s="15" t="s">
        <v>12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56"/>
    </row>
    <row r="11" spans="1:40" x14ac:dyDescent="0.25">
      <c r="A11" s="57"/>
      <c r="B11" s="12"/>
      <c r="C11" s="13" t="s">
        <v>13</v>
      </c>
      <c r="D11" s="59" t="s">
        <v>44</v>
      </c>
      <c r="E11" s="59" t="s">
        <v>49</v>
      </c>
      <c r="F11" s="59" t="s">
        <v>40</v>
      </c>
      <c r="G11" s="59" t="s">
        <v>45</v>
      </c>
      <c r="H11" s="59" t="s">
        <v>129</v>
      </c>
      <c r="I11" s="59" t="s">
        <v>130</v>
      </c>
      <c r="J11" s="59" t="s">
        <v>130</v>
      </c>
      <c r="K11" s="59"/>
      <c r="L11" s="59"/>
      <c r="M11" s="59"/>
      <c r="N11" s="59" t="s">
        <v>79</v>
      </c>
      <c r="O11" s="59" t="s">
        <v>46</v>
      </c>
      <c r="P11" s="59"/>
      <c r="Q11" s="59" t="s">
        <v>79</v>
      </c>
      <c r="R11" s="471" t="s">
        <v>12</v>
      </c>
      <c r="S11" s="471"/>
      <c r="T11" s="13" t="s">
        <v>165</v>
      </c>
      <c r="U11" s="13" t="s">
        <v>146</v>
      </c>
      <c r="V11" s="13" t="s">
        <v>234</v>
      </c>
      <c r="W11" s="17" t="s">
        <v>188</v>
      </c>
      <c r="X11" s="404" t="s">
        <v>12</v>
      </c>
      <c r="Y11" s="19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56"/>
    </row>
    <row r="12" spans="1:40" x14ac:dyDescent="0.25">
      <c r="A12" s="57"/>
      <c r="B12" s="12"/>
      <c r="C12" s="13"/>
      <c r="D12" s="61"/>
      <c r="E12" s="59" t="s">
        <v>78</v>
      </c>
      <c r="F12" s="59"/>
      <c r="G12" s="128"/>
      <c r="H12" s="62"/>
      <c r="I12" s="128" t="s">
        <v>166</v>
      </c>
      <c r="J12" s="128" t="s">
        <v>167</v>
      </c>
      <c r="K12" s="59"/>
      <c r="L12" s="62"/>
      <c r="M12" s="59"/>
      <c r="N12" s="59" t="s">
        <v>168</v>
      </c>
      <c r="O12" s="59" t="s">
        <v>169</v>
      </c>
      <c r="P12" s="59"/>
      <c r="Q12" s="59" t="s">
        <v>169</v>
      </c>
      <c r="R12" s="472" t="s">
        <v>175</v>
      </c>
      <c r="S12" s="472"/>
      <c r="T12" s="13" t="s">
        <v>170</v>
      </c>
      <c r="U12" s="13" t="s">
        <v>47</v>
      </c>
      <c r="V12" s="13" t="s">
        <v>235</v>
      </c>
      <c r="W12" s="13" t="s">
        <v>40</v>
      </c>
      <c r="X12" s="342" t="s">
        <v>176</v>
      </c>
      <c r="Y12" s="19" t="s">
        <v>177</v>
      </c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56"/>
    </row>
    <row r="13" spans="1:40" hidden="1" x14ac:dyDescent="0.25">
      <c r="A13" s="119"/>
      <c r="B13" s="112"/>
      <c r="C13" s="113"/>
      <c r="D13" s="114" t="s">
        <v>193</v>
      </c>
      <c r="E13" s="16" t="s">
        <v>194</v>
      </c>
      <c r="F13" s="16" t="s">
        <v>195</v>
      </c>
      <c r="G13" s="17" t="s">
        <v>196</v>
      </c>
      <c r="H13" s="120" t="s">
        <v>197</v>
      </c>
      <c r="I13" s="13" t="s">
        <v>198</v>
      </c>
      <c r="J13" s="17" t="s">
        <v>199</v>
      </c>
      <c r="K13" s="113" t="s">
        <v>200</v>
      </c>
      <c r="L13" s="120" t="s">
        <v>201</v>
      </c>
      <c r="M13" s="120" t="s">
        <v>202</v>
      </c>
      <c r="N13" s="120" t="s">
        <v>203</v>
      </c>
      <c r="O13" s="121" t="s">
        <v>204</v>
      </c>
      <c r="P13" s="113" t="s">
        <v>205</v>
      </c>
      <c r="Q13" s="113" t="s">
        <v>206</v>
      </c>
      <c r="R13" s="113"/>
      <c r="S13" s="113"/>
      <c r="T13" s="113" t="s">
        <v>207</v>
      </c>
      <c r="U13" s="113" t="s">
        <v>208</v>
      </c>
      <c r="V13" s="113" t="s">
        <v>209</v>
      </c>
      <c r="W13" s="122" t="s">
        <v>210</v>
      </c>
      <c r="X13" s="461"/>
      <c r="Y13" s="726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56"/>
    </row>
    <row r="14" spans="1:40" ht="18" customHeight="1" x14ac:dyDescent="0.25">
      <c r="A14" s="191">
        <v>1</v>
      </c>
      <c r="B14" s="218"/>
      <c r="C14" s="215">
        <v>2</v>
      </c>
      <c r="D14" s="215">
        <v>3</v>
      </c>
      <c r="E14" s="215">
        <v>4</v>
      </c>
      <c r="F14" s="215">
        <v>5</v>
      </c>
      <c r="G14" s="215">
        <v>6</v>
      </c>
      <c r="H14" s="215">
        <v>7</v>
      </c>
      <c r="I14" s="215">
        <v>8</v>
      </c>
      <c r="J14" s="215">
        <v>9</v>
      </c>
      <c r="K14" s="215">
        <v>10</v>
      </c>
      <c r="L14" s="215">
        <v>11</v>
      </c>
      <c r="M14" s="215">
        <v>12</v>
      </c>
      <c r="N14" s="215">
        <v>13</v>
      </c>
      <c r="O14" s="215">
        <v>14</v>
      </c>
      <c r="P14" s="215">
        <v>15</v>
      </c>
      <c r="Q14" s="215">
        <v>16</v>
      </c>
      <c r="R14" s="215">
        <v>17</v>
      </c>
      <c r="S14" s="215"/>
      <c r="T14" s="215">
        <v>18</v>
      </c>
      <c r="U14" s="215">
        <v>19</v>
      </c>
      <c r="V14" s="477">
        <v>20</v>
      </c>
      <c r="W14" s="215">
        <v>21</v>
      </c>
      <c r="X14" s="477">
        <v>22</v>
      </c>
      <c r="Y14" s="244">
        <v>23</v>
      </c>
      <c r="Z14" s="4"/>
      <c r="AA14" s="4"/>
      <c r="AB14" s="4"/>
      <c r="AC14" s="4"/>
      <c r="AD14" s="4"/>
      <c r="AE14" s="4"/>
      <c r="AF14" s="4"/>
      <c r="AG14" s="4"/>
      <c r="AH14" s="738"/>
      <c r="AI14" s="738"/>
      <c r="AJ14" s="4"/>
      <c r="AK14" s="4"/>
      <c r="AL14" s="4"/>
      <c r="AM14" s="4"/>
      <c r="AN14" s="4"/>
    </row>
    <row r="15" spans="1:40" s="67" customFormat="1" ht="19.5" hidden="1" customHeight="1" x14ac:dyDescent="0.3">
      <c r="A15" s="63"/>
      <c r="B15" s="150"/>
      <c r="C15" s="64" t="s">
        <v>67</v>
      </c>
      <c r="D15" s="151">
        <v>1667868</v>
      </c>
      <c r="E15" s="151">
        <v>414786</v>
      </c>
      <c r="F15" s="151">
        <v>487863</v>
      </c>
      <c r="G15" s="151">
        <v>685</v>
      </c>
      <c r="H15" s="151">
        <v>0</v>
      </c>
      <c r="I15" s="151">
        <v>0</v>
      </c>
      <c r="J15" s="151">
        <v>0</v>
      </c>
      <c r="K15" s="151">
        <v>0</v>
      </c>
      <c r="L15" s="151">
        <v>155439</v>
      </c>
      <c r="M15" s="151">
        <v>7400</v>
      </c>
      <c r="N15" s="151">
        <v>0</v>
      </c>
      <c r="O15" s="151">
        <v>5000</v>
      </c>
      <c r="P15" s="151">
        <v>0</v>
      </c>
      <c r="Q15" s="151">
        <v>0</v>
      </c>
      <c r="R15" s="151">
        <f>SUM(D15:Q15)</f>
        <v>2739041</v>
      </c>
      <c r="S15" s="151"/>
      <c r="T15" s="151">
        <v>0</v>
      </c>
      <c r="U15" s="151">
        <v>0</v>
      </c>
      <c r="V15" s="152">
        <v>0</v>
      </c>
      <c r="W15" s="151">
        <v>0</v>
      </c>
      <c r="X15" s="152">
        <f>SUM(T15:W15)</f>
        <v>0</v>
      </c>
      <c r="Y15" s="153">
        <f>R15+X15</f>
        <v>2739041</v>
      </c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6"/>
    </row>
    <row r="16" spans="1:40" ht="20.100000000000001" hidden="1" customHeight="1" x14ac:dyDescent="0.25">
      <c r="A16" s="68"/>
      <c r="B16" s="136" t="s">
        <v>82</v>
      </c>
      <c r="C16" s="41" t="s">
        <v>109</v>
      </c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3"/>
      <c r="W16" s="72"/>
      <c r="X16" s="73"/>
      <c r="Y16" s="83">
        <f>SUM(D16:W16)</f>
        <v>0</v>
      </c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70"/>
    </row>
    <row r="17" spans="1:40" ht="20.100000000000001" hidden="1" customHeight="1" x14ac:dyDescent="0.25">
      <c r="A17" s="156"/>
      <c r="B17" s="27"/>
      <c r="C17" s="24" t="s">
        <v>18</v>
      </c>
      <c r="D17" s="151">
        <f t="shared" ref="D17:Y17" si="0">SUM(D15:D16)</f>
        <v>1667868</v>
      </c>
      <c r="E17" s="151">
        <f t="shared" si="0"/>
        <v>414786</v>
      </c>
      <c r="F17" s="151">
        <f t="shared" si="0"/>
        <v>487863</v>
      </c>
      <c r="G17" s="151">
        <f t="shared" si="0"/>
        <v>685</v>
      </c>
      <c r="H17" s="151">
        <f t="shared" si="0"/>
        <v>0</v>
      </c>
      <c r="I17" s="151">
        <f t="shared" si="0"/>
        <v>0</v>
      </c>
      <c r="J17" s="151">
        <f t="shared" si="0"/>
        <v>0</v>
      </c>
      <c r="K17" s="151">
        <f t="shared" si="0"/>
        <v>0</v>
      </c>
      <c r="L17" s="151">
        <f t="shared" si="0"/>
        <v>155439</v>
      </c>
      <c r="M17" s="151">
        <f t="shared" si="0"/>
        <v>7400</v>
      </c>
      <c r="N17" s="151">
        <f t="shared" si="0"/>
        <v>0</v>
      </c>
      <c r="O17" s="151">
        <f t="shared" si="0"/>
        <v>5000</v>
      </c>
      <c r="P17" s="151">
        <f t="shared" si="0"/>
        <v>0</v>
      </c>
      <c r="Q17" s="151">
        <f t="shared" si="0"/>
        <v>0</v>
      </c>
      <c r="R17" s="151">
        <f>SUM(D17:Q17)</f>
        <v>2739041</v>
      </c>
      <c r="S17" s="151"/>
      <c r="T17" s="151">
        <f t="shared" si="0"/>
        <v>0</v>
      </c>
      <c r="U17" s="151">
        <f t="shared" si="0"/>
        <v>0</v>
      </c>
      <c r="V17" s="152">
        <f t="shared" si="0"/>
        <v>0</v>
      </c>
      <c r="W17" s="151">
        <f t="shared" si="0"/>
        <v>0</v>
      </c>
      <c r="X17" s="152">
        <f>SUM(T17:W17)</f>
        <v>0</v>
      </c>
      <c r="Y17" s="153">
        <f t="shared" si="0"/>
        <v>2739041</v>
      </c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70"/>
    </row>
    <row r="18" spans="1:40" ht="30" hidden="1" customHeight="1" x14ac:dyDescent="0.25">
      <c r="A18" s="82"/>
      <c r="B18" s="136"/>
      <c r="C18" s="28"/>
      <c r="D18" s="72"/>
      <c r="E18" s="72"/>
      <c r="F18" s="7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>
        <f t="shared" ref="R18:R88" si="1">SUM(D18:Q18)</f>
        <v>0</v>
      </c>
      <c r="S18" s="72"/>
      <c r="T18" s="72"/>
      <c r="U18" s="72"/>
      <c r="V18" s="73"/>
      <c r="W18" s="72"/>
      <c r="X18" s="73"/>
      <c r="Y18" s="83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70"/>
    </row>
    <row r="19" spans="1:40" ht="30" hidden="1" customHeight="1" x14ac:dyDescent="0.25">
      <c r="A19" s="82">
        <v>1</v>
      </c>
      <c r="B19" s="590" t="s">
        <v>268</v>
      </c>
      <c r="C19" s="28" t="s">
        <v>269</v>
      </c>
      <c r="D19" s="155">
        <f>714.9</f>
        <v>714.9</v>
      </c>
      <c r="E19" s="155">
        <f>193.023</f>
        <v>193.023</v>
      </c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>
        <f t="shared" si="1"/>
        <v>907.923</v>
      </c>
      <c r="S19" s="155"/>
      <c r="T19" s="155"/>
      <c r="U19" s="155"/>
      <c r="V19" s="161"/>
      <c r="W19" s="155"/>
      <c r="X19" s="161">
        <f t="shared" ref="X19:X88" si="2">SUM(T19:W19)</f>
        <v>0</v>
      </c>
      <c r="Y19" s="588">
        <f t="shared" ref="Y19:Y88" si="3">R19+X19</f>
        <v>907.923</v>
      </c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70"/>
    </row>
    <row r="20" spans="1:40" ht="30" hidden="1" customHeight="1" x14ac:dyDescent="0.25">
      <c r="A20" s="82">
        <v>2</v>
      </c>
      <c r="B20" s="645" t="s">
        <v>278</v>
      </c>
      <c r="C20" s="28" t="s">
        <v>277</v>
      </c>
      <c r="D20" s="155">
        <f>1489.125</f>
        <v>1489.125</v>
      </c>
      <c r="E20" s="155">
        <f>223.184</f>
        <v>223.184</v>
      </c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>
        <f t="shared" si="1"/>
        <v>1712.309</v>
      </c>
      <c r="S20" s="155"/>
      <c r="T20" s="155"/>
      <c r="U20" s="155"/>
      <c r="V20" s="161"/>
      <c r="W20" s="155"/>
      <c r="X20" s="161">
        <f t="shared" si="2"/>
        <v>0</v>
      </c>
      <c r="Y20" s="588">
        <f t="shared" si="3"/>
        <v>1712.309</v>
      </c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70"/>
    </row>
    <row r="21" spans="1:40" ht="30" hidden="1" customHeight="1" x14ac:dyDescent="0.25">
      <c r="A21" s="225">
        <v>3</v>
      </c>
      <c r="B21" s="649" t="s">
        <v>310</v>
      </c>
      <c r="C21" s="33" t="s">
        <v>309</v>
      </c>
      <c r="D21" s="155"/>
      <c r="E21" s="155"/>
      <c r="F21" s="155">
        <f>3000+810</f>
        <v>3810</v>
      </c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>
        <f t="shared" si="1"/>
        <v>3810</v>
      </c>
      <c r="S21" s="155"/>
      <c r="T21" s="155"/>
      <c r="U21" s="155"/>
      <c r="V21" s="161"/>
      <c r="W21" s="155"/>
      <c r="X21" s="161">
        <f t="shared" si="2"/>
        <v>0</v>
      </c>
      <c r="Y21" s="588">
        <f t="shared" si="3"/>
        <v>3810</v>
      </c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70"/>
    </row>
    <row r="22" spans="1:40" ht="30" hidden="1" customHeight="1" x14ac:dyDescent="0.25">
      <c r="A22" s="225"/>
      <c r="B22" s="226"/>
      <c r="C22" s="28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>
        <f t="shared" si="1"/>
        <v>0</v>
      </c>
      <c r="S22" s="155"/>
      <c r="T22" s="155"/>
      <c r="U22" s="155"/>
      <c r="V22" s="161"/>
      <c r="W22" s="155"/>
      <c r="X22" s="161">
        <f t="shared" si="2"/>
        <v>0</v>
      </c>
      <c r="Y22" s="588">
        <f t="shared" si="3"/>
        <v>0</v>
      </c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70"/>
    </row>
    <row r="23" spans="1:40" ht="30" hidden="1" customHeight="1" x14ac:dyDescent="0.25">
      <c r="A23" s="225"/>
      <c r="B23" s="226"/>
      <c r="C23" s="28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>
        <f t="shared" si="1"/>
        <v>0</v>
      </c>
      <c r="S23" s="155"/>
      <c r="T23" s="155"/>
      <c r="U23" s="155"/>
      <c r="V23" s="161"/>
      <c r="W23" s="155"/>
      <c r="X23" s="161">
        <f t="shared" si="2"/>
        <v>0</v>
      </c>
      <c r="Y23" s="588">
        <f t="shared" si="3"/>
        <v>0</v>
      </c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70"/>
    </row>
    <row r="24" spans="1:40" ht="30" hidden="1" customHeight="1" x14ac:dyDescent="0.25">
      <c r="A24" s="225"/>
      <c r="B24" s="226"/>
      <c r="C24" s="28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>
        <f t="shared" si="1"/>
        <v>0</v>
      </c>
      <c r="S24" s="155"/>
      <c r="T24" s="155"/>
      <c r="U24" s="155"/>
      <c r="V24" s="161"/>
      <c r="W24" s="155"/>
      <c r="X24" s="161">
        <f t="shared" si="2"/>
        <v>0</v>
      </c>
      <c r="Y24" s="588">
        <f t="shared" si="3"/>
        <v>0</v>
      </c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70"/>
    </row>
    <row r="25" spans="1:40" ht="30" hidden="1" customHeight="1" x14ac:dyDescent="0.25">
      <c r="A25" s="225"/>
      <c r="B25" s="226"/>
      <c r="C25" s="28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>
        <f t="shared" si="1"/>
        <v>0</v>
      </c>
      <c r="S25" s="155"/>
      <c r="T25" s="155"/>
      <c r="U25" s="155"/>
      <c r="V25" s="161"/>
      <c r="W25" s="155"/>
      <c r="X25" s="161">
        <f t="shared" si="2"/>
        <v>0</v>
      </c>
      <c r="Y25" s="588">
        <f t="shared" si="3"/>
        <v>0</v>
      </c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70"/>
    </row>
    <row r="26" spans="1:40" ht="30" hidden="1" customHeight="1" x14ac:dyDescent="0.25">
      <c r="A26" s="225"/>
      <c r="B26" s="226"/>
      <c r="C26" s="28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>
        <f t="shared" si="1"/>
        <v>0</v>
      </c>
      <c r="S26" s="155"/>
      <c r="T26" s="155"/>
      <c r="U26" s="155"/>
      <c r="V26" s="161"/>
      <c r="W26" s="155"/>
      <c r="X26" s="161">
        <f t="shared" si="2"/>
        <v>0</v>
      </c>
      <c r="Y26" s="588">
        <f t="shared" si="3"/>
        <v>0</v>
      </c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70"/>
    </row>
    <row r="27" spans="1:40" ht="30" hidden="1" customHeight="1" x14ac:dyDescent="0.25">
      <c r="A27" s="225"/>
      <c r="B27" s="226"/>
      <c r="C27" s="444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>
        <f t="shared" si="1"/>
        <v>0</v>
      </c>
      <c r="S27" s="155"/>
      <c r="T27" s="155"/>
      <c r="U27" s="155"/>
      <c r="V27" s="161"/>
      <c r="W27" s="155"/>
      <c r="X27" s="161"/>
      <c r="Y27" s="588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70"/>
    </row>
    <row r="28" spans="1:40" ht="30" hidden="1" customHeight="1" x14ac:dyDescent="0.25">
      <c r="A28" s="82"/>
      <c r="B28" s="137"/>
      <c r="C28" s="28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>
        <f t="shared" si="1"/>
        <v>0</v>
      </c>
      <c r="S28" s="155"/>
      <c r="T28" s="155"/>
      <c r="U28" s="155"/>
      <c r="V28" s="161"/>
      <c r="W28" s="155"/>
      <c r="X28" s="161"/>
      <c r="Y28" s="588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70"/>
    </row>
    <row r="29" spans="1:40" ht="9.9499999999999993" hidden="1" customHeight="1" x14ac:dyDescent="0.25">
      <c r="A29" s="82"/>
      <c r="B29" s="137"/>
      <c r="C29" s="28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61"/>
      <c r="W29" s="155"/>
      <c r="X29" s="161"/>
      <c r="Y29" s="588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70"/>
    </row>
    <row r="30" spans="1:40" ht="30" hidden="1" customHeight="1" x14ac:dyDescent="0.25">
      <c r="A30" s="210" t="s">
        <v>88</v>
      </c>
      <c r="B30" s="206"/>
      <c r="C30" s="211" t="s">
        <v>86</v>
      </c>
      <c r="D30" s="155">
        <f t="shared" ref="D30:I30" si="4">SUM(D18:D28)</f>
        <v>2204.0250000000001</v>
      </c>
      <c r="E30" s="155">
        <f t="shared" si="4"/>
        <v>416.20699999999999</v>
      </c>
      <c r="F30" s="155">
        <f t="shared" si="4"/>
        <v>3810</v>
      </c>
      <c r="G30" s="155">
        <f t="shared" si="4"/>
        <v>0</v>
      </c>
      <c r="H30" s="155">
        <f t="shared" si="4"/>
        <v>0</v>
      </c>
      <c r="I30" s="155">
        <f t="shared" si="4"/>
        <v>0</v>
      </c>
      <c r="J30" s="155"/>
      <c r="K30" s="155">
        <f t="shared" ref="K30:Q30" si="5">SUM(K18:K28)</f>
        <v>0</v>
      </c>
      <c r="L30" s="155">
        <f t="shared" si="5"/>
        <v>0</v>
      </c>
      <c r="M30" s="155">
        <f t="shared" si="5"/>
        <v>0</v>
      </c>
      <c r="N30" s="155">
        <f t="shared" si="5"/>
        <v>0</v>
      </c>
      <c r="O30" s="155">
        <f t="shared" si="5"/>
        <v>0</v>
      </c>
      <c r="P30" s="155">
        <f t="shared" si="5"/>
        <v>0</v>
      </c>
      <c r="Q30" s="155">
        <f t="shared" si="5"/>
        <v>0</v>
      </c>
      <c r="R30" s="155">
        <f t="shared" si="1"/>
        <v>6430.232</v>
      </c>
      <c r="S30" s="155"/>
      <c r="T30" s="155">
        <f>SUM(T18:T28)</f>
        <v>0</v>
      </c>
      <c r="U30" s="155">
        <f>SUM(U18:U28)</f>
        <v>0</v>
      </c>
      <c r="V30" s="161">
        <f>SUM(V18:V28)</f>
        <v>0</v>
      </c>
      <c r="W30" s="155">
        <f>SUM(W18:W28)</f>
        <v>0</v>
      </c>
      <c r="X30" s="161">
        <f t="shared" si="2"/>
        <v>0</v>
      </c>
      <c r="Y30" s="589">
        <f t="shared" si="3"/>
        <v>6430.232</v>
      </c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70"/>
    </row>
    <row r="31" spans="1:40" ht="30" hidden="1" customHeight="1" x14ac:dyDescent="0.25">
      <c r="A31" s="82"/>
      <c r="B31" s="137"/>
      <c r="C31" s="28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61"/>
      <c r="W31" s="155"/>
      <c r="X31" s="161"/>
      <c r="Y31" s="588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70"/>
    </row>
    <row r="32" spans="1:40" ht="30" hidden="1" customHeight="1" x14ac:dyDescent="0.25">
      <c r="A32" s="82">
        <v>4</v>
      </c>
      <c r="B32" s="137" t="s">
        <v>236</v>
      </c>
      <c r="C32" s="28" t="s">
        <v>237</v>
      </c>
      <c r="D32" s="155"/>
      <c r="E32" s="155"/>
      <c r="F32" s="155">
        <f>-78-21</f>
        <v>-99</v>
      </c>
      <c r="G32" s="155"/>
      <c r="H32" s="155"/>
      <c r="I32" s="155"/>
      <c r="J32" s="155"/>
      <c r="K32" s="155"/>
      <c r="L32" s="155">
        <f>78+21</f>
        <v>99</v>
      </c>
      <c r="M32" s="155"/>
      <c r="N32" s="155"/>
      <c r="O32" s="155"/>
      <c r="P32" s="155"/>
      <c r="Q32" s="155"/>
      <c r="R32" s="155">
        <f t="shared" si="1"/>
        <v>0</v>
      </c>
      <c r="S32" s="155"/>
      <c r="T32" s="155"/>
      <c r="U32" s="155"/>
      <c r="V32" s="161"/>
      <c r="W32" s="155"/>
      <c r="X32" s="161">
        <f t="shared" si="2"/>
        <v>0</v>
      </c>
      <c r="Y32" s="588">
        <f t="shared" si="3"/>
        <v>0</v>
      </c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70"/>
    </row>
    <row r="33" spans="1:40" ht="30" hidden="1" customHeight="1" x14ac:dyDescent="0.25">
      <c r="A33" s="82">
        <v>5</v>
      </c>
      <c r="B33" s="590" t="s">
        <v>271</v>
      </c>
      <c r="C33" s="41" t="s">
        <v>272</v>
      </c>
      <c r="D33" s="155"/>
      <c r="E33" s="155"/>
      <c r="F33" s="155">
        <f>-487-267</f>
        <v>-754</v>
      </c>
      <c r="G33" s="155"/>
      <c r="H33" s="155"/>
      <c r="I33" s="155"/>
      <c r="J33" s="155"/>
      <c r="K33" s="155"/>
      <c r="L33" s="155">
        <f>487+267</f>
        <v>754</v>
      </c>
      <c r="M33" s="155"/>
      <c r="N33" s="155"/>
      <c r="O33" s="155"/>
      <c r="P33" s="155"/>
      <c r="Q33" s="155"/>
      <c r="R33" s="155">
        <f t="shared" si="1"/>
        <v>0</v>
      </c>
      <c r="S33" s="155"/>
      <c r="T33" s="155"/>
      <c r="U33" s="155"/>
      <c r="V33" s="161"/>
      <c r="W33" s="155"/>
      <c r="X33" s="161">
        <f t="shared" si="2"/>
        <v>0</v>
      </c>
      <c r="Y33" s="588">
        <f t="shared" si="3"/>
        <v>0</v>
      </c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70"/>
    </row>
    <row r="34" spans="1:40" ht="30" hidden="1" customHeight="1" x14ac:dyDescent="0.25">
      <c r="A34" s="82">
        <v>6</v>
      </c>
      <c r="B34" s="590" t="s">
        <v>287</v>
      </c>
      <c r="C34" s="41" t="s">
        <v>273</v>
      </c>
      <c r="D34" s="155">
        <f>2929</f>
        <v>2929</v>
      </c>
      <c r="E34" s="155">
        <f>322.484</f>
        <v>322.48399999999998</v>
      </c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>
        <f t="shared" si="1"/>
        <v>3251.4839999999999</v>
      </c>
      <c r="S34" s="155"/>
      <c r="T34" s="155"/>
      <c r="U34" s="155"/>
      <c r="V34" s="161"/>
      <c r="W34" s="155"/>
      <c r="X34" s="161">
        <f t="shared" si="2"/>
        <v>0</v>
      </c>
      <c r="Y34" s="588">
        <f t="shared" si="3"/>
        <v>3251.4839999999999</v>
      </c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70"/>
    </row>
    <row r="35" spans="1:40" ht="30" hidden="1" customHeight="1" x14ac:dyDescent="0.25">
      <c r="A35" s="82" t="s">
        <v>117</v>
      </c>
      <c r="B35" s="590"/>
      <c r="C35" s="41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>
        <f t="shared" si="1"/>
        <v>0</v>
      </c>
      <c r="S35" s="155"/>
      <c r="T35" s="155"/>
      <c r="U35" s="155"/>
      <c r="V35" s="161"/>
      <c r="W35" s="155"/>
      <c r="X35" s="161">
        <f t="shared" si="2"/>
        <v>0</v>
      </c>
      <c r="Y35" s="588">
        <f t="shared" si="3"/>
        <v>0</v>
      </c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70"/>
    </row>
    <row r="36" spans="1:40" ht="30" hidden="1" customHeight="1" x14ac:dyDescent="0.25">
      <c r="A36" s="82" t="s">
        <v>117</v>
      </c>
      <c r="B36" s="590"/>
      <c r="C36" s="41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>
        <f t="shared" si="1"/>
        <v>0</v>
      </c>
      <c r="S36" s="155"/>
      <c r="T36" s="155"/>
      <c r="U36" s="155"/>
      <c r="V36" s="161"/>
      <c r="W36" s="155"/>
      <c r="X36" s="161">
        <f t="shared" si="2"/>
        <v>0</v>
      </c>
      <c r="Y36" s="588">
        <f t="shared" si="3"/>
        <v>0</v>
      </c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70"/>
    </row>
    <row r="37" spans="1:40" ht="30" hidden="1" customHeight="1" x14ac:dyDescent="0.25">
      <c r="A37" s="82" t="s">
        <v>117</v>
      </c>
      <c r="B37" s="590"/>
      <c r="C37" s="41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>
        <f t="shared" si="1"/>
        <v>0</v>
      </c>
      <c r="S37" s="155"/>
      <c r="T37" s="155"/>
      <c r="U37" s="155"/>
      <c r="V37" s="161"/>
      <c r="W37" s="155"/>
      <c r="X37" s="161">
        <f t="shared" si="2"/>
        <v>0</v>
      </c>
      <c r="Y37" s="588">
        <f t="shared" si="3"/>
        <v>0</v>
      </c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70"/>
    </row>
    <row r="38" spans="1:40" ht="30" hidden="1" customHeight="1" x14ac:dyDescent="0.25">
      <c r="A38" s="82" t="s">
        <v>117</v>
      </c>
      <c r="B38" s="590"/>
      <c r="C38" s="41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>
        <f t="shared" si="1"/>
        <v>0</v>
      </c>
      <c r="S38" s="155"/>
      <c r="T38" s="155"/>
      <c r="U38" s="155"/>
      <c r="V38" s="161"/>
      <c r="W38" s="155"/>
      <c r="X38" s="161">
        <f t="shared" si="2"/>
        <v>0</v>
      </c>
      <c r="Y38" s="588">
        <f t="shared" si="3"/>
        <v>0</v>
      </c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0"/>
    </row>
    <row r="39" spans="1:40" ht="30" hidden="1" customHeight="1" x14ac:dyDescent="0.25">
      <c r="A39" s="82">
        <v>7</v>
      </c>
      <c r="B39" s="645" t="s">
        <v>290</v>
      </c>
      <c r="C39" s="41" t="s">
        <v>289</v>
      </c>
      <c r="D39" s="155"/>
      <c r="E39" s="155"/>
      <c r="F39" s="155"/>
      <c r="G39" s="155"/>
      <c r="H39" s="155"/>
      <c r="I39" s="155"/>
      <c r="J39" s="155"/>
      <c r="K39" s="155"/>
      <c r="L39" s="155">
        <f>414+112</f>
        <v>526</v>
      </c>
      <c r="M39" s="155"/>
      <c r="N39" s="155"/>
      <c r="O39" s="155"/>
      <c r="P39" s="155"/>
      <c r="Q39" s="155"/>
      <c r="R39" s="155">
        <f t="shared" si="1"/>
        <v>526</v>
      </c>
      <c r="S39" s="155"/>
      <c r="T39" s="155"/>
      <c r="U39" s="155"/>
      <c r="V39" s="161"/>
      <c r="W39" s="155"/>
      <c r="X39" s="161">
        <f t="shared" si="2"/>
        <v>0</v>
      </c>
      <c r="Y39" s="588">
        <f t="shared" si="3"/>
        <v>526</v>
      </c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70"/>
    </row>
    <row r="40" spans="1:40" ht="30" hidden="1" customHeight="1" x14ac:dyDescent="0.25">
      <c r="A40" s="82">
        <v>8</v>
      </c>
      <c r="B40" s="226" t="s">
        <v>321</v>
      </c>
      <c r="C40" s="28" t="s">
        <v>322</v>
      </c>
      <c r="D40" s="155"/>
      <c r="E40" s="155"/>
      <c r="F40" s="155">
        <f>290+78-110-30+110+30</f>
        <v>368</v>
      </c>
      <c r="G40" s="155"/>
      <c r="H40" s="155"/>
      <c r="I40" s="155"/>
      <c r="J40" s="155"/>
      <c r="K40" s="155"/>
      <c r="L40" s="155">
        <f>-290-78</f>
        <v>-368</v>
      </c>
      <c r="M40" s="155"/>
      <c r="N40" s="155"/>
      <c r="O40" s="155"/>
      <c r="P40" s="155"/>
      <c r="Q40" s="155"/>
      <c r="R40" s="155">
        <f t="shared" si="1"/>
        <v>0</v>
      </c>
      <c r="S40" s="155"/>
      <c r="T40" s="155"/>
      <c r="U40" s="155"/>
      <c r="V40" s="161"/>
      <c r="W40" s="155"/>
      <c r="X40" s="161">
        <f t="shared" si="2"/>
        <v>0</v>
      </c>
      <c r="Y40" s="588">
        <f t="shared" si="3"/>
        <v>0</v>
      </c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70"/>
    </row>
    <row r="41" spans="1:40" ht="30" hidden="1" customHeight="1" x14ac:dyDescent="0.25">
      <c r="A41" s="82">
        <v>9</v>
      </c>
      <c r="B41" s="649" t="s">
        <v>329</v>
      </c>
      <c r="C41" s="41" t="s">
        <v>273</v>
      </c>
      <c r="D41" s="155">
        <v>374</v>
      </c>
      <c r="E41" s="155">
        <v>40.969000000000001</v>
      </c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>
        <f t="shared" si="1"/>
        <v>414.96899999999999</v>
      </c>
      <c r="S41" s="155"/>
      <c r="T41" s="155"/>
      <c r="U41" s="155"/>
      <c r="V41" s="161"/>
      <c r="W41" s="155"/>
      <c r="X41" s="161">
        <f t="shared" si="2"/>
        <v>0</v>
      </c>
      <c r="Y41" s="588">
        <f t="shared" si="3"/>
        <v>414.96899999999999</v>
      </c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70"/>
    </row>
    <row r="42" spans="1:40" ht="30" hidden="1" customHeight="1" x14ac:dyDescent="0.25">
      <c r="A42" s="82"/>
      <c r="B42" s="226"/>
      <c r="C42" s="28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61"/>
      <c r="W42" s="155"/>
      <c r="X42" s="161"/>
      <c r="Y42" s="588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70"/>
    </row>
    <row r="43" spans="1:40" ht="30" hidden="1" customHeight="1" x14ac:dyDescent="0.25">
      <c r="A43" s="82"/>
      <c r="B43" s="226"/>
      <c r="C43" s="28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61"/>
      <c r="W43" s="155"/>
      <c r="X43" s="161"/>
      <c r="Y43" s="588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70"/>
    </row>
    <row r="44" spans="1:40" ht="9.9499999999999993" hidden="1" customHeight="1" x14ac:dyDescent="0.25">
      <c r="A44" s="82"/>
      <c r="B44" s="137"/>
      <c r="C44" s="28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61"/>
      <c r="W44" s="155"/>
      <c r="X44" s="161"/>
      <c r="Y44" s="588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70"/>
    </row>
    <row r="45" spans="1:40" ht="30" hidden="1" customHeight="1" x14ac:dyDescent="0.25">
      <c r="A45" s="210" t="s">
        <v>89</v>
      </c>
      <c r="B45" s="206"/>
      <c r="C45" s="211" t="s">
        <v>87</v>
      </c>
      <c r="D45" s="155">
        <f t="shared" ref="D45:Q45" si="6">SUM(D32:D42)</f>
        <v>3303</v>
      </c>
      <c r="E45" s="155">
        <f t="shared" si="6"/>
        <v>363.45299999999997</v>
      </c>
      <c r="F45" s="155">
        <f t="shared" si="6"/>
        <v>-485</v>
      </c>
      <c r="G45" s="155">
        <f t="shared" si="6"/>
        <v>0</v>
      </c>
      <c r="H45" s="155">
        <f t="shared" si="6"/>
        <v>0</v>
      </c>
      <c r="I45" s="155">
        <f t="shared" si="6"/>
        <v>0</v>
      </c>
      <c r="J45" s="155">
        <f t="shared" si="6"/>
        <v>0</v>
      </c>
      <c r="K45" s="155">
        <f t="shared" si="6"/>
        <v>0</v>
      </c>
      <c r="L45" s="155">
        <f t="shared" si="6"/>
        <v>1011</v>
      </c>
      <c r="M45" s="155">
        <f t="shared" si="6"/>
        <v>0</v>
      </c>
      <c r="N45" s="155">
        <f t="shared" si="6"/>
        <v>0</v>
      </c>
      <c r="O45" s="155">
        <f t="shared" si="6"/>
        <v>0</v>
      </c>
      <c r="P45" s="155">
        <f t="shared" si="6"/>
        <v>0</v>
      </c>
      <c r="Q45" s="155">
        <f t="shared" si="6"/>
        <v>0</v>
      </c>
      <c r="R45" s="155">
        <f t="shared" si="1"/>
        <v>4192.4529999999995</v>
      </c>
      <c r="S45" s="155"/>
      <c r="T45" s="155">
        <f>SUM(T32:T42)</f>
        <v>0</v>
      </c>
      <c r="U45" s="155">
        <f>SUM(U32:U42)</f>
        <v>0</v>
      </c>
      <c r="V45" s="155">
        <f>SUM(V32:V42)</f>
        <v>0</v>
      </c>
      <c r="W45" s="155">
        <f>SUM(W32:W42)</f>
        <v>0</v>
      </c>
      <c r="X45" s="161">
        <f t="shared" si="2"/>
        <v>0</v>
      </c>
      <c r="Y45" s="589">
        <f t="shared" si="3"/>
        <v>4192.4529999999995</v>
      </c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70"/>
    </row>
    <row r="46" spans="1:40" ht="30" hidden="1" customHeight="1" x14ac:dyDescent="0.25">
      <c r="A46" s="82"/>
      <c r="B46" s="137"/>
      <c r="C46" s="28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3"/>
      <c r="W46" s="72"/>
      <c r="X46" s="73"/>
      <c r="Y46" s="83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70"/>
    </row>
    <row r="47" spans="1:40" ht="17.25" hidden="1" thickBot="1" x14ac:dyDescent="0.25">
      <c r="A47" s="82"/>
      <c r="B47" s="126"/>
      <c r="C47" s="159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3"/>
      <c r="W47" s="72"/>
      <c r="X47" s="73"/>
      <c r="Y47" s="83"/>
    </row>
    <row r="48" spans="1:40" ht="30" hidden="1" customHeight="1" thickTop="1" thickBot="1" x14ac:dyDescent="0.25">
      <c r="A48" s="134"/>
      <c r="B48" s="90"/>
      <c r="C48" s="44" t="s">
        <v>90</v>
      </c>
      <c r="D48" s="86">
        <f t="shared" ref="D48:W48" si="7">D30+D45</f>
        <v>5507.0249999999996</v>
      </c>
      <c r="E48" s="86">
        <f t="shared" si="7"/>
        <v>779.66</v>
      </c>
      <c r="F48" s="86">
        <f t="shared" si="7"/>
        <v>3325</v>
      </c>
      <c r="G48" s="86">
        <f t="shared" si="7"/>
        <v>0</v>
      </c>
      <c r="H48" s="86">
        <f t="shared" si="7"/>
        <v>0</v>
      </c>
      <c r="I48" s="86">
        <f t="shared" si="7"/>
        <v>0</v>
      </c>
      <c r="J48" s="86">
        <f t="shared" si="7"/>
        <v>0</v>
      </c>
      <c r="K48" s="86">
        <f t="shared" si="7"/>
        <v>0</v>
      </c>
      <c r="L48" s="86">
        <f t="shared" si="7"/>
        <v>1011</v>
      </c>
      <c r="M48" s="86">
        <f t="shared" si="7"/>
        <v>0</v>
      </c>
      <c r="N48" s="86">
        <f t="shared" si="7"/>
        <v>0</v>
      </c>
      <c r="O48" s="86">
        <f t="shared" si="7"/>
        <v>0</v>
      </c>
      <c r="P48" s="86">
        <f t="shared" si="7"/>
        <v>0</v>
      </c>
      <c r="Q48" s="86">
        <f t="shared" si="7"/>
        <v>0</v>
      </c>
      <c r="R48" s="86">
        <f t="shared" si="1"/>
        <v>10622.684999999999</v>
      </c>
      <c r="S48" s="86"/>
      <c r="T48" s="86">
        <f t="shared" si="7"/>
        <v>0</v>
      </c>
      <c r="U48" s="86">
        <f t="shared" si="7"/>
        <v>0</v>
      </c>
      <c r="V48" s="87">
        <f t="shared" si="7"/>
        <v>0</v>
      </c>
      <c r="W48" s="86">
        <f t="shared" si="7"/>
        <v>0</v>
      </c>
      <c r="X48" s="86">
        <f t="shared" si="2"/>
        <v>0</v>
      </c>
      <c r="Y48" s="80">
        <f t="shared" si="3"/>
        <v>10622.684999999999</v>
      </c>
    </row>
    <row r="49" spans="1:72" ht="9.9499999999999993" hidden="1" customHeight="1" thickTop="1" x14ac:dyDescent="0.2">
      <c r="A49" s="619"/>
      <c r="B49" s="187"/>
      <c r="C49" s="188"/>
      <c r="D49" s="633"/>
      <c r="E49" s="633"/>
      <c r="F49" s="633"/>
      <c r="G49" s="633"/>
      <c r="H49" s="633"/>
      <c r="I49" s="633"/>
      <c r="J49" s="633"/>
      <c r="K49" s="633"/>
      <c r="L49" s="633"/>
      <c r="M49" s="633"/>
      <c r="N49" s="633"/>
      <c r="O49" s="633"/>
      <c r="P49" s="633"/>
      <c r="Q49" s="633"/>
      <c r="R49" s="633"/>
      <c r="S49" s="633"/>
      <c r="T49" s="633"/>
      <c r="U49" s="633"/>
      <c r="V49" s="553"/>
      <c r="W49" s="633"/>
      <c r="X49" s="553"/>
      <c r="Y49" s="634"/>
    </row>
    <row r="50" spans="1:72" ht="30" hidden="1" customHeight="1" x14ac:dyDescent="0.2">
      <c r="A50" s="635"/>
      <c r="B50" s="30"/>
      <c r="C50" s="636"/>
      <c r="D50" s="637"/>
      <c r="E50" s="637"/>
      <c r="F50" s="637"/>
      <c r="G50" s="637"/>
      <c r="H50" s="637"/>
      <c r="I50" s="637"/>
      <c r="J50" s="637"/>
      <c r="K50" s="637"/>
      <c r="L50" s="637"/>
      <c r="M50" s="637"/>
      <c r="N50" s="637"/>
      <c r="O50" s="637"/>
      <c r="P50" s="637"/>
      <c r="Q50" s="637"/>
      <c r="R50" s="637">
        <f>SUM(D50:Q50)</f>
        <v>0</v>
      </c>
      <c r="S50" s="637"/>
      <c r="T50" s="637"/>
      <c r="U50" s="637"/>
      <c r="V50" s="638"/>
      <c r="W50" s="637"/>
      <c r="X50" s="638">
        <f>SUM(T50:W50)</f>
        <v>0</v>
      </c>
      <c r="Y50" s="639">
        <f>R50+X50</f>
        <v>0</v>
      </c>
    </row>
    <row r="51" spans="1:72" ht="9.9499999999999993" hidden="1" customHeight="1" thickBot="1" x14ac:dyDescent="0.25">
      <c r="A51" s="629"/>
      <c r="B51" s="196"/>
      <c r="C51" s="197"/>
      <c r="D51" s="640"/>
      <c r="E51" s="640"/>
      <c r="F51" s="640"/>
      <c r="G51" s="640"/>
      <c r="H51" s="640"/>
      <c r="I51" s="640"/>
      <c r="J51" s="640"/>
      <c r="K51" s="640"/>
      <c r="L51" s="640"/>
      <c r="M51" s="640"/>
      <c r="N51" s="640"/>
      <c r="O51" s="640"/>
      <c r="P51" s="640"/>
      <c r="Q51" s="640"/>
      <c r="R51" s="640"/>
      <c r="S51" s="640"/>
      <c r="T51" s="640"/>
      <c r="U51" s="640"/>
      <c r="V51" s="641"/>
      <c r="W51" s="640"/>
      <c r="X51" s="641"/>
      <c r="Y51" s="642"/>
    </row>
    <row r="52" spans="1:72" ht="30" hidden="1" customHeight="1" thickTop="1" thickBot="1" x14ac:dyDescent="0.25">
      <c r="A52" s="134"/>
      <c r="B52" s="90"/>
      <c r="C52" s="44" t="s">
        <v>154</v>
      </c>
      <c r="D52" s="127">
        <f t="shared" ref="D52:K52" si="8">D17+D48</f>
        <v>1673375.0249999999</v>
      </c>
      <c r="E52" s="127">
        <f t="shared" si="8"/>
        <v>415565.66</v>
      </c>
      <c r="F52" s="127">
        <f t="shared" si="8"/>
        <v>491188</v>
      </c>
      <c r="G52" s="127">
        <f t="shared" si="8"/>
        <v>685</v>
      </c>
      <c r="H52" s="127">
        <f t="shared" si="8"/>
        <v>0</v>
      </c>
      <c r="I52" s="127">
        <f t="shared" si="8"/>
        <v>0</v>
      </c>
      <c r="J52" s="127">
        <f t="shared" si="8"/>
        <v>0</v>
      </c>
      <c r="K52" s="127">
        <f t="shared" si="8"/>
        <v>0</v>
      </c>
      <c r="L52" s="127">
        <f>L17+L48+L50</f>
        <v>156450</v>
      </c>
      <c r="M52" s="127">
        <f>M17+M48</f>
        <v>7400</v>
      </c>
      <c r="N52" s="127">
        <f>N17+N48</f>
        <v>0</v>
      </c>
      <c r="O52" s="127">
        <f>O17+O48</f>
        <v>5000</v>
      </c>
      <c r="P52" s="127">
        <f>P17+P48</f>
        <v>0</v>
      </c>
      <c r="Q52" s="127">
        <f>Q17+Q48</f>
        <v>0</v>
      </c>
      <c r="R52" s="127">
        <f>SUM(D52:Q52)</f>
        <v>2749663.6849999996</v>
      </c>
      <c r="S52" s="127"/>
      <c r="T52" s="127">
        <f>T17+T48</f>
        <v>0</v>
      </c>
      <c r="U52" s="127">
        <f>U17+U48</f>
        <v>0</v>
      </c>
      <c r="V52" s="357">
        <f>V17+V48</f>
        <v>0</v>
      </c>
      <c r="W52" s="127">
        <f>W17+W48</f>
        <v>0</v>
      </c>
      <c r="X52" s="357">
        <f t="shared" si="2"/>
        <v>0</v>
      </c>
      <c r="Y52" s="157">
        <f>R52+X52+Y50</f>
        <v>2749663.6849999996</v>
      </c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</row>
    <row r="53" spans="1:72" ht="17.25" hidden="1" thickTop="1" x14ac:dyDescent="0.2">
      <c r="A53" s="26"/>
      <c r="B53" s="135" t="s">
        <v>65</v>
      </c>
      <c r="C53" s="94" t="s">
        <v>147</v>
      </c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>
        <f t="shared" si="1"/>
        <v>0</v>
      </c>
      <c r="S53" s="95"/>
      <c r="T53" s="95"/>
      <c r="U53" s="95"/>
      <c r="V53" s="99"/>
      <c r="W53" s="95"/>
      <c r="X53" s="99">
        <f t="shared" si="2"/>
        <v>0</v>
      </c>
      <c r="Y53" s="102">
        <f t="shared" si="3"/>
        <v>0</v>
      </c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</row>
    <row r="54" spans="1:72" hidden="1" x14ac:dyDescent="0.2">
      <c r="A54" s="26"/>
      <c r="B54" s="74" t="s">
        <v>69</v>
      </c>
      <c r="C54" s="96" t="s">
        <v>147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>
        <f t="shared" si="1"/>
        <v>0</v>
      </c>
      <c r="S54" s="97"/>
      <c r="T54" s="97"/>
      <c r="U54" s="97"/>
      <c r="V54" s="100"/>
      <c r="W54" s="97"/>
      <c r="X54" s="100">
        <f t="shared" si="2"/>
        <v>0</v>
      </c>
      <c r="Y54" s="103">
        <f t="shared" si="3"/>
        <v>0</v>
      </c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</row>
    <row r="55" spans="1:72" hidden="1" x14ac:dyDescent="0.2">
      <c r="A55" s="26"/>
      <c r="B55" s="74" t="s">
        <v>83</v>
      </c>
      <c r="C55" s="96" t="s">
        <v>147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>
        <f t="shared" si="1"/>
        <v>0</v>
      </c>
      <c r="S55" s="97"/>
      <c r="T55" s="97"/>
      <c r="U55" s="97"/>
      <c r="V55" s="100"/>
      <c r="W55" s="97"/>
      <c r="X55" s="100">
        <f t="shared" si="2"/>
        <v>0</v>
      </c>
      <c r="Y55" s="103">
        <f t="shared" si="3"/>
        <v>0</v>
      </c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</row>
    <row r="56" spans="1:72" ht="16.5" hidden="1" customHeight="1" thickTop="1" x14ac:dyDescent="0.2">
      <c r="A56" s="26"/>
      <c r="B56" s="74" t="s">
        <v>84</v>
      </c>
      <c r="C56" s="96" t="s">
        <v>147</v>
      </c>
      <c r="D56" s="97"/>
      <c r="E56" s="97"/>
      <c r="F56" s="650">
        <f>2000.537</f>
        <v>2000.537</v>
      </c>
      <c r="G56" s="97"/>
      <c r="H56" s="97">
        <v>87741</v>
      </c>
      <c r="I56" s="97"/>
      <c r="J56" s="97"/>
      <c r="K56" s="97"/>
      <c r="L56" s="97"/>
      <c r="M56" s="97"/>
      <c r="N56" s="97"/>
      <c r="O56" s="97"/>
      <c r="P56" s="97"/>
      <c r="Q56" s="97"/>
      <c r="R56" s="97">
        <f t="shared" si="1"/>
        <v>89741.536999999997</v>
      </c>
      <c r="S56" s="97"/>
      <c r="T56" s="97"/>
      <c r="U56" s="97"/>
      <c r="V56" s="100"/>
      <c r="W56" s="97"/>
      <c r="X56" s="100">
        <f t="shared" si="2"/>
        <v>0</v>
      </c>
      <c r="Y56" s="103">
        <f t="shared" si="3"/>
        <v>89741.536999999997</v>
      </c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</row>
    <row r="57" spans="1:72" hidden="1" x14ac:dyDescent="0.2">
      <c r="A57" s="26"/>
      <c r="B57" s="74" t="s">
        <v>51</v>
      </c>
      <c r="C57" s="96" t="s">
        <v>147</v>
      </c>
      <c r="D57" s="97"/>
      <c r="E57" s="97"/>
      <c r="F57" s="97">
        <f>5530+1472</f>
        <v>7002</v>
      </c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>
        <f t="shared" si="1"/>
        <v>7002</v>
      </c>
      <c r="S57" s="97"/>
      <c r="T57" s="97"/>
      <c r="U57" s="97"/>
      <c r="V57" s="100"/>
      <c r="W57" s="97"/>
      <c r="X57" s="100">
        <f t="shared" si="2"/>
        <v>0</v>
      </c>
      <c r="Y57" s="103">
        <f t="shared" si="3"/>
        <v>7002</v>
      </c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</row>
    <row r="58" spans="1:72" hidden="1" x14ac:dyDescent="0.2">
      <c r="A58" s="26"/>
      <c r="B58" s="74" t="s">
        <v>52</v>
      </c>
      <c r="C58" s="96" t="s">
        <v>147</v>
      </c>
      <c r="D58" s="97">
        <f>35613+385+60</f>
        <v>36058</v>
      </c>
      <c r="E58" s="97">
        <f>46997+804+723</f>
        <v>48524</v>
      </c>
      <c r="F58" s="97">
        <v>5000</v>
      </c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>
        <f t="shared" si="1"/>
        <v>89582</v>
      </c>
      <c r="S58" s="97"/>
      <c r="T58" s="97"/>
      <c r="U58" s="97"/>
      <c r="V58" s="100"/>
      <c r="W58" s="97"/>
      <c r="X58" s="100">
        <f t="shared" si="2"/>
        <v>0</v>
      </c>
      <c r="Y58" s="103">
        <f t="shared" si="3"/>
        <v>89582</v>
      </c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</row>
    <row r="59" spans="1:72" hidden="1" x14ac:dyDescent="0.2">
      <c r="A59" s="26"/>
      <c r="B59" s="74" t="s">
        <v>66</v>
      </c>
      <c r="C59" s="96" t="s">
        <v>147</v>
      </c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>
        <f t="shared" si="1"/>
        <v>0</v>
      </c>
      <c r="S59" s="97"/>
      <c r="T59" s="97"/>
      <c r="U59" s="97"/>
      <c r="V59" s="100"/>
      <c r="W59" s="97"/>
      <c r="X59" s="100">
        <f t="shared" si="2"/>
        <v>0</v>
      </c>
      <c r="Y59" s="103">
        <f t="shared" si="3"/>
        <v>0</v>
      </c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</row>
    <row r="60" spans="1:72" hidden="1" x14ac:dyDescent="0.2">
      <c r="A60" s="26"/>
      <c r="B60" s="74" t="s">
        <v>55</v>
      </c>
      <c r="C60" s="96" t="s">
        <v>147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>
        <f t="shared" si="1"/>
        <v>0</v>
      </c>
      <c r="S60" s="97"/>
      <c r="T60" s="97"/>
      <c r="U60" s="97"/>
      <c r="V60" s="100"/>
      <c r="W60" s="97"/>
      <c r="X60" s="100">
        <f t="shared" si="2"/>
        <v>0</v>
      </c>
      <c r="Y60" s="103">
        <f t="shared" si="3"/>
        <v>0</v>
      </c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</row>
    <row r="61" spans="1:72" hidden="1" x14ac:dyDescent="0.2">
      <c r="A61" s="26"/>
      <c r="B61" s="74" t="s">
        <v>58</v>
      </c>
      <c r="C61" s="96" t="s">
        <v>147</v>
      </c>
      <c r="D61" s="97">
        <f>1459+21</f>
        <v>1480</v>
      </c>
      <c r="E61" s="97">
        <f>2371+15+16</f>
        <v>2402</v>
      </c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>
        <f t="shared" si="1"/>
        <v>3882</v>
      </c>
      <c r="S61" s="97"/>
      <c r="T61" s="97"/>
      <c r="U61" s="97"/>
      <c r="V61" s="100"/>
      <c r="W61" s="97"/>
      <c r="X61" s="100">
        <f t="shared" si="2"/>
        <v>0</v>
      </c>
      <c r="Y61" s="103">
        <f t="shared" si="3"/>
        <v>3882</v>
      </c>
      <c r="Z61" s="85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</row>
    <row r="62" spans="1:72" hidden="1" x14ac:dyDescent="0.2">
      <c r="A62" s="26"/>
      <c r="B62" s="74" t="s">
        <v>114</v>
      </c>
      <c r="C62" s="96" t="s">
        <v>147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>
        <f t="shared" si="1"/>
        <v>0</v>
      </c>
      <c r="S62" s="97"/>
      <c r="T62" s="97"/>
      <c r="U62" s="97"/>
      <c r="V62" s="100"/>
      <c r="W62" s="97"/>
      <c r="X62" s="100">
        <f t="shared" si="2"/>
        <v>0</v>
      </c>
      <c r="Y62" s="103">
        <f t="shared" si="3"/>
        <v>0</v>
      </c>
      <c r="Z62" s="85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</row>
    <row r="63" spans="1:72" hidden="1" x14ac:dyDescent="0.2">
      <c r="A63" s="26"/>
      <c r="B63" s="74" t="s">
        <v>61</v>
      </c>
      <c r="C63" s="96" t="s">
        <v>147</v>
      </c>
      <c r="D63" s="97"/>
      <c r="E63" s="97"/>
      <c r="F63" s="97">
        <f>667+181+1950+527+236+64+1374+371+4000+1080+300</f>
        <v>10750</v>
      </c>
      <c r="G63" s="97"/>
      <c r="H63" s="97"/>
      <c r="I63" s="97"/>
      <c r="J63" s="97"/>
      <c r="K63" s="97"/>
      <c r="L63" s="97">
        <f>319+86+661+179+95+26+1249+337+686+185+1069+289</f>
        <v>5181</v>
      </c>
      <c r="M63" s="97">
        <f>5512+1488</f>
        <v>7000</v>
      </c>
      <c r="N63" s="97"/>
      <c r="O63" s="97"/>
      <c r="P63" s="97"/>
      <c r="Q63" s="97"/>
      <c r="R63" s="97">
        <f t="shared" si="1"/>
        <v>22931</v>
      </c>
      <c r="S63" s="97"/>
      <c r="T63" s="97"/>
      <c r="U63" s="97"/>
      <c r="V63" s="100"/>
      <c r="W63" s="97"/>
      <c r="X63" s="100">
        <f t="shared" si="2"/>
        <v>0</v>
      </c>
      <c r="Y63" s="103">
        <f t="shared" si="3"/>
        <v>22931</v>
      </c>
      <c r="Z63" s="85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</row>
    <row r="64" spans="1:72" hidden="1" x14ac:dyDescent="0.2">
      <c r="A64" s="26"/>
      <c r="B64" s="74" t="s">
        <v>72</v>
      </c>
      <c r="C64" s="96" t="s">
        <v>147</v>
      </c>
      <c r="D64" s="97"/>
      <c r="E64" s="97"/>
      <c r="F64" s="97"/>
      <c r="G64" s="97"/>
      <c r="H64" s="97"/>
      <c r="I64" s="97"/>
      <c r="J64" s="97"/>
      <c r="K64" s="97"/>
      <c r="L64" s="97">
        <f>2965+801+7479+2020+3300+891+960+259</f>
        <v>18675</v>
      </c>
      <c r="M64" s="97"/>
      <c r="N64" s="97"/>
      <c r="O64" s="97"/>
      <c r="P64" s="97"/>
      <c r="Q64" s="97"/>
      <c r="R64" s="97">
        <f t="shared" si="1"/>
        <v>18675</v>
      </c>
      <c r="S64" s="97"/>
      <c r="T64" s="97"/>
      <c r="U64" s="97"/>
      <c r="V64" s="100"/>
      <c r="W64" s="97"/>
      <c r="X64" s="100">
        <f t="shared" si="2"/>
        <v>0</v>
      </c>
      <c r="Y64" s="103">
        <f t="shared" si="3"/>
        <v>18675</v>
      </c>
      <c r="Z64" s="85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</row>
    <row r="65" spans="1:72" hidden="1" x14ac:dyDescent="0.2">
      <c r="A65" s="26"/>
      <c r="B65" s="275" t="s">
        <v>115</v>
      </c>
      <c r="C65" s="96" t="s">
        <v>147</v>
      </c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>
        <f t="shared" si="1"/>
        <v>0</v>
      </c>
      <c r="S65" s="301"/>
      <c r="T65" s="301"/>
      <c r="U65" s="301"/>
      <c r="V65" s="302"/>
      <c r="W65" s="301"/>
      <c r="X65" s="302">
        <f t="shared" si="2"/>
        <v>0</v>
      </c>
      <c r="Y65" s="103">
        <f t="shared" si="3"/>
        <v>0</v>
      </c>
      <c r="Z65" s="85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</row>
    <row r="66" spans="1:72" hidden="1" x14ac:dyDescent="0.2">
      <c r="A66" s="26"/>
      <c r="B66" s="275" t="s">
        <v>91</v>
      </c>
      <c r="C66" s="96" t="s">
        <v>147</v>
      </c>
      <c r="D66" s="301">
        <f>200</f>
        <v>200</v>
      </c>
      <c r="E66" s="301"/>
      <c r="F66" s="301">
        <f>200+54+300+81+200+54+14</f>
        <v>903</v>
      </c>
      <c r="G66" s="301"/>
      <c r="H66" s="301"/>
      <c r="I66" s="301"/>
      <c r="J66" s="301"/>
      <c r="K66" s="301"/>
      <c r="L66" s="301">
        <f>453+123</f>
        <v>576</v>
      </c>
      <c r="M66" s="301"/>
      <c r="N66" s="301"/>
      <c r="O66" s="301"/>
      <c r="P66" s="301"/>
      <c r="Q66" s="301"/>
      <c r="R66" s="301">
        <f t="shared" si="1"/>
        <v>1679</v>
      </c>
      <c r="S66" s="301"/>
      <c r="T66" s="301"/>
      <c r="U66" s="301"/>
      <c r="V66" s="302"/>
      <c r="W66" s="301"/>
      <c r="X66" s="302">
        <f t="shared" si="2"/>
        <v>0</v>
      </c>
      <c r="Y66" s="103">
        <f t="shared" si="3"/>
        <v>1679</v>
      </c>
      <c r="Z66" s="85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</row>
    <row r="67" spans="1:72" hidden="1" x14ac:dyDescent="0.2">
      <c r="A67" s="26"/>
      <c r="B67" s="299" t="s">
        <v>116</v>
      </c>
      <c r="C67" s="300" t="s">
        <v>147</v>
      </c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>
        <f t="shared" si="1"/>
        <v>0</v>
      </c>
      <c r="S67" s="301"/>
      <c r="T67" s="301"/>
      <c r="U67" s="301"/>
      <c r="V67" s="302"/>
      <c r="W67" s="301"/>
      <c r="X67" s="302">
        <f t="shared" si="2"/>
        <v>0</v>
      </c>
      <c r="Y67" s="303">
        <f t="shared" si="3"/>
        <v>0</v>
      </c>
      <c r="Z67" s="85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</row>
    <row r="68" spans="1:72" ht="17.25" hidden="1" thickBot="1" x14ac:dyDescent="0.25">
      <c r="A68" s="26"/>
      <c r="B68" s="455"/>
      <c r="C68" s="456"/>
      <c r="D68" s="457"/>
      <c r="E68" s="457"/>
      <c r="F68" s="457"/>
      <c r="G68" s="457"/>
      <c r="H68" s="457"/>
      <c r="I68" s="457"/>
      <c r="J68" s="457"/>
      <c r="K68" s="457"/>
      <c r="L68" s="457"/>
      <c r="M68" s="457"/>
      <c r="N68" s="457"/>
      <c r="O68" s="457"/>
      <c r="P68" s="457"/>
      <c r="Q68" s="457"/>
      <c r="R68" s="457"/>
      <c r="S68" s="457"/>
      <c r="T68" s="457"/>
      <c r="U68" s="457"/>
      <c r="V68" s="458"/>
      <c r="W68" s="457"/>
      <c r="X68" s="458"/>
      <c r="Y68" s="459"/>
      <c r="Z68" s="85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</row>
    <row r="69" spans="1:72" s="81" customFormat="1" ht="30" hidden="1" customHeight="1" thickTop="1" thickBot="1" x14ac:dyDescent="0.25">
      <c r="A69" s="134"/>
      <c r="B69" s="304"/>
      <c r="C69" s="305" t="s">
        <v>227</v>
      </c>
      <c r="D69" s="306">
        <f t="shared" ref="D69:I69" si="9">SUM(D53:D67)</f>
        <v>37738</v>
      </c>
      <c r="E69" s="306">
        <f t="shared" si="9"/>
        <v>50926</v>
      </c>
      <c r="F69" s="306">
        <f t="shared" si="9"/>
        <v>25655.537</v>
      </c>
      <c r="G69" s="306">
        <f t="shared" si="9"/>
        <v>0</v>
      </c>
      <c r="H69" s="306">
        <f t="shared" si="9"/>
        <v>87741</v>
      </c>
      <c r="I69" s="306">
        <f t="shared" si="9"/>
        <v>0</v>
      </c>
      <c r="J69" s="306"/>
      <c r="K69" s="306">
        <f t="shared" ref="K69:W69" si="10">SUM(K53:K67)</f>
        <v>0</v>
      </c>
      <c r="L69" s="306">
        <f t="shared" si="10"/>
        <v>24432</v>
      </c>
      <c r="M69" s="306">
        <f t="shared" si="10"/>
        <v>7000</v>
      </c>
      <c r="N69" s="306">
        <f t="shared" si="10"/>
        <v>0</v>
      </c>
      <c r="O69" s="306">
        <f t="shared" si="10"/>
        <v>0</v>
      </c>
      <c r="P69" s="306">
        <f t="shared" si="10"/>
        <v>0</v>
      </c>
      <c r="Q69" s="306">
        <f t="shared" si="10"/>
        <v>0</v>
      </c>
      <c r="R69" s="306">
        <f t="shared" si="1"/>
        <v>233492.53700000001</v>
      </c>
      <c r="S69" s="306"/>
      <c r="T69" s="306">
        <f t="shared" si="10"/>
        <v>0</v>
      </c>
      <c r="U69" s="306">
        <f t="shared" si="10"/>
        <v>0</v>
      </c>
      <c r="V69" s="478">
        <f t="shared" si="10"/>
        <v>0</v>
      </c>
      <c r="W69" s="306">
        <f t="shared" si="10"/>
        <v>0</v>
      </c>
      <c r="X69" s="478">
        <f t="shared" si="2"/>
        <v>0</v>
      </c>
      <c r="Y69" s="80">
        <f t="shared" si="3"/>
        <v>233492.53700000001</v>
      </c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</row>
    <row r="70" spans="1:72" s="53" customFormat="1" ht="16.5" hidden="1" customHeight="1" thickTop="1" thickBot="1" x14ac:dyDescent="0.25">
      <c r="A70" s="148"/>
      <c r="B70" s="309"/>
      <c r="C70" s="310"/>
      <c r="D70" s="311"/>
      <c r="E70" s="311"/>
      <c r="F70" s="311"/>
      <c r="G70" s="311"/>
      <c r="H70" s="311"/>
      <c r="I70" s="311"/>
      <c r="J70" s="311"/>
      <c r="K70" s="311"/>
      <c r="L70" s="311"/>
      <c r="M70" s="311"/>
      <c r="N70" s="311"/>
      <c r="O70" s="311"/>
      <c r="P70" s="311"/>
      <c r="Q70" s="311"/>
      <c r="R70" s="311"/>
      <c r="S70" s="311"/>
      <c r="T70" s="311"/>
      <c r="U70" s="311"/>
      <c r="V70" s="479"/>
      <c r="W70" s="311"/>
      <c r="X70" s="479"/>
      <c r="Y70" s="312"/>
    </row>
    <row r="71" spans="1:72" ht="30" hidden="1" customHeight="1" thickTop="1" thickBot="1" x14ac:dyDescent="0.35">
      <c r="A71" s="133"/>
      <c r="B71" s="460" t="s">
        <v>174</v>
      </c>
      <c r="C71" s="44" t="s">
        <v>229</v>
      </c>
      <c r="D71" s="86">
        <f>D52+D69</f>
        <v>1711113.0249999999</v>
      </c>
      <c r="E71" s="86">
        <f t="shared" ref="E71:Q71" si="11">E52+E69</f>
        <v>466491.66</v>
      </c>
      <c r="F71" s="86">
        <f t="shared" si="11"/>
        <v>516843.53700000001</v>
      </c>
      <c r="G71" s="86">
        <f t="shared" si="11"/>
        <v>685</v>
      </c>
      <c r="H71" s="86">
        <f t="shared" si="11"/>
        <v>87741</v>
      </c>
      <c r="I71" s="86">
        <f t="shared" si="11"/>
        <v>0</v>
      </c>
      <c r="J71" s="86">
        <f t="shared" si="11"/>
        <v>0</v>
      </c>
      <c r="K71" s="86">
        <f t="shared" si="11"/>
        <v>0</v>
      </c>
      <c r="L71" s="86">
        <f>L52+L69</f>
        <v>180882</v>
      </c>
      <c r="M71" s="86">
        <f t="shared" si="11"/>
        <v>14400</v>
      </c>
      <c r="N71" s="86">
        <f t="shared" si="11"/>
        <v>0</v>
      </c>
      <c r="O71" s="86">
        <f t="shared" si="11"/>
        <v>5000</v>
      </c>
      <c r="P71" s="86">
        <f t="shared" si="11"/>
        <v>0</v>
      </c>
      <c r="Q71" s="86">
        <f t="shared" si="11"/>
        <v>0</v>
      </c>
      <c r="R71" s="86">
        <f t="shared" si="1"/>
        <v>2983156.2220000001</v>
      </c>
      <c r="S71" s="86"/>
      <c r="T71" s="86">
        <f>T52+T69</f>
        <v>0</v>
      </c>
      <c r="U71" s="86">
        <f>U52+U69</f>
        <v>0</v>
      </c>
      <c r="V71" s="86">
        <f>V52+V69</f>
        <v>0</v>
      </c>
      <c r="W71" s="86">
        <f>W52+W69</f>
        <v>0</v>
      </c>
      <c r="X71" s="86">
        <f t="shared" si="2"/>
        <v>0</v>
      </c>
      <c r="Y71" s="86">
        <f t="shared" si="3"/>
        <v>2983156.2220000001</v>
      </c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</row>
    <row r="72" spans="1:72" ht="24.95" hidden="1" customHeight="1" x14ac:dyDescent="0.25">
      <c r="A72" s="131"/>
      <c r="B72" s="272"/>
      <c r="C72" s="132" t="s">
        <v>18</v>
      </c>
      <c r="D72" s="221">
        <f t="shared" ref="D72:L72" si="12">D71</f>
        <v>1711113.0249999999</v>
      </c>
      <c r="E72" s="221">
        <f t="shared" si="12"/>
        <v>466491.66</v>
      </c>
      <c r="F72" s="221">
        <f t="shared" si="12"/>
        <v>516843.53700000001</v>
      </c>
      <c r="G72" s="221">
        <f t="shared" si="12"/>
        <v>685</v>
      </c>
      <c r="H72" s="221">
        <f t="shared" si="12"/>
        <v>87741</v>
      </c>
      <c r="I72" s="221">
        <f t="shared" si="12"/>
        <v>0</v>
      </c>
      <c r="J72" s="221">
        <f t="shared" si="12"/>
        <v>0</v>
      </c>
      <c r="K72" s="221">
        <f t="shared" si="12"/>
        <v>0</v>
      </c>
      <c r="L72" s="221">
        <f t="shared" si="12"/>
        <v>180882</v>
      </c>
      <c r="M72" s="221">
        <f t="shared" ref="M72:W72" si="13">M71</f>
        <v>14400</v>
      </c>
      <c r="N72" s="221">
        <f t="shared" si="13"/>
        <v>0</v>
      </c>
      <c r="O72" s="221">
        <f t="shared" si="13"/>
        <v>5000</v>
      </c>
      <c r="P72" s="221">
        <f t="shared" si="13"/>
        <v>0</v>
      </c>
      <c r="Q72" s="221">
        <f t="shared" si="13"/>
        <v>0</v>
      </c>
      <c r="R72" s="221">
        <f t="shared" si="1"/>
        <v>2983156.2220000001</v>
      </c>
      <c r="S72" s="221"/>
      <c r="T72" s="221">
        <f>T71</f>
        <v>0</v>
      </c>
      <c r="U72" s="221">
        <f>U71</f>
        <v>0</v>
      </c>
      <c r="V72" s="263">
        <f t="shared" si="13"/>
        <v>0</v>
      </c>
      <c r="W72" s="151">
        <f t="shared" si="13"/>
        <v>0</v>
      </c>
      <c r="X72" s="428">
        <f t="shared" si="2"/>
        <v>0</v>
      </c>
      <c r="Y72" s="327">
        <f t="shared" si="3"/>
        <v>2983156.2220000001</v>
      </c>
    </row>
    <row r="73" spans="1:72" ht="24" hidden="1" customHeight="1" x14ac:dyDescent="0.25">
      <c r="A73" s="18"/>
      <c r="B73" s="489"/>
      <c r="C73" s="41"/>
      <c r="D73" s="488"/>
      <c r="E73" s="488"/>
      <c r="F73" s="488"/>
      <c r="G73" s="487"/>
      <c r="H73" s="487"/>
      <c r="I73" s="487"/>
      <c r="J73" s="487"/>
      <c r="K73" s="487"/>
      <c r="L73" s="487"/>
      <c r="M73" s="487"/>
      <c r="N73" s="487"/>
      <c r="O73" s="487"/>
      <c r="P73" s="487"/>
      <c r="Q73" s="487"/>
      <c r="R73" s="487"/>
      <c r="S73" s="487"/>
      <c r="T73" s="487"/>
      <c r="U73" s="487"/>
      <c r="V73" s="507"/>
      <c r="W73" s="487"/>
      <c r="X73" s="500"/>
      <c r="Y73" s="267"/>
    </row>
    <row r="74" spans="1:72" ht="30" hidden="1" customHeight="1" x14ac:dyDescent="0.2">
      <c r="A74" s="82">
        <v>1</v>
      </c>
      <c r="B74" s="673" t="s">
        <v>395</v>
      </c>
      <c r="C74" s="28" t="s">
        <v>277</v>
      </c>
      <c r="D74" s="155">
        <v>1568.7</v>
      </c>
      <c r="E74" s="155">
        <v>345.11399999999998</v>
      </c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>
        <f t="shared" si="1"/>
        <v>1913.8140000000001</v>
      </c>
      <c r="S74" s="155"/>
      <c r="T74" s="155"/>
      <c r="U74" s="155"/>
      <c r="V74" s="161"/>
      <c r="W74" s="155"/>
      <c r="X74" s="435">
        <f t="shared" si="2"/>
        <v>0</v>
      </c>
      <c r="Y74" s="267">
        <f t="shared" si="3"/>
        <v>1913.8140000000001</v>
      </c>
    </row>
    <row r="75" spans="1:72" ht="30" hidden="1" customHeight="1" x14ac:dyDescent="0.2">
      <c r="A75" s="82">
        <v>2</v>
      </c>
      <c r="B75" s="673" t="s">
        <v>410</v>
      </c>
      <c r="C75" s="28" t="s">
        <v>407</v>
      </c>
      <c r="D75" s="155"/>
      <c r="E75" s="155"/>
      <c r="G75" s="155"/>
      <c r="H75" s="155"/>
      <c r="I75" s="155"/>
      <c r="J75" s="155"/>
      <c r="K75" s="155"/>
      <c r="L75" s="155">
        <f>2329+629</f>
        <v>2958</v>
      </c>
      <c r="M75" s="155"/>
      <c r="N75" s="155"/>
      <c r="O75" s="155"/>
      <c r="P75" s="155"/>
      <c r="Q75" s="155"/>
      <c r="R75" s="155">
        <f t="shared" si="1"/>
        <v>2958</v>
      </c>
      <c r="S75" s="155"/>
      <c r="T75" s="155"/>
      <c r="U75" s="155"/>
      <c r="V75" s="161"/>
      <c r="W75" s="155"/>
      <c r="X75" s="435">
        <f t="shared" si="2"/>
        <v>0</v>
      </c>
      <c r="Y75" s="267">
        <f t="shared" si="3"/>
        <v>2958</v>
      </c>
    </row>
    <row r="76" spans="1:72" ht="30" hidden="1" customHeight="1" x14ac:dyDescent="0.2">
      <c r="A76" s="82">
        <v>3</v>
      </c>
      <c r="B76" s="680" t="s">
        <v>411</v>
      </c>
      <c r="C76" s="28" t="s">
        <v>409</v>
      </c>
      <c r="D76" s="155"/>
      <c r="E76" s="155"/>
      <c r="F76" s="155">
        <f>1939+523</f>
        <v>2462</v>
      </c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>
        <f t="shared" si="1"/>
        <v>2462</v>
      </c>
      <c r="S76" s="155"/>
      <c r="T76" s="155"/>
      <c r="U76" s="155"/>
      <c r="V76" s="161"/>
      <c r="W76" s="155"/>
      <c r="X76" s="435">
        <f t="shared" si="2"/>
        <v>0</v>
      </c>
      <c r="Y76" s="267">
        <f t="shared" si="3"/>
        <v>2462</v>
      </c>
    </row>
    <row r="77" spans="1:72" ht="30" hidden="1" customHeight="1" x14ac:dyDescent="0.2">
      <c r="A77" s="82">
        <v>4</v>
      </c>
      <c r="B77" s="226" t="s">
        <v>510</v>
      </c>
      <c r="C77" s="28" t="s">
        <v>509</v>
      </c>
      <c r="D77" s="155"/>
      <c r="E77" s="155"/>
      <c r="F77" s="155">
        <f>-145-39</f>
        <v>-184</v>
      </c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>
        <f t="shared" si="1"/>
        <v>-184</v>
      </c>
      <c r="S77" s="155"/>
      <c r="T77" s="155"/>
      <c r="U77" s="155"/>
      <c r="V77" s="161"/>
      <c r="W77" s="155"/>
      <c r="X77" s="435">
        <f t="shared" si="2"/>
        <v>0</v>
      </c>
      <c r="Y77" s="267">
        <f t="shared" si="3"/>
        <v>-184</v>
      </c>
    </row>
    <row r="78" spans="1:72" ht="30" hidden="1" customHeight="1" x14ac:dyDescent="0.2">
      <c r="A78" s="82">
        <v>5</v>
      </c>
      <c r="B78" s="687" t="s">
        <v>535</v>
      </c>
      <c r="C78" s="28" t="s">
        <v>277</v>
      </c>
      <c r="D78" s="155">
        <f>1485.2</f>
        <v>1485.2</v>
      </c>
      <c r="E78" s="155">
        <f>326.744</f>
        <v>326.74400000000003</v>
      </c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>
        <f t="shared" si="1"/>
        <v>1811.944</v>
      </c>
      <c r="S78" s="155"/>
      <c r="T78" s="155"/>
      <c r="U78" s="155"/>
      <c r="V78" s="161"/>
      <c r="W78" s="155"/>
      <c r="X78" s="435">
        <f t="shared" si="2"/>
        <v>0</v>
      </c>
      <c r="Y78" s="267">
        <f t="shared" si="3"/>
        <v>1811.944</v>
      </c>
    </row>
    <row r="79" spans="1:72" ht="30" hidden="1" customHeight="1" x14ac:dyDescent="0.2">
      <c r="A79" s="82">
        <v>6</v>
      </c>
      <c r="B79" s="226" t="s">
        <v>549</v>
      </c>
      <c r="C79" s="28" t="s">
        <v>548</v>
      </c>
      <c r="D79" s="155">
        <f>1230</f>
        <v>1230</v>
      </c>
      <c r="E79" s="155">
        <f>270</f>
        <v>270</v>
      </c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>
        <f t="shared" si="1"/>
        <v>1500</v>
      </c>
      <c r="S79" s="155"/>
      <c r="T79" s="155"/>
      <c r="U79" s="155"/>
      <c r="V79" s="161"/>
      <c r="W79" s="155"/>
      <c r="X79" s="435">
        <f t="shared" si="2"/>
        <v>0</v>
      </c>
      <c r="Y79" s="267">
        <f t="shared" si="3"/>
        <v>1500</v>
      </c>
    </row>
    <row r="80" spans="1:72" ht="30" hidden="1" customHeight="1" x14ac:dyDescent="0.2">
      <c r="A80" s="82">
        <v>7</v>
      </c>
      <c r="B80" s="649" t="s">
        <v>558</v>
      </c>
      <c r="C80" s="28" t="s">
        <v>559</v>
      </c>
      <c r="D80" s="155">
        <f>3937</f>
        <v>3937</v>
      </c>
      <c r="E80" s="155">
        <f>1063</f>
        <v>1063</v>
      </c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>
        <f t="shared" si="1"/>
        <v>5000</v>
      </c>
      <c r="S80" s="155"/>
      <c r="T80" s="155"/>
      <c r="U80" s="155"/>
      <c r="V80" s="161"/>
      <c r="W80" s="155"/>
      <c r="X80" s="435">
        <f t="shared" si="2"/>
        <v>0</v>
      </c>
      <c r="Y80" s="267">
        <f t="shared" si="3"/>
        <v>5000</v>
      </c>
    </row>
    <row r="81" spans="1:25" ht="30" hidden="1" customHeight="1" x14ac:dyDescent="0.2">
      <c r="A81" s="82"/>
      <c r="B81" s="226"/>
      <c r="C81" s="28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5"/>
      <c r="Q81" s="155"/>
      <c r="R81" s="155">
        <f t="shared" si="1"/>
        <v>0</v>
      </c>
      <c r="S81" s="155"/>
      <c r="T81" s="155"/>
      <c r="U81" s="155"/>
      <c r="V81" s="161"/>
      <c r="W81" s="155"/>
      <c r="X81" s="435">
        <f t="shared" si="2"/>
        <v>0</v>
      </c>
      <c r="Y81" s="267">
        <f t="shared" si="3"/>
        <v>0</v>
      </c>
    </row>
    <row r="82" spans="1:25" ht="30" hidden="1" customHeight="1" x14ac:dyDescent="0.2">
      <c r="A82" s="82"/>
      <c r="B82" s="226"/>
      <c r="C82" s="28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>
        <f t="shared" si="1"/>
        <v>0</v>
      </c>
      <c r="S82" s="155"/>
      <c r="T82" s="155"/>
      <c r="U82" s="155"/>
      <c r="V82" s="161"/>
      <c r="W82" s="155"/>
      <c r="X82" s="435">
        <f t="shared" si="2"/>
        <v>0</v>
      </c>
      <c r="Y82" s="267">
        <f t="shared" si="3"/>
        <v>0</v>
      </c>
    </row>
    <row r="83" spans="1:25" ht="30" hidden="1" customHeight="1" x14ac:dyDescent="0.2">
      <c r="A83" s="82"/>
      <c r="B83" s="226"/>
      <c r="C83" s="28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>
        <f t="shared" si="1"/>
        <v>0</v>
      </c>
      <c r="S83" s="155"/>
      <c r="T83" s="155"/>
      <c r="U83" s="155"/>
      <c r="V83" s="161"/>
      <c r="W83" s="155"/>
      <c r="X83" s="435">
        <f t="shared" si="2"/>
        <v>0</v>
      </c>
      <c r="Y83" s="267">
        <f t="shared" si="3"/>
        <v>0</v>
      </c>
    </row>
    <row r="84" spans="1:25" ht="30" hidden="1" customHeight="1" x14ac:dyDescent="0.2">
      <c r="A84" s="82"/>
      <c r="B84" s="226"/>
      <c r="C84" s="28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5"/>
      <c r="Q84" s="155"/>
      <c r="R84" s="155">
        <f t="shared" si="1"/>
        <v>0</v>
      </c>
      <c r="S84" s="155"/>
      <c r="T84" s="155"/>
      <c r="U84" s="155"/>
      <c r="V84" s="161"/>
      <c r="W84" s="155"/>
      <c r="X84" s="435">
        <f t="shared" si="2"/>
        <v>0</v>
      </c>
      <c r="Y84" s="267">
        <f t="shared" si="3"/>
        <v>0</v>
      </c>
    </row>
    <row r="85" spans="1:25" ht="30" hidden="1" customHeight="1" x14ac:dyDescent="0.2">
      <c r="A85" s="82"/>
      <c r="B85" s="226"/>
      <c r="C85" s="28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155"/>
      <c r="R85" s="155">
        <f t="shared" si="1"/>
        <v>0</v>
      </c>
      <c r="S85" s="155"/>
      <c r="T85" s="155"/>
      <c r="U85" s="155"/>
      <c r="V85" s="161"/>
      <c r="W85" s="155"/>
      <c r="X85" s="435">
        <f t="shared" si="2"/>
        <v>0</v>
      </c>
      <c r="Y85" s="267">
        <f t="shared" si="3"/>
        <v>0</v>
      </c>
    </row>
    <row r="86" spans="1:25" ht="30" hidden="1" customHeight="1" x14ac:dyDescent="0.2">
      <c r="A86" s="82"/>
      <c r="B86" s="226"/>
      <c r="C86" s="28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>
        <f t="shared" si="1"/>
        <v>0</v>
      </c>
      <c r="S86" s="155"/>
      <c r="T86" s="155"/>
      <c r="U86" s="155"/>
      <c r="V86" s="161"/>
      <c r="W86" s="155"/>
      <c r="X86" s="435">
        <f t="shared" si="2"/>
        <v>0</v>
      </c>
      <c r="Y86" s="267">
        <f t="shared" si="3"/>
        <v>0</v>
      </c>
    </row>
    <row r="87" spans="1:25" ht="30" hidden="1" customHeight="1" x14ac:dyDescent="0.2">
      <c r="A87" s="82"/>
      <c r="B87" s="226"/>
      <c r="C87" s="28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>
        <f t="shared" si="1"/>
        <v>0</v>
      </c>
      <c r="S87" s="155"/>
      <c r="T87" s="155"/>
      <c r="U87" s="155"/>
      <c r="V87" s="161"/>
      <c r="W87" s="155"/>
      <c r="X87" s="435">
        <f t="shared" si="2"/>
        <v>0</v>
      </c>
      <c r="Y87" s="267">
        <f t="shared" si="3"/>
        <v>0</v>
      </c>
    </row>
    <row r="88" spans="1:25" ht="30" hidden="1" customHeight="1" x14ac:dyDescent="0.2">
      <c r="A88" s="82"/>
      <c r="B88" s="226"/>
      <c r="C88" s="28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>
        <f t="shared" si="1"/>
        <v>0</v>
      </c>
      <c r="S88" s="155"/>
      <c r="T88" s="155"/>
      <c r="U88" s="155"/>
      <c r="V88" s="161"/>
      <c r="W88" s="155"/>
      <c r="X88" s="435">
        <f t="shared" si="2"/>
        <v>0</v>
      </c>
      <c r="Y88" s="267">
        <f t="shared" si="3"/>
        <v>0</v>
      </c>
    </row>
    <row r="89" spans="1:25" ht="24" hidden="1" customHeight="1" x14ac:dyDescent="0.2">
      <c r="A89" s="82"/>
      <c r="B89" s="489"/>
      <c r="C89" s="28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61"/>
      <c r="W89" s="155"/>
      <c r="X89" s="435"/>
      <c r="Y89" s="267"/>
    </row>
    <row r="90" spans="1:25" ht="24" hidden="1" customHeight="1" x14ac:dyDescent="0.2">
      <c r="A90" s="82"/>
      <c r="B90" s="489"/>
      <c r="C90" s="28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61"/>
      <c r="W90" s="155"/>
      <c r="X90" s="435"/>
      <c r="Y90" s="267"/>
    </row>
    <row r="91" spans="1:25" ht="9.9499999999999993" hidden="1" customHeight="1" x14ac:dyDescent="0.2">
      <c r="A91" s="82"/>
      <c r="B91" s="30"/>
      <c r="C91" s="28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61"/>
      <c r="W91" s="155"/>
      <c r="X91" s="435"/>
      <c r="Y91" s="267"/>
    </row>
    <row r="92" spans="1:25" ht="30" hidden="1" customHeight="1" x14ac:dyDescent="0.2">
      <c r="A92" s="210" t="s">
        <v>88</v>
      </c>
      <c r="B92" s="206"/>
      <c r="C92" s="211" t="s">
        <v>86</v>
      </c>
      <c r="D92" s="155">
        <f t="shared" ref="D92:Q92" si="14">SUM(D73:D91)</f>
        <v>8220.9</v>
      </c>
      <c r="E92" s="155">
        <f t="shared" si="14"/>
        <v>2004.8579999999999</v>
      </c>
      <c r="F92" s="155">
        <f t="shared" si="14"/>
        <v>2278</v>
      </c>
      <c r="G92" s="155">
        <f t="shared" si="14"/>
        <v>0</v>
      </c>
      <c r="H92" s="155">
        <f t="shared" si="14"/>
        <v>0</v>
      </c>
      <c r="I92" s="155">
        <f t="shared" si="14"/>
        <v>0</v>
      </c>
      <c r="J92" s="155">
        <f t="shared" si="14"/>
        <v>0</v>
      </c>
      <c r="K92" s="155">
        <f t="shared" si="14"/>
        <v>0</v>
      </c>
      <c r="L92" s="155">
        <f t="shared" si="14"/>
        <v>2958</v>
      </c>
      <c r="M92" s="155">
        <f t="shared" si="14"/>
        <v>0</v>
      </c>
      <c r="N92" s="155">
        <f t="shared" si="14"/>
        <v>0</v>
      </c>
      <c r="O92" s="155">
        <f t="shared" si="14"/>
        <v>0</v>
      </c>
      <c r="P92" s="155">
        <f t="shared" si="14"/>
        <v>0</v>
      </c>
      <c r="Q92" s="155">
        <f t="shared" si="14"/>
        <v>0</v>
      </c>
      <c r="R92" s="155">
        <f t="shared" ref="R92:R157" si="15">SUM(D92:Q92)</f>
        <v>15461.758</v>
      </c>
      <c r="S92" s="155"/>
      <c r="T92" s="155">
        <f>SUM(T73:T91)</f>
        <v>0</v>
      </c>
      <c r="U92" s="155">
        <f>SUM(U73:U91)</f>
        <v>0</v>
      </c>
      <c r="V92" s="161">
        <f>SUM(V73:V91)</f>
        <v>0</v>
      </c>
      <c r="W92" s="155">
        <f>SUM(W73:W91)</f>
        <v>0</v>
      </c>
      <c r="X92" s="435">
        <f t="shared" ref="X92:X157" si="16">SUM(T92:W92)</f>
        <v>0</v>
      </c>
      <c r="Y92" s="330">
        <f t="shared" ref="Y92:Y159" si="17">R92+X92</f>
        <v>15461.758</v>
      </c>
    </row>
    <row r="93" spans="1:25" ht="9.9499999999999993" hidden="1" customHeight="1" x14ac:dyDescent="0.2">
      <c r="A93" s="82"/>
      <c r="B93" s="498"/>
      <c r="C93" s="28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61"/>
      <c r="W93" s="155"/>
      <c r="X93" s="435"/>
      <c r="Y93" s="267"/>
    </row>
    <row r="94" spans="1:25" ht="24" hidden="1" customHeight="1" x14ac:dyDescent="0.25">
      <c r="A94" s="18" t="s">
        <v>117</v>
      </c>
      <c r="B94" s="489" t="s">
        <v>345</v>
      </c>
      <c r="C94" s="324" t="s">
        <v>344</v>
      </c>
      <c r="D94" s="499"/>
      <c r="E94" s="499"/>
      <c r="F94" s="155">
        <f>-539-145</f>
        <v>-684</v>
      </c>
      <c r="G94" s="499"/>
      <c r="H94" s="499"/>
      <c r="I94" s="499"/>
      <c r="J94" s="499"/>
      <c r="K94" s="499"/>
      <c r="L94" s="499">
        <f>539+145</f>
        <v>684</v>
      </c>
      <c r="M94" s="499"/>
      <c r="N94" s="499"/>
      <c r="O94" s="499"/>
      <c r="P94" s="499"/>
      <c r="Q94" s="499"/>
      <c r="R94" s="499">
        <f t="shared" si="15"/>
        <v>0</v>
      </c>
      <c r="S94" s="499"/>
      <c r="T94" s="499"/>
      <c r="U94" s="499"/>
      <c r="V94" s="508"/>
      <c r="W94" s="499"/>
      <c r="X94" s="500">
        <f t="shared" si="16"/>
        <v>0</v>
      </c>
      <c r="Y94" s="267">
        <f t="shared" si="17"/>
        <v>0</v>
      </c>
    </row>
    <row r="95" spans="1:25" ht="24" hidden="1" customHeight="1" x14ac:dyDescent="0.2">
      <c r="A95" s="225" t="s">
        <v>117</v>
      </c>
      <c r="B95" s="228" t="s">
        <v>347</v>
      </c>
      <c r="C95" s="41" t="s">
        <v>346</v>
      </c>
      <c r="D95" s="155"/>
      <c r="E95" s="155"/>
      <c r="G95" s="155"/>
      <c r="H95" s="155">
        <f>-1</f>
        <v>-1</v>
      </c>
      <c r="I95" s="155"/>
      <c r="J95" s="155"/>
      <c r="K95" s="155"/>
      <c r="L95" s="155"/>
      <c r="M95" s="155"/>
      <c r="N95" s="155"/>
      <c r="O95" s="155"/>
      <c r="P95" s="155"/>
      <c r="Q95" s="155"/>
      <c r="R95" s="155">
        <f t="shared" si="15"/>
        <v>-1</v>
      </c>
      <c r="S95" s="155"/>
      <c r="T95" s="155"/>
      <c r="U95" s="155"/>
      <c r="V95" s="161"/>
      <c r="W95" s="155"/>
      <c r="X95" s="435">
        <f t="shared" si="16"/>
        <v>0</v>
      </c>
      <c r="Y95" s="267">
        <f t="shared" si="17"/>
        <v>-1</v>
      </c>
    </row>
    <row r="96" spans="1:25" ht="24" hidden="1" customHeight="1" x14ac:dyDescent="0.2">
      <c r="A96" s="82" t="s">
        <v>117</v>
      </c>
      <c r="B96" s="30" t="s">
        <v>428</v>
      </c>
      <c r="C96" s="41" t="s">
        <v>429</v>
      </c>
      <c r="D96" s="155"/>
      <c r="E96" s="155"/>
      <c r="F96" s="155">
        <f>-573-155</f>
        <v>-728</v>
      </c>
      <c r="G96" s="155"/>
      <c r="H96" s="155"/>
      <c r="I96" s="155"/>
      <c r="J96" s="155"/>
      <c r="K96" s="155"/>
      <c r="L96" s="155">
        <f>573+155</f>
        <v>728</v>
      </c>
      <c r="M96" s="155"/>
      <c r="N96" s="155"/>
      <c r="O96" s="155"/>
      <c r="P96" s="155"/>
      <c r="Q96" s="155"/>
      <c r="R96" s="155">
        <f t="shared" si="15"/>
        <v>0</v>
      </c>
      <c r="S96" s="155"/>
      <c r="T96" s="155"/>
      <c r="U96" s="155"/>
      <c r="V96" s="161"/>
      <c r="W96" s="155"/>
      <c r="X96" s="435">
        <f t="shared" si="16"/>
        <v>0</v>
      </c>
      <c r="Y96" s="267">
        <f t="shared" si="17"/>
        <v>0</v>
      </c>
    </row>
    <row r="97" spans="1:25" ht="24" hidden="1" customHeight="1" x14ac:dyDescent="0.2">
      <c r="A97" s="82" t="s">
        <v>117</v>
      </c>
      <c r="B97" s="681" t="s">
        <v>439</v>
      </c>
      <c r="C97" s="41" t="s">
        <v>440</v>
      </c>
      <c r="D97" s="155">
        <f>1240</f>
        <v>1240</v>
      </c>
      <c r="E97" s="155">
        <f>136.076</f>
        <v>136.07599999999999</v>
      </c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>
        <f t="shared" si="15"/>
        <v>1376.076</v>
      </c>
      <c r="S97" s="155"/>
      <c r="T97" s="155"/>
      <c r="U97" s="155"/>
      <c r="V97" s="161"/>
      <c r="W97" s="155"/>
      <c r="X97" s="435">
        <f t="shared" si="16"/>
        <v>0</v>
      </c>
      <c r="Y97" s="267">
        <f t="shared" si="17"/>
        <v>1376.076</v>
      </c>
    </row>
    <row r="98" spans="1:25" ht="24" hidden="1" customHeight="1" x14ac:dyDescent="0.2">
      <c r="A98" s="82" t="s">
        <v>117</v>
      </c>
      <c r="B98" s="228" t="s">
        <v>463</v>
      </c>
      <c r="C98" s="28" t="s">
        <v>464</v>
      </c>
      <c r="D98" s="155"/>
      <c r="E98" s="155"/>
      <c r="F98" s="155">
        <f>-458-123</f>
        <v>-581</v>
      </c>
      <c r="G98" s="155"/>
      <c r="H98" s="155"/>
      <c r="I98" s="155"/>
      <c r="J98" s="155"/>
      <c r="K98" s="155"/>
      <c r="L98" s="155">
        <f>-787-213+1245+336</f>
        <v>581</v>
      </c>
      <c r="M98" s="155"/>
      <c r="N98" s="155"/>
      <c r="O98" s="155"/>
      <c r="P98" s="155"/>
      <c r="Q98" s="155"/>
      <c r="R98" s="155">
        <f t="shared" si="15"/>
        <v>0</v>
      </c>
      <c r="S98" s="155"/>
      <c r="T98" s="155"/>
      <c r="U98" s="155"/>
      <c r="V98" s="161"/>
      <c r="W98" s="155"/>
      <c r="X98" s="435">
        <f t="shared" si="16"/>
        <v>0</v>
      </c>
      <c r="Y98" s="267">
        <f t="shared" si="17"/>
        <v>0</v>
      </c>
    </row>
    <row r="99" spans="1:25" ht="24" hidden="1" customHeight="1" x14ac:dyDescent="0.2">
      <c r="A99" s="82" t="s">
        <v>117</v>
      </c>
      <c r="B99" s="228" t="s">
        <v>504</v>
      </c>
      <c r="C99" s="28" t="s">
        <v>505</v>
      </c>
      <c r="D99" s="155"/>
      <c r="E99" s="155"/>
      <c r="F99" s="155">
        <f>-1800-486</f>
        <v>-2286</v>
      </c>
      <c r="G99" s="155"/>
      <c r="H99" s="155"/>
      <c r="I99" s="155"/>
      <c r="J99" s="155"/>
      <c r="K99" s="155"/>
      <c r="L99" s="155">
        <f>832+168+270+800+216</f>
        <v>2286</v>
      </c>
      <c r="M99" s="155"/>
      <c r="N99" s="155"/>
      <c r="O99" s="155"/>
      <c r="P99" s="155"/>
      <c r="Q99" s="155"/>
      <c r="R99" s="155">
        <f t="shared" si="15"/>
        <v>0</v>
      </c>
      <c r="S99" s="155"/>
      <c r="T99" s="155"/>
      <c r="U99" s="155"/>
      <c r="V99" s="161"/>
      <c r="W99" s="155"/>
      <c r="X99" s="435">
        <f t="shared" si="16"/>
        <v>0</v>
      </c>
      <c r="Y99" s="267">
        <f t="shared" si="17"/>
        <v>0</v>
      </c>
    </row>
    <row r="100" spans="1:25" ht="24" hidden="1" customHeight="1" x14ac:dyDescent="0.2">
      <c r="A100" s="82"/>
      <c r="B100" s="686" t="s">
        <v>536</v>
      </c>
      <c r="C100" s="41" t="s">
        <v>440</v>
      </c>
      <c r="D100" s="155">
        <f>1197+573.75</f>
        <v>1770.75</v>
      </c>
      <c r="E100" s="155">
        <f>131.364+126.228</f>
        <v>257.59199999999998</v>
      </c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>
        <f t="shared" si="15"/>
        <v>2028.3420000000001</v>
      </c>
      <c r="S100" s="155"/>
      <c r="T100" s="155"/>
      <c r="U100" s="155"/>
      <c r="V100" s="161"/>
      <c r="W100" s="155"/>
      <c r="X100" s="435">
        <f t="shared" si="16"/>
        <v>0</v>
      </c>
      <c r="Y100" s="267">
        <f t="shared" si="17"/>
        <v>2028.3420000000001</v>
      </c>
    </row>
    <row r="101" spans="1:25" ht="24" hidden="1" customHeight="1" x14ac:dyDescent="0.2">
      <c r="A101" s="82"/>
      <c r="B101" s="32" t="s">
        <v>569</v>
      </c>
      <c r="C101" s="34" t="s">
        <v>570</v>
      </c>
      <c r="D101" s="155"/>
      <c r="E101" s="155"/>
      <c r="F101" s="155"/>
      <c r="G101" s="155"/>
      <c r="H101" s="155"/>
      <c r="I101" s="155"/>
      <c r="J101" s="155"/>
      <c r="K101" s="155"/>
      <c r="L101" s="155">
        <f>-578-156</f>
        <v>-734</v>
      </c>
      <c r="M101" s="155">
        <f>578+156</f>
        <v>734</v>
      </c>
      <c r="N101" s="155"/>
      <c r="O101" s="155"/>
      <c r="P101" s="155"/>
      <c r="Q101" s="155"/>
      <c r="R101" s="155">
        <f t="shared" si="15"/>
        <v>0</v>
      </c>
      <c r="S101" s="155"/>
      <c r="T101" s="155"/>
      <c r="U101" s="155"/>
      <c r="V101" s="161"/>
      <c r="W101" s="155"/>
      <c r="X101" s="435">
        <f t="shared" si="16"/>
        <v>0</v>
      </c>
      <c r="Y101" s="267">
        <f t="shared" si="17"/>
        <v>0</v>
      </c>
    </row>
    <row r="102" spans="1:25" ht="24" hidden="1" customHeight="1" x14ac:dyDescent="0.2">
      <c r="A102" s="82"/>
      <c r="B102" s="229" t="s">
        <v>571</v>
      </c>
      <c r="C102" s="34" t="s">
        <v>440</v>
      </c>
      <c r="D102" s="155">
        <f>531</f>
        <v>531</v>
      </c>
      <c r="E102" s="155">
        <f>58.913</f>
        <v>58.912999999999997</v>
      </c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55"/>
      <c r="R102" s="155">
        <f t="shared" si="15"/>
        <v>589.91300000000001</v>
      </c>
      <c r="S102" s="155"/>
      <c r="T102" s="155"/>
      <c r="U102" s="155"/>
      <c r="V102" s="161"/>
      <c r="W102" s="155"/>
      <c r="X102" s="435">
        <f t="shared" si="16"/>
        <v>0</v>
      </c>
      <c r="Y102" s="267">
        <f t="shared" si="17"/>
        <v>589.91300000000001</v>
      </c>
    </row>
    <row r="103" spans="1:25" ht="24" hidden="1" customHeight="1" x14ac:dyDescent="0.2">
      <c r="A103" s="82"/>
      <c r="B103" s="703" t="s">
        <v>580</v>
      </c>
      <c r="C103" s="34" t="s">
        <v>440</v>
      </c>
      <c r="D103" s="155">
        <f>216.375</f>
        <v>216.375</v>
      </c>
      <c r="E103" s="155">
        <f>47.603</f>
        <v>47.603000000000002</v>
      </c>
      <c r="F103" s="155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5">
        <f t="shared" si="15"/>
        <v>263.97800000000001</v>
      </c>
      <c r="S103" s="155"/>
      <c r="T103" s="155"/>
      <c r="U103" s="155"/>
      <c r="V103" s="161"/>
      <c r="W103" s="155"/>
      <c r="X103" s="435">
        <f t="shared" si="16"/>
        <v>0</v>
      </c>
      <c r="Y103" s="267">
        <f t="shared" si="17"/>
        <v>263.97800000000001</v>
      </c>
    </row>
    <row r="104" spans="1:25" ht="24" hidden="1" customHeight="1" x14ac:dyDescent="0.2">
      <c r="A104" s="82"/>
      <c r="B104" s="31"/>
      <c r="C104" s="41"/>
      <c r="D104" s="160"/>
      <c r="E104" s="160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>
        <f t="shared" si="15"/>
        <v>0</v>
      </c>
      <c r="S104" s="155"/>
      <c r="T104" s="155"/>
      <c r="U104" s="155"/>
      <c r="V104" s="161"/>
      <c r="W104" s="155"/>
      <c r="X104" s="435">
        <f t="shared" si="16"/>
        <v>0</v>
      </c>
      <c r="Y104" s="267">
        <f t="shared" si="17"/>
        <v>0</v>
      </c>
    </row>
    <row r="105" spans="1:25" ht="24" hidden="1" customHeight="1" x14ac:dyDescent="0.2">
      <c r="A105" s="82"/>
      <c r="B105" s="31"/>
      <c r="C105" s="41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55"/>
      <c r="R105" s="155">
        <f t="shared" si="15"/>
        <v>0</v>
      </c>
      <c r="S105" s="155"/>
      <c r="T105" s="155"/>
      <c r="U105" s="155"/>
      <c r="V105" s="161"/>
      <c r="W105" s="155"/>
      <c r="X105" s="435">
        <f t="shared" si="16"/>
        <v>0</v>
      </c>
      <c r="Y105" s="267">
        <f t="shared" si="17"/>
        <v>0</v>
      </c>
    </row>
    <row r="106" spans="1:25" ht="24" hidden="1" customHeight="1" x14ac:dyDescent="0.2">
      <c r="A106" s="82"/>
      <c r="B106" s="31"/>
      <c r="C106" s="41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>
        <f t="shared" si="15"/>
        <v>0</v>
      </c>
      <c r="S106" s="155"/>
      <c r="T106" s="155"/>
      <c r="U106" s="155"/>
      <c r="V106" s="161"/>
      <c r="W106" s="155"/>
      <c r="X106" s="435">
        <f t="shared" si="16"/>
        <v>0</v>
      </c>
      <c r="Y106" s="267">
        <f t="shared" si="17"/>
        <v>0</v>
      </c>
    </row>
    <row r="107" spans="1:25" ht="24" hidden="1" customHeight="1" x14ac:dyDescent="0.2">
      <c r="A107" s="82"/>
      <c r="B107" s="31"/>
      <c r="C107" s="41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61"/>
      <c r="W107" s="155"/>
      <c r="X107" s="435"/>
      <c r="Y107" s="267"/>
    </row>
    <row r="108" spans="1:25" ht="24" hidden="1" customHeight="1" x14ac:dyDescent="0.2">
      <c r="A108" s="82"/>
      <c r="B108" s="104"/>
      <c r="C108" s="28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61"/>
      <c r="W108" s="155"/>
      <c r="X108" s="435"/>
      <c r="Y108" s="267"/>
    </row>
    <row r="109" spans="1:25" ht="9.9499999999999993" hidden="1" customHeight="1" x14ac:dyDescent="0.2">
      <c r="A109" s="82"/>
      <c r="B109" s="123"/>
      <c r="C109" s="41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61"/>
      <c r="W109" s="155"/>
      <c r="X109" s="435"/>
      <c r="Y109" s="267"/>
    </row>
    <row r="110" spans="1:25" ht="30" hidden="1" customHeight="1" x14ac:dyDescent="0.2">
      <c r="A110" s="210" t="s">
        <v>89</v>
      </c>
      <c r="B110" s="206"/>
      <c r="C110" s="211" t="s">
        <v>87</v>
      </c>
      <c r="D110" s="155">
        <f t="shared" ref="D110:Q110" si="18">SUM(D94:D109)</f>
        <v>3758.125</v>
      </c>
      <c r="E110" s="155">
        <f t="shared" si="18"/>
        <v>500.18400000000003</v>
      </c>
      <c r="F110" s="155">
        <f t="shared" si="18"/>
        <v>-4279</v>
      </c>
      <c r="G110" s="155">
        <f t="shared" si="18"/>
        <v>0</v>
      </c>
      <c r="H110" s="155">
        <f t="shared" si="18"/>
        <v>-1</v>
      </c>
      <c r="I110" s="155">
        <f t="shared" si="18"/>
        <v>0</v>
      </c>
      <c r="J110" s="155">
        <f t="shared" si="18"/>
        <v>0</v>
      </c>
      <c r="K110" s="155">
        <f t="shared" si="18"/>
        <v>0</v>
      </c>
      <c r="L110" s="155">
        <f t="shared" si="18"/>
        <v>3545</v>
      </c>
      <c r="M110" s="155">
        <f t="shared" si="18"/>
        <v>734</v>
      </c>
      <c r="N110" s="155">
        <f t="shared" si="18"/>
        <v>0</v>
      </c>
      <c r="O110" s="155">
        <f t="shared" si="18"/>
        <v>0</v>
      </c>
      <c r="P110" s="155">
        <f t="shared" si="18"/>
        <v>0</v>
      </c>
      <c r="Q110" s="155">
        <f t="shared" si="18"/>
        <v>0</v>
      </c>
      <c r="R110" s="155">
        <f t="shared" si="15"/>
        <v>4257.3090000000002</v>
      </c>
      <c r="S110" s="155"/>
      <c r="T110" s="155">
        <f>SUM(T94:T109)</f>
        <v>0</v>
      </c>
      <c r="U110" s="155">
        <f>SUM(U94:U109)</f>
        <v>0</v>
      </c>
      <c r="V110" s="161">
        <f>SUM(V94:V109)</f>
        <v>0</v>
      </c>
      <c r="W110" s="155">
        <f>SUM(W94:W109)</f>
        <v>0</v>
      </c>
      <c r="X110" s="435">
        <f t="shared" si="16"/>
        <v>0</v>
      </c>
      <c r="Y110" s="330">
        <f t="shared" si="17"/>
        <v>4257.3090000000002</v>
      </c>
    </row>
    <row r="111" spans="1:25" ht="9.9499999999999993" hidden="1" customHeight="1" x14ac:dyDescent="0.2">
      <c r="A111" s="82"/>
      <c r="B111" s="123"/>
      <c r="C111" s="41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>
        <f t="shared" si="15"/>
        <v>0</v>
      </c>
      <c r="S111" s="72"/>
      <c r="T111" s="72"/>
      <c r="U111" s="72"/>
      <c r="V111" s="73"/>
      <c r="W111" s="72"/>
      <c r="X111" s="208">
        <f t="shared" si="16"/>
        <v>0</v>
      </c>
      <c r="Y111" s="264">
        <f t="shared" si="17"/>
        <v>0</v>
      </c>
    </row>
    <row r="112" spans="1:25" ht="24" hidden="1" customHeight="1" x14ac:dyDescent="0.2">
      <c r="A112" s="82"/>
      <c r="B112" s="31"/>
      <c r="C112" s="41" t="s">
        <v>68</v>
      </c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>
        <f t="shared" si="15"/>
        <v>0</v>
      </c>
      <c r="S112" s="72"/>
      <c r="T112" s="72"/>
      <c r="U112" s="72"/>
      <c r="V112" s="73"/>
      <c r="W112" s="72"/>
      <c r="X112" s="208">
        <f t="shared" si="16"/>
        <v>0</v>
      </c>
      <c r="Y112" s="264">
        <f t="shared" si="17"/>
        <v>0</v>
      </c>
    </row>
    <row r="113" spans="1:25" ht="17.25" hidden="1" thickBot="1" x14ac:dyDescent="0.25">
      <c r="A113" s="82"/>
      <c r="B113" s="104"/>
      <c r="C113" s="105"/>
      <c r="D113" s="106"/>
      <c r="E113" s="106"/>
      <c r="F113" s="72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>
        <f t="shared" si="15"/>
        <v>0</v>
      </c>
      <c r="S113" s="106"/>
      <c r="T113" s="106"/>
      <c r="U113" s="106"/>
      <c r="V113" s="107"/>
      <c r="W113" s="106"/>
      <c r="X113" s="501">
        <f t="shared" si="16"/>
        <v>0</v>
      </c>
      <c r="Y113" s="265">
        <f t="shared" si="17"/>
        <v>0</v>
      </c>
    </row>
    <row r="114" spans="1:25" ht="30" hidden="1" customHeight="1" thickTop="1" thickBot="1" x14ac:dyDescent="0.25">
      <c r="A114" s="42"/>
      <c r="B114" s="109" t="s">
        <v>180</v>
      </c>
      <c r="C114" s="44" t="s">
        <v>90</v>
      </c>
      <c r="D114" s="86">
        <f t="shared" ref="D114:Q114" si="19">D92+D110</f>
        <v>11979.025</v>
      </c>
      <c r="E114" s="86">
        <f t="shared" si="19"/>
        <v>2505.0419999999999</v>
      </c>
      <c r="F114" s="86">
        <f t="shared" si="19"/>
        <v>-2001</v>
      </c>
      <c r="G114" s="86">
        <f t="shared" si="19"/>
        <v>0</v>
      </c>
      <c r="H114" s="86">
        <f t="shared" si="19"/>
        <v>-1</v>
      </c>
      <c r="I114" s="86">
        <f t="shared" si="19"/>
        <v>0</v>
      </c>
      <c r="J114" s="86">
        <f t="shared" si="19"/>
        <v>0</v>
      </c>
      <c r="K114" s="86">
        <f t="shared" si="19"/>
        <v>0</v>
      </c>
      <c r="L114" s="86">
        <f t="shared" si="19"/>
        <v>6503</v>
      </c>
      <c r="M114" s="86">
        <f t="shared" si="19"/>
        <v>734</v>
      </c>
      <c r="N114" s="86">
        <f t="shared" si="19"/>
        <v>0</v>
      </c>
      <c r="O114" s="86">
        <f t="shared" si="19"/>
        <v>0</v>
      </c>
      <c r="P114" s="86">
        <f t="shared" si="19"/>
        <v>0</v>
      </c>
      <c r="Q114" s="86">
        <f t="shared" si="19"/>
        <v>0</v>
      </c>
      <c r="R114" s="86">
        <f t="shared" si="15"/>
        <v>19719.066999999999</v>
      </c>
      <c r="S114" s="86"/>
      <c r="T114" s="86">
        <f>T92+T110</f>
        <v>0</v>
      </c>
      <c r="U114" s="86">
        <f>U92+U110</f>
        <v>0</v>
      </c>
      <c r="V114" s="87">
        <f>V92+V110</f>
        <v>0</v>
      </c>
      <c r="W114" s="502">
        <f>W92+W110</f>
        <v>0</v>
      </c>
      <c r="X114" s="503">
        <f t="shared" si="16"/>
        <v>0</v>
      </c>
      <c r="Y114" s="266">
        <f t="shared" si="17"/>
        <v>19719.066999999999</v>
      </c>
    </row>
    <row r="115" spans="1:25" ht="30" hidden="1" customHeight="1" thickTop="1" thickBot="1" x14ac:dyDescent="0.25">
      <c r="A115" s="42"/>
      <c r="B115" s="705" t="s">
        <v>592</v>
      </c>
      <c r="C115" s="44" t="s">
        <v>154</v>
      </c>
      <c r="D115" s="257">
        <f t="shared" ref="D115:Q115" si="20">D72+D114</f>
        <v>1723092.0499999998</v>
      </c>
      <c r="E115" s="257">
        <f t="shared" si="20"/>
        <v>468996.70199999999</v>
      </c>
      <c r="F115" s="257">
        <f t="shared" si="20"/>
        <v>514842.53700000001</v>
      </c>
      <c r="G115" s="257">
        <f t="shared" si="20"/>
        <v>685</v>
      </c>
      <c r="H115" s="257">
        <f t="shared" si="20"/>
        <v>87740</v>
      </c>
      <c r="I115" s="257">
        <f t="shared" si="20"/>
        <v>0</v>
      </c>
      <c r="J115" s="257">
        <f t="shared" si="20"/>
        <v>0</v>
      </c>
      <c r="K115" s="257">
        <f t="shared" si="20"/>
        <v>0</v>
      </c>
      <c r="L115" s="257">
        <f t="shared" si="20"/>
        <v>187385</v>
      </c>
      <c r="M115" s="257">
        <f t="shared" si="20"/>
        <v>15134</v>
      </c>
      <c r="N115" s="257">
        <f t="shared" si="20"/>
        <v>0</v>
      </c>
      <c r="O115" s="257">
        <f t="shared" si="20"/>
        <v>5000</v>
      </c>
      <c r="P115" s="257">
        <f t="shared" si="20"/>
        <v>0</v>
      </c>
      <c r="Q115" s="257">
        <f t="shared" si="20"/>
        <v>0</v>
      </c>
      <c r="R115" s="257">
        <f>SUM(D115:Q115)</f>
        <v>3002875.2889999999</v>
      </c>
      <c r="S115" s="257"/>
      <c r="T115" s="257">
        <f>T72+T114</f>
        <v>0</v>
      </c>
      <c r="U115" s="257">
        <f>U72+U114</f>
        <v>0</v>
      </c>
      <c r="V115" s="257">
        <f>V72+V114</f>
        <v>0</v>
      </c>
      <c r="W115" s="318">
        <f>W72+W114</f>
        <v>0</v>
      </c>
      <c r="X115" s="429">
        <f t="shared" si="16"/>
        <v>0</v>
      </c>
      <c r="Y115" s="724">
        <f>R115+X115</f>
        <v>3002875.2889999999</v>
      </c>
    </row>
    <row r="116" spans="1:25" ht="29.25" customHeight="1" x14ac:dyDescent="0.25">
      <c r="A116" s="131"/>
      <c r="B116" s="506" t="s">
        <v>593</v>
      </c>
      <c r="C116" s="132" t="s">
        <v>18</v>
      </c>
      <c r="D116" s="221">
        <f t="shared" ref="D116:W116" si="21">D115</f>
        <v>1723092.0499999998</v>
      </c>
      <c r="E116" s="221">
        <f t="shared" si="21"/>
        <v>468996.70199999999</v>
      </c>
      <c r="F116" s="221">
        <f t="shared" si="21"/>
        <v>514842.53700000001</v>
      </c>
      <c r="G116" s="221">
        <f t="shared" si="21"/>
        <v>685</v>
      </c>
      <c r="H116" s="221">
        <f t="shared" si="21"/>
        <v>87740</v>
      </c>
      <c r="I116" s="221">
        <f t="shared" si="21"/>
        <v>0</v>
      </c>
      <c r="J116" s="221">
        <f t="shared" si="21"/>
        <v>0</v>
      </c>
      <c r="K116" s="221">
        <f t="shared" si="21"/>
        <v>0</v>
      </c>
      <c r="L116" s="221">
        <f t="shared" si="21"/>
        <v>187385</v>
      </c>
      <c r="M116" s="221">
        <f t="shared" si="21"/>
        <v>15134</v>
      </c>
      <c r="N116" s="221">
        <f t="shared" si="21"/>
        <v>0</v>
      </c>
      <c r="O116" s="221">
        <f t="shared" si="21"/>
        <v>5000</v>
      </c>
      <c r="P116" s="221">
        <f t="shared" si="21"/>
        <v>0</v>
      </c>
      <c r="Q116" s="221">
        <f t="shared" si="21"/>
        <v>0</v>
      </c>
      <c r="R116" s="221">
        <f t="shared" si="15"/>
        <v>3002875.2889999999</v>
      </c>
      <c r="S116" s="221"/>
      <c r="T116" s="221">
        <f>T115</f>
        <v>0</v>
      </c>
      <c r="U116" s="221">
        <f>U115</f>
        <v>0</v>
      </c>
      <c r="V116" s="263">
        <f t="shared" si="21"/>
        <v>0</v>
      </c>
      <c r="W116" s="221">
        <f t="shared" si="21"/>
        <v>0</v>
      </c>
      <c r="X116" s="263">
        <f t="shared" si="16"/>
        <v>0</v>
      </c>
      <c r="Y116" s="327">
        <f t="shared" si="17"/>
        <v>3002875.2889999999</v>
      </c>
    </row>
    <row r="117" spans="1:25" ht="29.25" customHeight="1" x14ac:dyDescent="0.25">
      <c r="A117" s="18"/>
      <c r="B117" s="506"/>
      <c r="C117" s="587"/>
      <c r="D117" s="581"/>
      <c r="E117" s="581"/>
      <c r="F117" s="581"/>
      <c r="G117" s="581"/>
      <c r="H117" s="581"/>
      <c r="I117" s="581"/>
      <c r="J117" s="581"/>
      <c r="K117" s="581"/>
      <c r="L117" s="581"/>
      <c r="M117" s="581"/>
      <c r="N117" s="581"/>
      <c r="O117" s="581"/>
      <c r="P117" s="581"/>
      <c r="Q117" s="581"/>
      <c r="R117" s="581"/>
      <c r="S117" s="581"/>
      <c r="T117" s="581"/>
      <c r="U117" s="581"/>
      <c r="V117" s="583"/>
      <c r="W117" s="581"/>
      <c r="X117" s="583"/>
      <c r="Y117" s="334"/>
    </row>
    <row r="118" spans="1:25" ht="33.75" customHeight="1" x14ac:dyDescent="0.2">
      <c r="A118" s="82">
        <v>1</v>
      </c>
      <c r="B118" s="520" t="s">
        <v>632</v>
      </c>
      <c r="C118" s="41" t="s">
        <v>747</v>
      </c>
      <c r="D118" s="155"/>
      <c r="E118" s="155"/>
      <c r="F118" s="155"/>
      <c r="G118" s="155"/>
      <c r="H118" s="155"/>
      <c r="I118" s="155"/>
      <c r="J118" s="155"/>
      <c r="K118" s="155"/>
      <c r="L118" s="155">
        <f>44095+11905</f>
        <v>56000</v>
      </c>
      <c r="M118" s="155"/>
      <c r="N118" s="155"/>
      <c r="O118" s="155"/>
      <c r="P118" s="155"/>
      <c r="Q118" s="155"/>
      <c r="R118" s="155">
        <f t="shared" si="15"/>
        <v>56000</v>
      </c>
      <c r="S118" s="155"/>
      <c r="T118" s="155"/>
      <c r="U118" s="155"/>
      <c r="V118" s="161"/>
      <c r="W118" s="155"/>
      <c r="X118" s="161">
        <f t="shared" si="16"/>
        <v>0</v>
      </c>
      <c r="Y118" s="267">
        <f t="shared" si="17"/>
        <v>56000</v>
      </c>
    </row>
    <row r="119" spans="1:25" ht="33.75" customHeight="1" x14ac:dyDescent="0.2">
      <c r="A119" s="225">
        <v>2</v>
      </c>
      <c r="B119" s="710" t="s">
        <v>658</v>
      </c>
      <c r="C119" s="41" t="s">
        <v>657</v>
      </c>
      <c r="D119" s="155"/>
      <c r="E119" s="155"/>
      <c r="F119" s="155"/>
      <c r="G119" s="155"/>
      <c r="H119" s="155"/>
      <c r="I119" s="155"/>
      <c r="J119" s="155"/>
      <c r="K119" s="155"/>
      <c r="L119" s="155">
        <f>12205+3295</f>
        <v>15500</v>
      </c>
      <c r="M119" s="155"/>
      <c r="N119" s="155"/>
      <c r="O119" s="155"/>
      <c r="P119" s="155"/>
      <c r="Q119" s="155"/>
      <c r="R119" s="155">
        <f t="shared" si="15"/>
        <v>15500</v>
      </c>
      <c r="S119" s="155"/>
      <c r="T119" s="155"/>
      <c r="U119" s="155"/>
      <c r="V119" s="161"/>
      <c r="W119" s="155"/>
      <c r="X119" s="161">
        <f t="shared" si="16"/>
        <v>0</v>
      </c>
      <c r="Y119" s="267">
        <f t="shared" si="17"/>
        <v>15500</v>
      </c>
    </row>
    <row r="120" spans="1:25" ht="33.75" customHeight="1" x14ac:dyDescent="0.2">
      <c r="A120" s="82">
        <v>3</v>
      </c>
      <c r="B120" s="707" t="s">
        <v>680</v>
      </c>
      <c r="C120" s="41" t="s">
        <v>679</v>
      </c>
      <c r="D120" s="155">
        <f>672.247</f>
        <v>672.24699999999996</v>
      </c>
      <c r="E120" s="155">
        <f>252.318</f>
        <v>252.31800000000001</v>
      </c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5"/>
      <c r="Q120" s="155"/>
      <c r="R120" s="155">
        <f t="shared" si="15"/>
        <v>924.56499999999994</v>
      </c>
      <c r="S120" s="155"/>
      <c r="T120" s="155"/>
      <c r="U120" s="155"/>
      <c r="V120" s="161"/>
      <c r="W120" s="155"/>
      <c r="X120" s="161">
        <f t="shared" si="16"/>
        <v>0</v>
      </c>
      <c r="Y120" s="267">
        <f t="shared" si="17"/>
        <v>924.56499999999994</v>
      </c>
    </row>
    <row r="121" spans="1:25" ht="33.75" hidden="1" customHeight="1" x14ac:dyDescent="0.2">
      <c r="A121" s="225">
        <v>4</v>
      </c>
      <c r="B121" s="520"/>
      <c r="C121" s="41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>
        <f t="shared" si="15"/>
        <v>0</v>
      </c>
      <c r="S121" s="155"/>
      <c r="T121" s="155"/>
      <c r="U121" s="155"/>
      <c r="V121" s="161"/>
      <c r="W121" s="155"/>
      <c r="X121" s="161">
        <f t="shared" si="16"/>
        <v>0</v>
      </c>
      <c r="Y121" s="267">
        <f t="shared" si="17"/>
        <v>0</v>
      </c>
    </row>
    <row r="122" spans="1:25" ht="33.75" hidden="1" customHeight="1" x14ac:dyDescent="0.2">
      <c r="A122" s="82">
        <v>5</v>
      </c>
      <c r="B122" s="520"/>
      <c r="C122" s="41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>
        <f t="shared" si="15"/>
        <v>0</v>
      </c>
      <c r="S122" s="155"/>
      <c r="T122" s="155"/>
      <c r="U122" s="155"/>
      <c r="V122" s="161"/>
      <c r="W122" s="155"/>
      <c r="X122" s="161">
        <f t="shared" si="16"/>
        <v>0</v>
      </c>
      <c r="Y122" s="267">
        <f t="shared" si="17"/>
        <v>0</v>
      </c>
    </row>
    <row r="123" spans="1:25" ht="30.75" hidden="1" customHeight="1" x14ac:dyDescent="0.2">
      <c r="A123" s="82">
        <v>6</v>
      </c>
      <c r="B123" s="520"/>
      <c r="C123" s="41"/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>
        <f t="shared" si="15"/>
        <v>0</v>
      </c>
      <c r="S123" s="155"/>
      <c r="T123" s="155"/>
      <c r="U123" s="155"/>
      <c r="V123" s="161"/>
      <c r="W123" s="155"/>
      <c r="X123" s="161">
        <f t="shared" ref="X123:X124" si="22">SUM(T123:W123)</f>
        <v>0</v>
      </c>
      <c r="Y123" s="267">
        <f t="shared" ref="Y123:Y124" si="23">R123+X123</f>
        <v>0</v>
      </c>
    </row>
    <row r="124" spans="1:25" ht="30.75" hidden="1" customHeight="1" x14ac:dyDescent="0.2">
      <c r="A124" s="82">
        <v>7</v>
      </c>
      <c r="B124" s="520"/>
      <c r="C124" s="41"/>
      <c r="D124" s="155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>
        <f t="shared" si="15"/>
        <v>0</v>
      </c>
      <c r="S124" s="155"/>
      <c r="T124" s="155"/>
      <c r="U124" s="155"/>
      <c r="V124" s="161"/>
      <c r="W124" s="155"/>
      <c r="X124" s="161">
        <f t="shared" si="22"/>
        <v>0</v>
      </c>
      <c r="Y124" s="267">
        <f t="shared" si="23"/>
        <v>0</v>
      </c>
    </row>
    <row r="125" spans="1:25" ht="30.75" customHeight="1" x14ac:dyDescent="0.2">
      <c r="A125" s="82"/>
      <c r="B125" s="520"/>
      <c r="C125" s="41"/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61"/>
      <c r="W125" s="155"/>
      <c r="X125" s="161"/>
      <c r="Y125" s="267"/>
    </row>
    <row r="126" spans="1:25" ht="24" customHeight="1" x14ac:dyDescent="0.2">
      <c r="A126" s="82"/>
      <c r="B126" s="31"/>
      <c r="C126" s="41"/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61"/>
      <c r="W126" s="155"/>
      <c r="X126" s="161"/>
      <c r="Y126" s="267"/>
    </row>
    <row r="127" spans="1:25" ht="24" customHeight="1" x14ac:dyDescent="0.2">
      <c r="A127" s="210" t="s">
        <v>88</v>
      </c>
      <c r="B127" s="206"/>
      <c r="C127" s="211" t="s">
        <v>86</v>
      </c>
      <c r="D127" s="160">
        <f t="shared" ref="D127:W127" si="24">SUM(D118:D126)</f>
        <v>672.24699999999996</v>
      </c>
      <c r="E127" s="160">
        <f t="shared" si="24"/>
        <v>252.31800000000001</v>
      </c>
      <c r="F127" s="160">
        <f t="shared" si="24"/>
        <v>0</v>
      </c>
      <c r="G127" s="160">
        <f t="shared" si="24"/>
        <v>0</v>
      </c>
      <c r="H127" s="160">
        <f t="shared" si="24"/>
        <v>0</v>
      </c>
      <c r="I127" s="160">
        <f t="shared" si="24"/>
        <v>0</v>
      </c>
      <c r="J127" s="160">
        <f t="shared" si="24"/>
        <v>0</v>
      </c>
      <c r="K127" s="160">
        <f t="shared" si="24"/>
        <v>0</v>
      </c>
      <c r="L127" s="160">
        <f t="shared" si="24"/>
        <v>71500</v>
      </c>
      <c r="M127" s="160">
        <f t="shared" si="24"/>
        <v>0</v>
      </c>
      <c r="N127" s="160">
        <f t="shared" si="24"/>
        <v>0</v>
      </c>
      <c r="O127" s="160">
        <f t="shared" si="24"/>
        <v>0</v>
      </c>
      <c r="P127" s="160">
        <f t="shared" si="24"/>
        <v>0</v>
      </c>
      <c r="Q127" s="160">
        <f t="shared" si="24"/>
        <v>0</v>
      </c>
      <c r="R127" s="160">
        <f t="shared" si="15"/>
        <v>72424.565000000002</v>
      </c>
      <c r="S127" s="160"/>
      <c r="T127" s="160">
        <f t="shared" si="24"/>
        <v>0</v>
      </c>
      <c r="U127" s="160">
        <f t="shared" si="24"/>
        <v>0</v>
      </c>
      <c r="V127" s="723">
        <f t="shared" si="24"/>
        <v>0</v>
      </c>
      <c r="W127" s="160">
        <f t="shared" si="24"/>
        <v>0</v>
      </c>
      <c r="X127" s="723">
        <f t="shared" si="16"/>
        <v>0</v>
      </c>
      <c r="Y127" s="332">
        <f t="shared" si="17"/>
        <v>72424.565000000002</v>
      </c>
    </row>
    <row r="128" spans="1:25" ht="30.75" customHeight="1" x14ac:dyDescent="0.2">
      <c r="A128" s="82"/>
      <c r="B128" s="32"/>
      <c r="C128" s="41"/>
      <c r="D128" s="155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61"/>
      <c r="W128" s="155"/>
      <c r="X128" s="161"/>
      <c r="Y128" s="267"/>
    </row>
    <row r="129" spans="1:25" ht="33.75" customHeight="1" x14ac:dyDescent="0.2">
      <c r="A129" s="82">
        <v>4</v>
      </c>
      <c r="B129" s="229" t="s">
        <v>651</v>
      </c>
      <c r="C129" s="41" t="s">
        <v>273</v>
      </c>
      <c r="D129" s="155"/>
      <c r="E129" s="155"/>
      <c r="F129" s="155">
        <f>128+256+103.286</f>
        <v>487.286</v>
      </c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>
        <f t="shared" si="15"/>
        <v>487.286</v>
      </c>
      <c r="S129" s="155"/>
      <c r="T129" s="155"/>
      <c r="U129" s="155"/>
      <c r="V129" s="161"/>
      <c r="W129" s="155"/>
      <c r="X129" s="161">
        <f t="shared" si="16"/>
        <v>0</v>
      </c>
      <c r="Y129" s="267">
        <f t="shared" si="17"/>
        <v>487.286</v>
      </c>
    </row>
    <row r="130" spans="1:25" ht="33.75" customHeight="1" x14ac:dyDescent="0.2">
      <c r="A130" s="82">
        <v>5</v>
      </c>
      <c r="B130" s="229" t="s">
        <v>663</v>
      </c>
      <c r="C130" s="41" t="s">
        <v>664</v>
      </c>
      <c r="D130" s="155"/>
      <c r="E130" s="155"/>
      <c r="F130" s="155">
        <f>88+24</f>
        <v>112</v>
      </c>
      <c r="G130" s="155"/>
      <c r="H130" s="155"/>
      <c r="I130" s="155"/>
      <c r="J130" s="155"/>
      <c r="K130" s="155"/>
      <c r="L130" s="155">
        <f>-1331-359+1242+336</f>
        <v>-112</v>
      </c>
      <c r="M130" s="155"/>
      <c r="N130" s="155"/>
      <c r="O130" s="155"/>
      <c r="P130" s="155"/>
      <c r="Q130" s="155"/>
      <c r="R130" s="155">
        <f t="shared" si="15"/>
        <v>0</v>
      </c>
      <c r="S130" s="155"/>
      <c r="T130" s="155"/>
      <c r="U130" s="155"/>
      <c r="V130" s="161"/>
      <c r="W130" s="155"/>
      <c r="X130" s="161">
        <f t="shared" si="16"/>
        <v>0</v>
      </c>
      <c r="Y130" s="267">
        <f t="shared" si="17"/>
        <v>0</v>
      </c>
    </row>
    <row r="131" spans="1:25" ht="33.75" customHeight="1" x14ac:dyDescent="0.2">
      <c r="A131" s="82">
        <v>6</v>
      </c>
      <c r="B131" s="229" t="s">
        <v>665</v>
      </c>
      <c r="C131" s="41" t="s">
        <v>666</v>
      </c>
      <c r="D131" s="155"/>
      <c r="E131" s="155"/>
      <c r="F131" s="155"/>
      <c r="G131" s="155"/>
      <c r="H131" s="155"/>
      <c r="I131" s="155"/>
      <c r="J131" s="155"/>
      <c r="K131" s="155"/>
      <c r="L131" s="155">
        <f>4346+1173</f>
        <v>5519</v>
      </c>
      <c r="M131" s="155">
        <f>-4346-1173</f>
        <v>-5519</v>
      </c>
      <c r="N131" s="155"/>
      <c r="O131" s="155"/>
      <c r="P131" s="155"/>
      <c r="Q131" s="155"/>
      <c r="R131" s="155">
        <f t="shared" si="15"/>
        <v>0</v>
      </c>
      <c r="S131" s="155"/>
      <c r="T131" s="155"/>
      <c r="U131" s="155"/>
      <c r="V131" s="161"/>
      <c r="W131" s="155"/>
      <c r="X131" s="161">
        <f t="shared" ref="X131:X137" si="25">SUM(T131:W131)</f>
        <v>0</v>
      </c>
      <c r="Y131" s="267">
        <f t="shared" ref="Y131:Y137" si="26">R131+X131</f>
        <v>0</v>
      </c>
    </row>
    <row r="132" spans="1:25" ht="33.75" customHeight="1" x14ac:dyDescent="0.2">
      <c r="A132" s="82">
        <v>7</v>
      </c>
      <c r="B132" s="229" t="s">
        <v>675</v>
      </c>
      <c r="C132" s="41" t="s">
        <v>674</v>
      </c>
      <c r="D132" s="155"/>
      <c r="E132" s="155"/>
      <c r="F132" s="155">
        <f>1017+275</f>
        <v>1292</v>
      </c>
      <c r="G132" s="155"/>
      <c r="H132" s="155"/>
      <c r="I132" s="155"/>
      <c r="J132" s="155"/>
      <c r="K132" s="155"/>
      <c r="L132" s="155">
        <f>-1017-275</f>
        <v>-1292</v>
      </c>
      <c r="M132" s="155"/>
      <c r="N132" s="155"/>
      <c r="O132" s="155"/>
      <c r="P132" s="155"/>
      <c r="Q132" s="155"/>
      <c r="R132" s="155">
        <f t="shared" si="15"/>
        <v>0</v>
      </c>
      <c r="S132" s="155"/>
      <c r="T132" s="155"/>
      <c r="U132" s="155"/>
      <c r="V132" s="161"/>
      <c r="W132" s="155"/>
      <c r="X132" s="161">
        <f t="shared" si="25"/>
        <v>0</v>
      </c>
      <c r="Y132" s="267">
        <f t="shared" si="26"/>
        <v>0</v>
      </c>
    </row>
    <row r="133" spans="1:25" ht="33.75" customHeight="1" x14ac:dyDescent="0.2">
      <c r="A133" s="82">
        <v>8</v>
      </c>
      <c r="B133" s="229" t="s">
        <v>676</v>
      </c>
      <c r="C133" s="41" t="s">
        <v>677</v>
      </c>
      <c r="D133" s="155">
        <f>-40</f>
        <v>-40</v>
      </c>
      <c r="E133" s="155"/>
      <c r="F133" s="155">
        <f>40</f>
        <v>40</v>
      </c>
      <c r="G133" s="155"/>
      <c r="H133" s="155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>
        <f t="shared" si="15"/>
        <v>0</v>
      </c>
      <c r="S133" s="155"/>
      <c r="T133" s="155"/>
      <c r="U133" s="155"/>
      <c r="V133" s="161"/>
      <c r="W133" s="155"/>
      <c r="X133" s="161">
        <f t="shared" si="25"/>
        <v>0</v>
      </c>
      <c r="Y133" s="267">
        <f t="shared" si="26"/>
        <v>0</v>
      </c>
    </row>
    <row r="134" spans="1:25" ht="33.75" customHeight="1" x14ac:dyDescent="0.2">
      <c r="A134" s="82">
        <v>9</v>
      </c>
      <c r="B134" s="229" t="s">
        <v>720</v>
      </c>
      <c r="C134" s="41" t="s">
        <v>273</v>
      </c>
      <c r="D134" s="155">
        <f>1799+8</f>
        <v>1807</v>
      </c>
      <c r="E134" s="155">
        <f>198.817</f>
        <v>198.81700000000001</v>
      </c>
      <c r="F134" s="155"/>
      <c r="G134" s="155"/>
      <c r="H134" s="155"/>
      <c r="I134" s="155"/>
      <c r="J134" s="155"/>
      <c r="K134" s="155"/>
      <c r="L134" s="155"/>
      <c r="M134" s="155"/>
      <c r="N134" s="155"/>
      <c r="O134" s="155"/>
      <c r="P134" s="155"/>
      <c r="Q134" s="155"/>
      <c r="R134" s="155">
        <f t="shared" si="15"/>
        <v>2005.817</v>
      </c>
      <c r="S134" s="155"/>
      <c r="T134" s="155"/>
      <c r="U134" s="155"/>
      <c r="V134" s="161"/>
      <c r="W134" s="155"/>
      <c r="X134" s="161">
        <f t="shared" si="25"/>
        <v>0</v>
      </c>
      <c r="Y134" s="267">
        <f t="shared" si="26"/>
        <v>2005.817</v>
      </c>
    </row>
    <row r="135" spans="1:25" ht="33.75" hidden="1" customHeight="1" x14ac:dyDescent="0.2">
      <c r="A135" s="82"/>
      <c r="B135" s="703" t="s">
        <v>721</v>
      </c>
      <c r="C135" s="41" t="s">
        <v>445</v>
      </c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5"/>
      <c r="Q135" s="155"/>
      <c r="R135" s="155">
        <f t="shared" si="15"/>
        <v>0</v>
      </c>
      <c r="S135" s="155"/>
      <c r="T135" s="155"/>
      <c r="U135" s="155"/>
      <c r="V135" s="161"/>
      <c r="W135" s="155"/>
      <c r="X135" s="161">
        <f t="shared" si="25"/>
        <v>0</v>
      </c>
      <c r="Y135" s="267">
        <f t="shared" si="26"/>
        <v>0</v>
      </c>
    </row>
    <row r="136" spans="1:25" ht="33.75" hidden="1" customHeight="1" x14ac:dyDescent="0.2">
      <c r="A136" s="82" t="s">
        <v>117</v>
      </c>
      <c r="B136" s="229"/>
      <c r="C136" s="41"/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  <c r="R136" s="155">
        <f t="shared" si="15"/>
        <v>0</v>
      </c>
      <c r="S136" s="155"/>
      <c r="T136" s="155"/>
      <c r="U136" s="155"/>
      <c r="V136" s="161"/>
      <c r="W136" s="155"/>
      <c r="X136" s="161">
        <f t="shared" si="25"/>
        <v>0</v>
      </c>
      <c r="Y136" s="267">
        <f t="shared" si="26"/>
        <v>0</v>
      </c>
    </row>
    <row r="137" spans="1:25" ht="33.75" hidden="1" customHeight="1" x14ac:dyDescent="0.2">
      <c r="A137" s="82" t="s">
        <v>117</v>
      </c>
      <c r="B137" s="229"/>
      <c r="C137" s="41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>
        <f t="shared" si="15"/>
        <v>0</v>
      </c>
      <c r="S137" s="155"/>
      <c r="T137" s="155"/>
      <c r="U137" s="155"/>
      <c r="V137" s="161"/>
      <c r="W137" s="155"/>
      <c r="X137" s="161">
        <f t="shared" si="25"/>
        <v>0</v>
      </c>
      <c r="Y137" s="267">
        <f t="shared" si="26"/>
        <v>0</v>
      </c>
    </row>
    <row r="138" spans="1:25" ht="33.75" customHeight="1" x14ac:dyDescent="0.2">
      <c r="A138" s="82"/>
      <c r="B138" s="229"/>
      <c r="C138" s="41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61"/>
      <c r="W138" s="155"/>
      <c r="X138" s="161"/>
      <c r="Y138" s="267"/>
    </row>
    <row r="139" spans="1:25" ht="24" customHeight="1" x14ac:dyDescent="0.2">
      <c r="A139" s="82"/>
      <c r="B139" s="31"/>
      <c r="C139" s="41"/>
      <c r="D139" s="155"/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61"/>
      <c r="W139" s="155"/>
      <c r="X139" s="161"/>
      <c r="Y139" s="329"/>
    </row>
    <row r="140" spans="1:25" ht="24" customHeight="1" x14ac:dyDescent="0.2">
      <c r="A140" s="210" t="s">
        <v>89</v>
      </c>
      <c r="B140" s="206"/>
      <c r="C140" s="211" t="s">
        <v>87</v>
      </c>
      <c r="D140" s="155">
        <f t="shared" ref="D140:Q140" si="27">SUM(D128:D139)</f>
        <v>1767</v>
      </c>
      <c r="E140" s="155">
        <f t="shared" si="27"/>
        <v>198.81700000000001</v>
      </c>
      <c r="F140" s="155">
        <f t="shared" si="27"/>
        <v>1931.2860000000001</v>
      </c>
      <c r="G140" s="155">
        <f t="shared" si="27"/>
        <v>0</v>
      </c>
      <c r="H140" s="155">
        <f t="shared" si="27"/>
        <v>0</v>
      </c>
      <c r="I140" s="155">
        <f t="shared" si="27"/>
        <v>0</v>
      </c>
      <c r="J140" s="155">
        <f t="shared" si="27"/>
        <v>0</v>
      </c>
      <c r="K140" s="155">
        <f t="shared" si="27"/>
        <v>0</v>
      </c>
      <c r="L140" s="155">
        <f t="shared" si="27"/>
        <v>4115</v>
      </c>
      <c r="M140" s="155">
        <f t="shared" si="27"/>
        <v>-5519</v>
      </c>
      <c r="N140" s="155">
        <f t="shared" si="27"/>
        <v>0</v>
      </c>
      <c r="O140" s="155">
        <f t="shared" si="27"/>
        <v>0</v>
      </c>
      <c r="P140" s="155">
        <f t="shared" si="27"/>
        <v>0</v>
      </c>
      <c r="Q140" s="155">
        <f t="shared" si="27"/>
        <v>0</v>
      </c>
      <c r="R140" s="155">
        <f t="shared" si="15"/>
        <v>2493.1030000000001</v>
      </c>
      <c r="S140" s="155"/>
      <c r="T140" s="155">
        <f>SUM(T128:T139)</f>
        <v>0</v>
      </c>
      <c r="U140" s="155">
        <f>SUM(U128:U139)</f>
        <v>0</v>
      </c>
      <c r="V140" s="161">
        <f>SUM(V128:V139)</f>
        <v>0</v>
      </c>
      <c r="W140" s="155">
        <f>SUM(W128:W139)</f>
        <v>0</v>
      </c>
      <c r="X140" s="161">
        <f t="shared" si="16"/>
        <v>0</v>
      </c>
      <c r="Y140" s="330">
        <f t="shared" si="17"/>
        <v>2493.1030000000001</v>
      </c>
    </row>
    <row r="141" spans="1:25" ht="24" customHeight="1" thickBot="1" x14ac:dyDescent="0.25">
      <c r="A141" s="82"/>
      <c r="B141" s="31"/>
      <c r="C141" s="41"/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61"/>
      <c r="W141" s="155"/>
      <c r="X141" s="161"/>
      <c r="Y141" s="329"/>
    </row>
    <row r="142" spans="1:25" ht="30" customHeight="1" thickTop="1" thickBot="1" x14ac:dyDescent="0.25">
      <c r="A142" s="42"/>
      <c r="B142" s="326" t="s">
        <v>593</v>
      </c>
      <c r="C142" s="44" t="s">
        <v>90</v>
      </c>
      <c r="D142" s="511">
        <f t="shared" ref="D142:Q142" si="28">D127+D140</f>
        <v>2439.2469999999998</v>
      </c>
      <c r="E142" s="511">
        <f t="shared" si="28"/>
        <v>451.13499999999999</v>
      </c>
      <c r="F142" s="511">
        <f t="shared" si="28"/>
        <v>1931.2860000000001</v>
      </c>
      <c r="G142" s="511">
        <f t="shared" si="28"/>
        <v>0</v>
      </c>
      <c r="H142" s="511">
        <f t="shared" si="28"/>
        <v>0</v>
      </c>
      <c r="I142" s="511">
        <f t="shared" si="28"/>
        <v>0</v>
      </c>
      <c r="J142" s="511">
        <f t="shared" si="28"/>
        <v>0</v>
      </c>
      <c r="K142" s="511">
        <f t="shared" si="28"/>
        <v>0</v>
      </c>
      <c r="L142" s="511">
        <f t="shared" si="28"/>
        <v>75615</v>
      </c>
      <c r="M142" s="511">
        <f t="shared" si="28"/>
        <v>-5519</v>
      </c>
      <c r="N142" s="511">
        <f t="shared" si="28"/>
        <v>0</v>
      </c>
      <c r="O142" s="511">
        <f t="shared" si="28"/>
        <v>0</v>
      </c>
      <c r="P142" s="511">
        <f t="shared" si="28"/>
        <v>0</v>
      </c>
      <c r="Q142" s="511">
        <f t="shared" si="28"/>
        <v>0</v>
      </c>
      <c r="R142" s="511">
        <f t="shared" si="15"/>
        <v>74917.668000000005</v>
      </c>
      <c r="S142" s="511"/>
      <c r="T142" s="511">
        <f>T127+T140</f>
        <v>0</v>
      </c>
      <c r="U142" s="511">
        <f>U127+U140</f>
        <v>0</v>
      </c>
      <c r="V142" s="512">
        <f>V127+V140</f>
        <v>0</v>
      </c>
      <c r="W142" s="511">
        <f>W127+W140</f>
        <v>0</v>
      </c>
      <c r="X142" s="512">
        <f t="shared" si="16"/>
        <v>0</v>
      </c>
      <c r="Y142" s="513">
        <f t="shared" si="17"/>
        <v>74917.668000000005</v>
      </c>
    </row>
    <row r="143" spans="1:25" ht="30" customHeight="1" thickTop="1" thickBot="1" x14ac:dyDescent="0.25">
      <c r="A143" s="42"/>
      <c r="B143" s="504" t="s">
        <v>594</v>
      </c>
      <c r="C143" s="44" t="s">
        <v>154</v>
      </c>
      <c r="D143" s="514">
        <f t="shared" ref="D143:Q143" si="29">D116+D142</f>
        <v>1725531.2969999998</v>
      </c>
      <c r="E143" s="521">
        <f t="shared" si="29"/>
        <v>469447.837</v>
      </c>
      <c r="F143" s="514">
        <f t="shared" si="29"/>
        <v>516773.82300000003</v>
      </c>
      <c r="G143" s="514">
        <f t="shared" si="29"/>
        <v>685</v>
      </c>
      <c r="H143" s="514">
        <f t="shared" si="29"/>
        <v>87740</v>
      </c>
      <c r="I143" s="514">
        <f t="shared" si="29"/>
        <v>0</v>
      </c>
      <c r="J143" s="514">
        <f t="shared" si="29"/>
        <v>0</v>
      </c>
      <c r="K143" s="514">
        <f t="shared" si="29"/>
        <v>0</v>
      </c>
      <c r="L143" s="514">
        <f t="shared" si="29"/>
        <v>263000</v>
      </c>
      <c r="M143" s="514">
        <f t="shared" si="29"/>
        <v>9615</v>
      </c>
      <c r="N143" s="514">
        <f t="shared" si="29"/>
        <v>0</v>
      </c>
      <c r="O143" s="514">
        <f t="shared" si="29"/>
        <v>5000</v>
      </c>
      <c r="P143" s="514">
        <f t="shared" si="29"/>
        <v>0</v>
      </c>
      <c r="Q143" s="514">
        <f t="shared" si="29"/>
        <v>0</v>
      </c>
      <c r="R143" s="521">
        <f t="shared" si="15"/>
        <v>3077792.9569999995</v>
      </c>
      <c r="S143" s="514"/>
      <c r="T143" s="514">
        <f>T116+T142</f>
        <v>0</v>
      </c>
      <c r="U143" s="514">
        <f>U116+U142</f>
        <v>0</v>
      </c>
      <c r="V143" s="514">
        <f>V116+V142</f>
        <v>0</v>
      </c>
      <c r="W143" s="515">
        <f>W116+W142</f>
        <v>0</v>
      </c>
      <c r="X143" s="514">
        <f t="shared" si="16"/>
        <v>0</v>
      </c>
      <c r="Y143" s="531">
        <f t="shared" si="17"/>
        <v>3077792.9569999995</v>
      </c>
    </row>
    <row r="144" spans="1:25" ht="24" hidden="1" customHeight="1" thickTop="1" x14ac:dyDescent="0.25">
      <c r="A144" s="131"/>
      <c r="B144" s="546" t="s">
        <v>183</v>
      </c>
      <c r="C144" s="132" t="s">
        <v>18</v>
      </c>
      <c r="D144" s="221">
        <f t="shared" ref="D144:W144" si="30">D143</f>
        <v>1725531.2969999998</v>
      </c>
      <c r="E144" s="522">
        <f t="shared" si="30"/>
        <v>469447.837</v>
      </c>
      <c r="F144" s="221">
        <f t="shared" si="30"/>
        <v>516773.82300000003</v>
      </c>
      <c r="G144" s="221">
        <f t="shared" si="30"/>
        <v>685</v>
      </c>
      <c r="H144" s="221">
        <f t="shared" si="30"/>
        <v>87740</v>
      </c>
      <c r="I144" s="221">
        <f t="shared" si="30"/>
        <v>0</v>
      </c>
      <c r="J144" s="221">
        <f t="shared" si="30"/>
        <v>0</v>
      </c>
      <c r="K144" s="221">
        <f t="shared" si="30"/>
        <v>0</v>
      </c>
      <c r="L144" s="221">
        <f t="shared" si="30"/>
        <v>263000</v>
      </c>
      <c r="M144" s="221">
        <f t="shared" si="30"/>
        <v>9615</v>
      </c>
      <c r="N144" s="221">
        <f t="shared" si="30"/>
        <v>0</v>
      </c>
      <c r="O144" s="221">
        <f t="shared" si="30"/>
        <v>5000</v>
      </c>
      <c r="P144" s="221">
        <f t="shared" si="30"/>
        <v>0</v>
      </c>
      <c r="Q144" s="221">
        <f t="shared" si="30"/>
        <v>0</v>
      </c>
      <c r="R144" s="522">
        <f t="shared" si="15"/>
        <v>3077792.9569999995</v>
      </c>
      <c r="S144" s="221"/>
      <c r="T144" s="221">
        <f>T143</f>
        <v>0</v>
      </c>
      <c r="U144" s="221">
        <f>U143</f>
        <v>0</v>
      </c>
      <c r="V144" s="263">
        <f t="shared" si="30"/>
        <v>0</v>
      </c>
      <c r="W144" s="221">
        <f t="shared" si="30"/>
        <v>0</v>
      </c>
      <c r="X144" s="263">
        <f t="shared" si="16"/>
        <v>0</v>
      </c>
      <c r="Y144" s="532">
        <f t="shared" si="17"/>
        <v>3077792.9569999995</v>
      </c>
    </row>
    <row r="145" spans="1:25" ht="33.75" hidden="1" customHeight="1" x14ac:dyDescent="0.2">
      <c r="A145" s="225"/>
      <c r="B145" s="333"/>
      <c r="C145" s="28"/>
      <c r="D145" s="160"/>
      <c r="E145" s="160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60"/>
      <c r="S145" s="155"/>
      <c r="T145" s="155"/>
      <c r="U145" s="155"/>
      <c r="V145" s="161"/>
      <c r="W145" s="155"/>
      <c r="X145" s="161"/>
      <c r="Y145" s="533">
        <f t="shared" si="17"/>
        <v>0</v>
      </c>
    </row>
    <row r="146" spans="1:25" ht="33.75" hidden="1" customHeight="1" x14ac:dyDescent="0.2">
      <c r="A146" s="225">
        <v>1</v>
      </c>
      <c r="B146" s="333"/>
      <c r="C146" s="28"/>
      <c r="D146" s="160"/>
      <c r="E146" s="160"/>
      <c r="F146" s="155"/>
      <c r="G146" s="155"/>
      <c r="H146" s="155"/>
      <c r="I146" s="155"/>
      <c r="J146" s="155"/>
      <c r="K146" s="155"/>
      <c r="L146" s="155"/>
      <c r="M146" s="155"/>
      <c r="N146" s="155"/>
      <c r="O146" s="155"/>
      <c r="P146" s="155"/>
      <c r="Q146" s="155"/>
      <c r="R146" s="160">
        <f t="shared" si="15"/>
        <v>0</v>
      </c>
      <c r="S146" s="155"/>
      <c r="T146" s="155"/>
      <c r="U146" s="155"/>
      <c r="V146" s="161"/>
      <c r="W146" s="155"/>
      <c r="X146" s="161">
        <f t="shared" si="16"/>
        <v>0</v>
      </c>
      <c r="Y146" s="533">
        <f t="shared" si="17"/>
        <v>0</v>
      </c>
    </row>
    <row r="147" spans="1:25" ht="33.75" hidden="1" customHeight="1" x14ac:dyDescent="0.2">
      <c r="A147" s="82">
        <v>2</v>
      </c>
      <c r="B147" s="118"/>
      <c r="C147" s="28"/>
      <c r="D147" s="160"/>
      <c r="E147" s="160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5"/>
      <c r="Q147" s="155"/>
      <c r="R147" s="160">
        <f t="shared" si="15"/>
        <v>0</v>
      </c>
      <c r="S147" s="155"/>
      <c r="T147" s="155"/>
      <c r="U147" s="155"/>
      <c r="V147" s="161"/>
      <c r="W147" s="155"/>
      <c r="X147" s="161">
        <f t="shared" si="16"/>
        <v>0</v>
      </c>
      <c r="Y147" s="533">
        <f t="shared" si="17"/>
        <v>0</v>
      </c>
    </row>
    <row r="148" spans="1:25" ht="24" hidden="1" customHeight="1" x14ac:dyDescent="0.2">
      <c r="A148" s="82">
        <v>3</v>
      </c>
      <c r="B148" s="230"/>
      <c r="C148" s="33"/>
      <c r="D148" s="155"/>
      <c r="E148" s="160"/>
      <c r="F148" s="155"/>
      <c r="G148" s="155"/>
      <c r="H148" s="155"/>
      <c r="I148" s="155"/>
      <c r="J148" s="155"/>
      <c r="K148" s="155"/>
      <c r="L148" s="155"/>
      <c r="M148" s="155"/>
      <c r="N148" s="155"/>
      <c r="O148" s="155"/>
      <c r="P148" s="155"/>
      <c r="Q148" s="155"/>
      <c r="R148" s="160">
        <f t="shared" si="15"/>
        <v>0</v>
      </c>
      <c r="S148" s="155"/>
      <c r="T148" s="155"/>
      <c r="U148" s="155"/>
      <c r="V148" s="161"/>
      <c r="W148" s="155"/>
      <c r="X148" s="161">
        <f t="shared" si="16"/>
        <v>0</v>
      </c>
      <c r="Y148" s="533">
        <f t="shared" si="17"/>
        <v>0</v>
      </c>
    </row>
    <row r="149" spans="1:25" ht="33.75" hidden="1" customHeight="1" x14ac:dyDescent="0.2">
      <c r="A149" s="82"/>
      <c r="B149" s="230"/>
      <c r="C149" s="33"/>
      <c r="D149" s="155"/>
      <c r="E149" s="160"/>
      <c r="F149" s="155"/>
      <c r="G149" s="155"/>
      <c r="H149" s="155"/>
      <c r="I149" s="155"/>
      <c r="J149" s="155"/>
      <c r="K149" s="155"/>
      <c r="L149" s="155"/>
      <c r="M149" s="155"/>
      <c r="N149" s="155"/>
      <c r="O149" s="155"/>
      <c r="P149" s="155"/>
      <c r="Q149" s="155"/>
      <c r="R149" s="160"/>
      <c r="S149" s="155"/>
      <c r="T149" s="155"/>
      <c r="U149" s="155"/>
      <c r="V149" s="161"/>
      <c r="W149" s="155"/>
      <c r="X149" s="161"/>
      <c r="Y149" s="533"/>
    </row>
    <row r="150" spans="1:25" ht="33.75" hidden="1" customHeight="1" x14ac:dyDescent="0.2">
      <c r="A150" s="82"/>
      <c r="B150" s="30"/>
      <c r="C150" s="28"/>
      <c r="D150" s="155"/>
      <c r="E150" s="160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5"/>
      <c r="Q150" s="155"/>
      <c r="R150" s="160"/>
      <c r="S150" s="155"/>
      <c r="T150" s="155"/>
      <c r="U150" s="155"/>
      <c r="V150" s="161"/>
      <c r="W150" s="155"/>
      <c r="X150" s="161"/>
      <c r="Y150" s="533">
        <f t="shared" si="17"/>
        <v>0</v>
      </c>
    </row>
    <row r="151" spans="1:25" ht="9.9499999999999993" hidden="1" customHeight="1" x14ac:dyDescent="0.2">
      <c r="A151" s="82"/>
      <c r="B151" s="30"/>
      <c r="C151" s="28"/>
      <c r="D151" s="155"/>
      <c r="E151" s="160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60"/>
      <c r="S151" s="155"/>
      <c r="T151" s="155"/>
      <c r="U151" s="155"/>
      <c r="V151" s="161"/>
      <c r="W151" s="155"/>
      <c r="X151" s="161"/>
      <c r="Y151" s="533"/>
    </row>
    <row r="152" spans="1:25" ht="20.100000000000001" hidden="1" customHeight="1" x14ac:dyDescent="0.2">
      <c r="A152" s="210" t="s">
        <v>88</v>
      </c>
      <c r="B152" s="206"/>
      <c r="C152" s="211" t="s">
        <v>86</v>
      </c>
      <c r="D152" s="155">
        <f t="shared" ref="D152:W152" si="31">SUM(D145:D151)</f>
        <v>0</v>
      </c>
      <c r="E152" s="160">
        <f t="shared" si="31"/>
        <v>0</v>
      </c>
      <c r="F152" s="155">
        <f t="shared" si="31"/>
        <v>0</v>
      </c>
      <c r="G152" s="155">
        <f t="shared" si="31"/>
        <v>0</v>
      </c>
      <c r="H152" s="155">
        <f t="shared" si="31"/>
        <v>0</v>
      </c>
      <c r="I152" s="155">
        <f t="shared" si="31"/>
        <v>0</v>
      </c>
      <c r="J152" s="155">
        <f t="shared" si="31"/>
        <v>0</v>
      </c>
      <c r="K152" s="155">
        <f t="shared" si="31"/>
        <v>0</v>
      </c>
      <c r="L152" s="155">
        <f t="shared" si="31"/>
        <v>0</v>
      </c>
      <c r="M152" s="155">
        <f t="shared" si="31"/>
        <v>0</v>
      </c>
      <c r="N152" s="155">
        <f t="shared" si="31"/>
        <v>0</v>
      </c>
      <c r="O152" s="155">
        <f t="shared" si="31"/>
        <v>0</v>
      </c>
      <c r="P152" s="155">
        <f t="shared" si="31"/>
        <v>0</v>
      </c>
      <c r="Q152" s="155">
        <f t="shared" si="31"/>
        <v>0</v>
      </c>
      <c r="R152" s="160">
        <f t="shared" si="15"/>
        <v>0</v>
      </c>
      <c r="S152" s="155"/>
      <c r="T152" s="155">
        <f t="shared" si="31"/>
        <v>0</v>
      </c>
      <c r="U152" s="155">
        <f t="shared" si="31"/>
        <v>0</v>
      </c>
      <c r="V152" s="161">
        <f t="shared" si="31"/>
        <v>0</v>
      </c>
      <c r="W152" s="155">
        <f t="shared" si="31"/>
        <v>0</v>
      </c>
      <c r="X152" s="161">
        <f t="shared" si="16"/>
        <v>0</v>
      </c>
      <c r="Y152" s="533">
        <f t="shared" si="17"/>
        <v>0</v>
      </c>
    </row>
    <row r="153" spans="1:25" ht="33.75" hidden="1" customHeight="1" x14ac:dyDescent="0.2">
      <c r="A153" s="225"/>
      <c r="B153" s="227"/>
      <c r="C153" s="41"/>
      <c r="D153" s="155"/>
      <c r="E153" s="160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60"/>
      <c r="S153" s="155"/>
      <c r="T153" s="155"/>
      <c r="U153" s="155"/>
      <c r="V153" s="161"/>
      <c r="W153" s="155"/>
      <c r="X153" s="161"/>
      <c r="Y153" s="533">
        <f t="shared" si="17"/>
        <v>0</v>
      </c>
    </row>
    <row r="154" spans="1:25" ht="33.75" hidden="1" customHeight="1" x14ac:dyDescent="0.2">
      <c r="A154" s="225" t="s">
        <v>117</v>
      </c>
      <c r="B154" s="227"/>
      <c r="C154" s="41"/>
      <c r="D154" s="155"/>
      <c r="E154" s="160"/>
      <c r="F154" s="155"/>
      <c r="G154" s="155"/>
      <c r="H154" s="155"/>
      <c r="I154" s="155"/>
      <c r="J154" s="155"/>
      <c r="K154" s="155"/>
      <c r="L154" s="155"/>
      <c r="M154" s="155"/>
      <c r="N154" s="155"/>
      <c r="O154" s="155"/>
      <c r="P154" s="155"/>
      <c r="Q154" s="155"/>
      <c r="R154" s="160">
        <f t="shared" si="15"/>
        <v>0</v>
      </c>
      <c r="S154" s="155"/>
      <c r="T154" s="155"/>
      <c r="U154" s="155"/>
      <c r="V154" s="161"/>
      <c r="W154" s="155"/>
      <c r="X154" s="161">
        <f t="shared" si="16"/>
        <v>0</v>
      </c>
      <c r="Y154" s="533">
        <f t="shared" si="17"/>
        <v>0</v>
      </c>
    </row>
    <row r="155" spans="1:25" ht="33.75" hidden="1" customHeight="1" x14ac:dyDescent="0.2">
      <c r="A155" s="225" t="s">
        <v>117</v>
      </c>
      <c r="B155" s="227"/>
      <c r="C155" s="41"/>
      <c r="D155" s="155"/>
      <c r="E155" s="160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5"/>
      <c r="R155" s="160">
        <f t="shared" si="15"/>
        <v>0</v>
      </c>
      <c r="S155" s="155"/>
      <c r="T155" s="155"/>
      <c r="U155" s="155"/>
      <c r="V155" s="161"/>
      <c r="W155" s="155"/>
      <c r="X155" s="161">
        <f t="shared" si="16"/>
        <v>0</v>
      </c>
      <c r="Y155" s="533">
        <f t="shared" si="17"/>
        <v>0</v>
      </c>
    </row>
    <row r="156" spans="1:25" ht="33.75" hidden="1" customHeight="1" x14ac:dyDescent="0.2">
      <c r="A156" s="225" t="s">
        <v>117</v>
      </c>
      <c r="B156" s="227"/>
      <c r="C156" s="41"/>
      <c r="D156" s="155"/>
      <c r="E156" s="160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5"/>
      <c r="Q156" s="155"/>
      <c r="R156" s="160">
        <f t="shared" si="15"/>
        <v>0</v>
      </c>
      <c r="S156" s="155"/>
      <c r="T156" s="155"/>
      <c r="U156" s="155"/>
      <c r="V156" s="161"/>
      <c r="W156" s="155"/>
      <c r="X156" s="161">
        <f t="shared" si="16"/>
        <v>0</v>
      </c>
      <c r="Y156" s="533">
        <f t="shared" si="17"/>
        <v>0</v>
      </c>
    </row>
    <row r="157" spans="1:25" ht="33.75" hidden="1" customHeight="1" x14ac:dyDescent="0.2">
      <c r="A157" s="225" t="s">
        <v>117</v>
      </c>
      <c r="B157" s="227"/>
      <c r="C157" s="41"/>
      <c r="D157" s="155"/>
      <c r="E157" s="160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5"/>
      <c r="R157" s="160">
        <f t="shared" si="15"/>
        <v>0</v>
      </c>
      <c r="S157" s="155"/>
      <c r="T157" s="155"/>
      <c r="U157" s="155"/>
      <c r="V157" s="161"/>
      <c r="W157" s="155"/>
      <c r="X157" s="161">
        <f t="shared" si="16"/>
        <v>0</v>
      </c>
      <c r="Y157" s="533">
        <f t="shared" si="17"/>
        <v>0</v>
      </c>
    </row>
    <row r="158" spans="1:25" ht="33.75" hidden="1" customHeight="1" x14ac:dyDescent="0.2">
      <c r="A158" s="225"/>
      <c r="B158" s="227"/>
      <c r="C158" s="41"/>
      <c r="D158" s="155"/>
      <c r="E158" s="160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60"/>
      <c r="S158" s="155"/>
      <c r="T158" s="155"/>
      <c r="U158" s="155"/>
      <c r="V158" s="161"/>
      <c r="W158" s="155"/>
      <c r="X158" s="161"/>
      <c r="Y158" s="533">
        <f t="shared" si="17"/>
        <v>0</v>
      </c>
    </row>
    <row r="159" spans="1:25" ht="33.75" hidden="1" customHeight="1" x14ac:dyDescent="0.2">
      <c r="A159" s="82"/>
      <c r="B159" s="32"/>
      <c r="C159" s="34"/>
      <c r="D159" s="155"/>
      <c r="E159" s="160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5"/>
      <c r="Q159" s="155"/>
      <c r="R159" s="160"/>
      <c r="S159" s="155"/>
      <c r="T159" s="155"/>
      <c r="U159" s="155"/>
      <c r="V159" s="161"/>
      <c r="W159" s="155"/>
      <c r="X159" s="161"/>
      <c r="Y159" s="533">
        <f t="shared" si="17"/>
        <v>0</v>
      </c>
    </row>
    <row r="160" spans="1:25" ht="9.9499999999999993" hidden="1" customHeight="1" x14ac:dyDescent="0.2">
      <c r="A160" s="82"/>
      <c r="B160" s="123"/>
      <c r="C160" s="41"/>
      <c r="D160" s="155"/>
      <c r="E160" s="160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60"/>
      <c r="S160" s="155"/>
      <c r="T160" s="155"/>
      <c r="U160" s="155"/>
      <c r="V160" s="161"/>
      <c r="W160" s="155"/>
      <c r="X160" s="161"/>
      <c r="Y160" s="533"/>
    </row>
    <row r="161" spans="1:26" ht="20.100000000000001" hidden="1" customHeight="1" x14ac:dyDescent="0.2">
      <c r="A161" s="210" t="s">
        <v>89</v>
      </c>
      <c r="B161" s="206"/>
      <c r="C161" s="211" t="s">
        <v>87</v>
      </c>
      <c r="D161" s="155">
        <f t="shared" ref="D161:W161" si="32">SUM(D153:D160)</f>
        <v>0</v>
      </c>
      <c r="E161" s="160">
        <f t="shared" si="32"/>
        <v>0</v>
      </c>
      <c r="F161" s="155">
        <f t="shared" si="32"/>
        <v>0</v>
      </c>
      <c r="G161" s="155">
        <f t="shared" si="32"/>
        <v>0</v>
      </c>
      <c r="H161" s="155">
        <f t="shared" si="32"/>
        <v>0</v>
      </c>
      <c r="I161" s="155">
        <f t="shared" si="32"/>
        <v>0</v>
      </c>
      <c r="J161" s="155">
        <f t="shared" si="32"/>
        <v>0</v>
      </c>
      <c r="K161" s="155">
        <f t="shared" si="32"/>
        <v>0</v>
      </c>
      <c r="L161" s="155">
        <f t="shared" si="32"/>
        <v>0</v>
      </c>
      <c r="M161" s="155">
        <f t="shared" si="32"/>
        <v>0</v>
      </c>
      <c r="N161" s="155">
        <f t="shared" si="32"/>
        <v>0</v>
      </c>
      <c r="O161" s="155">
        <f t="shared" si="32"/>
        <v>0</v>
      </c>
      <c r="P161" s="155">
        <f t="shared" si="32"/>
        <v>0</v>
      </c>
      <c r="Q161" s="155">
        <f t="shared" si="32"/>
        <v>0</v>
      </c>
      <c r="R161" s="160">
        <f t="shared" ref="R161:R228" si="33">SUM(D161:Q161)</f>
        <v>0</v>
      </c>
      <c r="S161" s="155"/>
      <c r="T161" s="155">
        <f t="shared" si="32"/>
        <v>0</v>
      </c>
      <c r="U161" s="155">
        <f t="shared" si="32"/>
        <v>0</v>
      </c>
      <c r="V161" s="161">
        <f t="shared" si="32"/>
        <v>0</v>
      </c>
      <c r="W161" s="155">
        <f t="shared" si="32"/>
        <v>0</v>
      </c>
      <c r="X161" s="161">
        <f t="shared" ref="X161:X228" si="34">SUM(T161:W161)</f>
        <v>0</v>
      </c>
      <c r="Y161" s="533">
        <f t="shared" ref="Y161:Y228" si="35">R161+X161</f>
        <v>0</v>
      </c>
    </row>
    <row r="162" spans="1:26" ht="9.9499999999999993" hidden="1" customHeight="1" x14ac:dyDescent="0.2">
      <c r="A162" s="82"/>
      <c r="B162" s="123"/>
      <c r="C162" s="41"/>
      <c r="D162" s="155"/>
      <c r="E162" s="160"/>
      <c r="F162" s="155"/>
      <c r="G162" s="155"/>
      <c r="H162" s="155"/>
      <c r="I162" s="155"/>
      <c r="J162" s="155"/>
      <c r="K162" s="155"/>
      <c r="L162" s="155"/>
      <c r="M162" s="155"/>
      <c r="N162" s="155"/>
      <c r="O162" s="155"/>
      <c r="P162" s="155"/>
      <c r="Q162" s="155"/>
      <c r="R162" s="160"/>
      <c r="S162" s="155"/>
      <c r="T162" s="155"/>
      <c r="U162" s="155"/>
      <c r="V162" s="161"/>
      <c r="W162" s="155"/>
      <c r="X162" s="161"/>
      <c r="Y162" s="533"/>
    </row>
    <row r="163" spans="1:26" ht="24" hidden="1" customHeight="1" thickBot="1" x14ac:dyDescent="0.25">
      <c r="A163" s="82"/>
      <c r="B163" s="89"/>
      <c r="C163" s="41"/>
      <c r="D163" s="155"/>
      <c r="E163" s="160"/>
      <c r="F163" s="155"/>
      <c r="G163" s="155"/>
      <c r="H163" s="155"/>
      <c r="I163" s="155"/>
      <c r="J163" s="155"/>
      <c r="K163" s="155"/>
      <c r="L163" s="155"/>
      <c r="M163" s="155"/>
      <c r="N163" s="155"/>
      <c r="O163" s="155"/>
      <c r="P163" s="155"/>
      <c r="Q163" s="155"/>
      <c r="R163" s="160"/>
      <c r="S163" s="155"/>
      <c r="T163" s="155"/>
      <c r="U163" s="155"/>
      <c r="V163" s="161"/>
      <c r="W163" s="155"/>
      <c r="X163" s="161"/>
      <c r="Y163" s="533"/>
    </row>
    <row r="164" spans="1:26" ht="30" hidden="1" customHeight="1" thickTop="1" thickBot="1" x14ac:dyDescent="0.25">
      <c r="A164" s="42"/>
      <c r="B164" s="261" t="s">
        <v>184</v>
      </c>
      <c r="C164" s="44" t="s">
        <v>90</v>
      </c>
      <c r="D164" s="162">
        <f t="shared" ref="D164:Q164" si="36">D152+D161</f>
        <v>0</v>
      </c>
      <c r="E164" s="509">
        <f t="shared" si="36"/>
        <v>0</v>
      </c>
      <c r="F164" s="162">
        <f t="shared" si="36"/>
        <v>0</v>
      </c>
      <c r="G164" s="162">
        <f t="shared" si="36"/>
        <v>0</v>
      </c>
      <c r="H164" s="162">
        <f t="shared" si="36"/>
        <v>0</v>
      </c>
      <c r="I164" s="162">
        <f t="shared" si="36"/>
        <v>0</v>
      </c>
      <c r="J164" s="162">
        <f t="shared" si="36"/>
        <v>0</v>
      </c>
      <c r="K164" s="162">
        <f t="shared" si="36"/>
        <v>0</v>
      </c>
      <c r="L164" s="162">
        <f t="shared" si="36"/>
        <v>0</v>
      </c>
      <c r="M164" s="162">
        <f t="shared" si="36"/>
        <v>0</v>
      </c>
      <c r="N164" s="162">
        <f t="shared" si="36"/>
        <v>0</v>
      </c>
      <c r="O164" s="162">
        <f t="shared" si="36"/>
        <v>0</v>
      </c>
      <c r="P164" s="162">
        <f t="shared" si="36"/>
        <v>0</v>
      </c>
      <c r="Q164" s="162">
        <f t="shared" si="36"/>
        <v>0</v>
      </c>
      <c r="R164" s="509">
        <f t="shared" si="33"/>
        <v>0</v>
      </c>
      <c r="S164" s="162"/>
      <c r="T164" s="162">
        <f>T152+T161</f>
        <v>0</v>
      </c>
      <c r="U164" s="162">
        <f>U152+U161</f>
        <v>0</v>
      </c>
      <c r="V164" s="164">
        <f>V152+V161</f>
        <v>0</v>
      </c>
      <c r="W164" s="162">
        <f>W152+W161</f>
        <v>0</v>
      </c>
      <c r="X164" s="164">
        <f t="shared" si="34"/>
        <v>0</v>
      </c>
      <c r="Y164" s="534">
        <f t="shared" si="35"/>
        <v>0</v>
      </c>
    </row>
    <row r="165" spans="1:26" ht="30" hidden="1" customHeight="1" thickTop="1" thickBot="1" x14ac:dyDescent="0.25">
      <c r="A165" s="42"/>
      <c r="B165" s="573" t="s">
        <v>183</v>
      </c>
      <c r="C165" s="44" t="s">
        <v>154</v>
      </c>
      <c r="D165" s="542">
        <f t="shared" ref="D165:Q165" si="37">D144+D164</f>
        <v>1725531.2969999998</v>
      </c>
      <c r="E165" s="570">
        <f t="shared" si="37"/>
        <v>469447.837</v>
      </c>
      <c r="F165" s="542">
        <f t="shared" si="37"/>
        <v>516773.82300000003</v>
      </c>
      <c r="G165" s="542">
        <f t="shared" si="37"/>
        <v>685</v>
      </c>
      <c r="H165" s="542">
        <f t="shared" si="37"/>
        <v>87740</v>
      </c>
      <c r="I165" s="542">
        <f t="shared" si="37"/>
        <v>0</v>
      </c>
      <c r="J165" s="542">
        <f t="shared" si="37"/>
        <v>0</v>
      </c>
      <c r="K165" s="542">
        <f t="shared" si="37"/>
        <v>0</v>
      </c>
      <c r="L165" s="542">
        <f t="shared" si="37"/>
        <v>263000</v>
      </c>
      <c r="M165" s="542">
        <f t="shared" si="37"/>
        <v>9615</v>
      </c>
      <c r="N165" s="542">
        <f t="shared" si="37"/>
        <v>0</v>
      </c>
      <c r="O165" s="542">
        <f t="shared" si="37"/>
        <v>5000</v>
      </c>
      <c r="P165" s="542">
        <f t="shared" si="37"/>
        <v>0</v>
      </c>
      <c r="Q165" s="542">
        <f t="shared" si="37"/>
        <v>0</v>
      </c>
      <c r="R165" s="570">
        <f t="shared" si="33"/>
        <v>3077792.9569999995</v>
      </c>
      <c r="S165" s="542"/>
      <c r="T165" s="542">
        <f>T144+T164</f>
        <v>0</v>
      </c>
      <c r="U165" s="542">
        <f>U144+U164</f>
        <v>0</v>
      </c>
      <c r="V165" s="542">
        <f>V144+V164</f>
        <v>0</v>
      </c>
      <c r="W165" s="571">
        <f>W144+W164</f>
        <v>0</v>
      </c>
      <c r="X165" s="542">
        <f t="shared" si="34"/>
        <v>0</v>
      </c>
      <c r="Y165" s="569">
        <f t="shared" si="35"/>
        <v>3077792.9569999995</v>
      </c>
      <c r="Z165" s="130">
        <f>Y165-W165</f>
        <v>3077792.9569999995</v>
      </c>
    </row>
    <row r="166" spans="1:26" ht="24.95" hidden="1" customHeight="1" thickTop="1" x14ac:dyDescent="0.25">
      <c r="A166" s="572"/>
      <c r="B166" s="506" t="s">
        <v>186</v>
      </c>
      <c r="C166" s="132" t="s">
        <v>18</v>
      </c>
      <c r="D166" s="221">
        <f t="shared" ref="D166:W166" si="38">D165</f>
        <v>1725531.2969999998</v>
      </c>
      <c r="E166" s="522">
        <f t="shared" si="38"/>
        <v>469447.837</v>
      </c>
      <c r="F166" s="221">
        <f t="shared" si="38"/>
        <v>516773.82300000003</v>
      </c>
      <c r="G166" s="221">
        <f t="shared" si="38"/>
        <v>685</v>
      </c>
      <c r="H166" s="221">
        <f t="shared" si="38"/>
        <v>87740</v>
      </c>
      <c r="I166" s="221">
        <f t="shared" si="38"/>
        <v>0</v>
      </c>
      <c r="J166" s="221">
        <f t="shared" si="38"/>
        <v>0</v>
      </c>
      <c r="K166" s="221">
        <f t="shared" si="38"/>
        <v>0</v>
      </c>
      <c r="L166" s="221">
        <f t="shared" si="38"/>
        <v>263000</v>
      </c>
      <c r="M166" s="221">
        <f t="shared" si="38"/>
        <v>9615</v>
      </c>
      <c r="N166" s="221">
        <f t="shared" si="38"/>
        <v>0</v>
      </c>
      <c r="O166" s="221">
        <f t="shared" si="38"/>
        <v>5000</v>
      </c>
      <c r="P166" s="221">
        <f t="shared" si="38"/>
        <v>0</v>
      </c>
      <c r="Q166" s="221">
        <f t="shared" si="38"/>
        <v>0</v>
      </c>
      <c r="R166" s="522">
        <f t="shared" si="33"/>
        <v>3077792.9569999995</v>
      </c>
      <c r="S166" s="221"/>
      <c r="T166" s="221">
        <f>T165</f>
        <v>0</v>
      </c>
      <c r="U166" s="221">
        <f>U165</f>
        <v>0</v>
      </c>
      <c r="V166" s="263">
        <f t="shared" si="38"/>
        <v>0</v>
      </c>
      <c r="W166" s="221">
        <f t="shared" si="38"/>
        <v>0</v>
      </c>
      <c r="X166" s="263">
        <f t="shared" si="34"/>
        <v>0</v>
      </c>
      <c r="Y166" s="532">
        <f t="shared" si="35"/>
        <v>3077792.9569999995</v>
      </c>
      <c r="Z166" s="130"/>
    </row>
    <row r="167" spans="1:26" ht="33.75" hidden="1" customHeight="1" x14ac:dyDescent="0.25">
      <c r="A167" s="579"/>
      <c r="B167" s="183"/>
      <c r="C167" s="580"/>
      <c r="D167" s="581"/>
      <c r="E167" s="582"/>
      <c r="F167" s="581"/>
      <c r="G167" s="581"/>
      <c r="H167" s="581"/>
      <c r="I167" s="581"/>
      <c r="J167" s="581"/>
      <c r="K167" s="581"/>
      <c r="L167" s="581"/>
      <c r="M167" s="581"/>
      <c r="N167" s="581"/>
      <c r="O167" s="581"/>
      <c r="P167" s="581"/>
      <c r="Q167" s="581"/>
      <c r="R167" s="582"/>
      <c r="S167" s="581"/>
      <c r="T167" s="581"/>
      <c r="U167" s="581"/>
      <c r="V167" s="583"/>
      <c r="W167" s="581"/>
      <c r="X167" s="583"/>
      <c r="Y167" s="584"/>
      <c r="Z167" s="130"/>
    </row>
    <row r="168" spans="1:26" ht="33.75" hidden="1" customHeight="1" x14ac:dyDescent="0.2">
      <c r="A168" s="225">
        <v>1</v>
      </c>
      <c r="B168" s="576"/>
      <c r="C168" s="28"/>
      <c r="D168" s="160"/>
      <c r="E168" s="160"/>
      <c r="F168" s="155"/>
      <c r="G168" s="155"/>
      <c r="H168" s="155"/>
      <c r="I168" s="155"/>
      <c r="J168" s="155"/>
      <c r="K168" s="155"/>
      <c r="L168" s="155"/>
      <c r="M168" s="155"/>
      <c r="N168" s="155"/>
      <c r="O168" s="155"/>
      <c r="P168" s="155"/>
      <c r="Q168" s="155"/>
      <c r="R168" s="160">
        <f t="shared" si="33"/>
        <v>0</v>
      </c>
      <c r="S168" s="155"/>
      <c r="T168" s="155"/>
      <c r="U168" s="155"/>
      <c r="V168" s="161"/>
      <c r="W168" s="155"/>
      <c r="X168" s="161">
        <f t="shared" si="34"/>
        <v>0</v>
      </c>
      <c r="Y168" s="533">
        <f t="shared" si="35"/>
        <v>0</v>
      </c>
      <c r="Z168" s="130"/>
    </row>
    <row r="169" spans="1:26" ht="33.75" hidden="1" customHeight="1" x14ac:dyDescent="0.2">
      <c r="A169" s="225">
        <v>2</v>
      </c>
      <c r="B169" s="575"/>
      <c r="C169" s="28"/>
      <c r="D169" s="160"/>
      <c r="E169" s="160"/>
      <c r="F169" s="155"/>
      <c r="G169" s="155"/>
      <c r="H169" s="155"/>
      <c r="I169" s="155"/>
      <c r="J169" s="155"/>
      <c r="K169" s="155"/>
      <c r="L169" s="155"/>
      <c r="M169" s="155"/>
      <c r="N169" s="155"/>
      <c r="O169" s="155"/>
      <c r="P169" s="155"/>
      <c r="Q169" s="155"/>
      <c r="R169" s="160">
        <f t="shared" si="33"/>
        <v>0</v>
      </c>
      <c r="S169" s="155"/>
      <c r="T169" s="155"/>
      <c r="U169" s="155"/>
      <c r="V169" s="161"/>
      <c r="W169" s="155"/>
      <c r="X169" s="161">
        <f t="shared" si="34"/>
        <v>0</v>
      </c>
      <c r="Y169" s="533">
        <f t="shared" si="35"/>
        <v>0</v>
      </c>
      <c r="Z169" s="130"/>
    </row>
    <row r="170" spans="1:26" ht="33.75" hidden="1" customHeight="1" x14ac:dyDescent="0.2">
      <c r="A170" s="225">
        <v>3</v>
      </c>
      <c r="B170" s="575"/>
      <c r="C170" s="28"/>
      <c r="D170" s="160"/>
      <c r="E170" s="160"/>
      <c r="F170" s="155"/>
      <c r="G170" s="155"/>
      <c r="H170" s="155"/>
      <c r="I170" s="155"/>
      <c r="J170" s="155"/>
      <c r="K170" s="155"/>
      <c r="L170" s="155"/>
      <c r="M170" s="155"/>
      <c r="N170" s="155"/>
      <c r="O170" s="155"/>
      <c r="P170" s="155"/>
      <c r="Q170" s="155"/>
      <c r="R170" s="160">
        <f t="shared" si="33"/>
        <v>0</v>
      </c>
      <c r="S170" s="155"/>
      <c r="T170" s="155"/>
      <c r="U170" s="155"/>
      <c r="V170" s="161"/>
      <c r="W170" s="155"/>
      <c r="X170" s="161">
        <f t="shared" si="34"/>
        <v>0</v>
      </c>
      <c r="Y170" s="533">
        <f t="shared" si="35"/>
        <v>0</v>
      </c>
      <c r="Z170" s="130"/>
    </row>
    <row r="171" spans="1:26" ht="33.75" hidden="1" customHeight="1" x14ac:dyDescent="0.2">
      <c r="A171" s="225"/>
      <c r="B171" s="230"/>
      <c r="C171" s="33"/>
      <c r="D171" s="155"/>
      <c r="E171" s="160"/>
      <c r="F171" s="155"/>
      <c r="G171" s="155"/>
      <c r="H171" s="155"/>
      <c r="I171" s="155"/>
      <c r="J171" s="155"/>
      <c r="K171" s="155"/>
      <c r="L171" s="155"/>
      <c r="M171" s="155"/>
      <c r="N171" s="155"/>
      <c r="O171" s="155"/>
      <c r="P171" s="155"/>
      <c r="Q171" s="155"/>
      <c r="R171" s="160">
        <f t="shared" si="33"/>
        <v>0</v>
      </c>
      <c r="S171" s="155"/>
      <c r="T171" s="155"/>
      <c r="U171" s="155"/>
      <c r="V171" s="161"/>
      <c r="W171" s="155"/>
      <c r="X171" s="161">
        <f t="shared" si="34"/>
        <v>0</v>
      </c>
      <c r="Y171" s="533">
        <f t="shared" si="35"/>
        <v>0</v>
      </c>
      <c r="Z171" s="130"/>
    </row>
    <row r="172" spans="1:26" ht="33.75" hidden="1" customHeight="1" x14ac:dyDescent="0.2">
      <c r="A172" s="82"/>
      <c r="B172" s="30"/>
      <c r="C172" s="28"/>
      <c r="D172" s="155"/>
      <c r="E172" s="160"/>
      <c r="F172" s="155"/>
      <c r="G172" s="155"/>
      <c r="H172" s="155"/>
      <c r="I172" s="155"/>
      <c r="J172" s="155"/>
      <c r="K172" s="155"/>
      <c r="L172" s="155"/>
      <c r="M172" s="155"/>
      <c r="N172" s="155"/>
      <c r="O172" s="155"/>
      <c r="P172" s="155"/>
      <c r="Q172" s="155"/>
      <c r="R172" s="160">
        <f t="shared" si="33"/>
        <v>0</v>
      </c>
      <c r="S172" s="155"/>
      <c r="T172" s="155"/>
      <c r="U172" s="155"/>
      <c r="V172" s="161"/>
      <c r="W172" s="155"/>
      <c r="X172" s="161">
        <f t="shared" si="34"/>
        <v>0</v>
      </c>
      <c r="Y172" s="533">
        <f t="shared" si="35"/>
        <v>0</v>
      </c>
      <c r="Z172" s="130"/>
    </row>
    <row r="173" spans="1:26" ht="33.75" hidden="1" customHeight="1" x14ac:dyDescent="0.2">
      <c r="A173" s="82"/>
      <c r="B173" s="30"/>
      <c r="C173" s="28"/>
      <c r="D173" s="155"/>
      <c r="E173" s="160"/>
      <c r="F173" s="155"/>
      <c r="G173" s="155"/>
      <c r="H173" s="155"/>
      <c r="I173" s="155"/>
      <c r="J173" s="155"/>
      <c r="K173" s="155"/>
      <c r="L173" s="155"/>
      <c r="M173" s="155"/>
      <c r="N173" s="155"/>
      <c r="O173" s="155"/>
      <c r="P173" s="155"/>
      <c r="Q173" s="155"/>
      <c r="R173" s="160"/>
      <c r="S173" s="155"/>
      <c r="T173" s="155"/>
      <c r="U173" s="155"/>
      <c r="V173" s="161"/>
      <c r="W173" s="155"/>
      <c r="X173" s="161"/>
      <c r="Y173" s="533"/>
      <c r="Z173" s="130"/>
    </row>
    <row r="174" spans="1:26" ht="24" hidden="1" customHeight="1" x14ac:dyDescent="0.2">
      <c r="A174" s="210" t="s">
        <v>88</v>
      </c>
      <c r="B174" s="206"/>
      <c r="C174" s="211" t="s">
        <v>86</v>
      </c>
      <c r="D174" s="155">
        <f t="shared" ref="D174:W174" si="39">SUM(D168:D173)</f>
        <v>0</v>
      </c>
      <c r="E174" s="160">
        <f t="shared" si="39"/>
        <v>0</v>
      </c>
      <c r="F174" s="155">
        <f t="shared" si="39"/>
        <v>0</v>
      </c>
      <c r="G174" s="155">
        <f t="shared" si="39"/>
        <v>0</v>
      </c>
      <c r="H174" s="155">
        <f t="shared" si="39"/>
        <v>0</v>
      </c>
      <c r="I174" s="155">
        <f t="shared" si="39"/>
        <v>0</v>
      </c>
      <c r="J174" s="155">
        <f t="shared" si="39"/>
        <v>0</v>
      </c>
      <c r="K174" s="155">
        <f t="shared" si="39"/>
        <v>0</v>
      </c>
      <c r="L174" s="155">
        <f t="shared" si="39"/>
        <v>0</v>
      </c>
      <c r="M174" s="155">
        <f t="shared" si="39"/>
        <v>0</v>
      </c>
      <c r="N174" s="155">
        <f t="shared" si="39"/>
        <v>0</v>
      </c>
      <c r="O174" s="155">
        <f t="shared" si="39"/>
        <v>0</v>
      </c>
      <c r="P174" s="155">
        <f t="shared" si="39"/>
        <v>0</v>
      </c>
      <c r="Q174" s="155">
        <f t="shared" si="39"/>
        <v>0</v>
      </c>
      <c r="R174" s="160">
        <f t="shared" si="33"/>
        <v>0</v>
      </c>
      <c r="S174" s="155"/>
      <c r="T174" s="155">
        <f t="shared" si="39"/>
        <v>0</v>
      </c>
      <c r="U174" s="155">
        <f t="shared" si="39"/>
        <v>0</v>
      </c>
      <c r="V174" s="161">
        <f t="shared" si="39"/>
        <v>0</v>
      </c>
      <c r="W174" s="155">
        <f t="shared" si="39"/>
        <v>0</v>
      </c>
      <c r="X174" s="161">
        <f t="shared" si="34"/>
        <v>0</v>
      </c>
      <c r="Y174" s="533">
        <f t="shared" si="35"/>
        <v>0</v>
      </c>
      <c r="Z174" s="130"/>
    </row>
    <row r="175" spans="1:26" ht="33.75" hidden="1" customHeight="1" x14ac:dyDescent="0.2">
      <c r="A175" s="82"/>
      <c r="B175" s="45"/>
      <c r="C175" s="28"/>
      <c r="D175" s="155"/>
      <c r="E175" s="160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60"/>
      <c r="S175" s="155"/>
      <c r="T175" s="155"/>
      <c r="U175" s="155"/>
      <c r="V175" s="161"/>
      <c r="W175" s="155"/>
      <c r="X175" s="161"/>
      <c r="Y175" s="533"/>
      <c r="Z175" s="130"/>
    </row>
    <row r="176" spans="1:26" ht="33.75" hidden="1" customHeight="1" x14ac:dyDescent="0.2">
      <c r="A176" s="225" t="s">
        <v>117</v>
      </c>
      <c r="B176" s="227"/>
      <c r="C176" s="41"/>
      <c r="D176" s="155"/>
      <c r="E176" s="160"/>
      <c r="F176" s="155"/>
      <c r="G176" s="155"/>
      <c r="H176" s="155"/>
      <c r="I176" s="155"/>
      <c r="J176" s="155"/>
      <c r="K176" s="155"/>
      <c r="L176" s="155"/>
      <c r="M176" s="155"/>
      <c r="N176" s="155"/>
      <c r="O176" s="155"/>
      <c r="P176" s="155"/>
      <c r="Q176" s="155"/>
      <c r="R176" s="160">
        <f t="shared" si="33"/>
        <v>0</v>
      </c>
      <c r="S176" s="155"/>
      <c r="T176" s="155"/>
      <c r="U176" s="155"/>
      <c r="V176" s="161"/>
      <c r="W176" s="155"/>
      <c r="X176" s="161">
        <f t="shared" si="34"/>
        <v>0</v>
      </c>
      <c r="Y176" s="533">
        <f t="shared" si="35"/>
        <v>0</v>
      </c>
      <c r="Z176" s="130"/>
    </row>
    <row r="177" spans="1:26" ht="33.75" hidden="1" customHeight="1" x14ac:dyDescent="0.2">
      <c r="A177" s="225" t="s">
        <v>117</v>
      </c>
      <c r="B177" s="227"/>
      <c r="C177" s="41"/>
      <c r="D177" s="155"/>
      <c r="E177" s="160"/>
      <c r="F177" s="155"/>
      <c r="G177" s="155"/>
      <c r="H177" s="155"/>
      <c r="I177" s="155"/>
      <c r="J177" s="155"/>
      <c r="K177" s="155"/>
      <c r="L177" s="155"/>
      <c r="M177" s="155"/>
      <c r="N177" s="155"/>
      <c r="O177" s="155"/>
      <c r="P177" s="155"/>
      <c r="Q177" s="155"/>
      <c r="R177" s="160">
        <f t="shared" si="33"/>
        <v>0</v>
      </c>
      <c r="S177" s="155"/>
      <c r="T177" s="155"/>
      <c r="U177" s="155"/>
      <c r="V177" s="161"/>
      <c r="W177" s="155"/>
      <c r="X177" s="161">
        <f t="shared" si="34"/>
        <v>0</v>
      </c>
      <c r="Y177" s="533">
        <f t="shared" si="35"/>
        <v>0</v>
      </c>
      <c r="Z177" s="130"/>
    </row>
    <row r="178" spans="1:26" ht="33.75" hidden="1" customHeight="1" x14ac:dyDescent="0.2">
      <c r="A178" s="82" t="s">
        <v>117</v>
      </c>
      <c r="B178" s="32"/>
      <c r="C178" s="34"/>
      <c r="D178" s="155"/>
      <c r="E178" s="160"/>
      <c r="F178" s="155"/>
      <c r="G178" s="155"/>
      <c r="H178" s="155"/>
      <c r="I178" s="155"/>
      <c r="J178" s="155"/>
      <c r="K178" s="155"/>
      <c r="L178" s="155"/>
      <c r="M178" s="155"/>
      <c r="N178" s="155"/>
      <c r="O178" s="155"/>
      <c r="P178" s="155"/>
      <c r="Q178" s="155"/>
      <c r="R178" s="160">
        <f t="shared" si="33"/>
        <v>0</v>
      </c>
      <c r="S178" s="155"/>
      <c r="T178" s="155"/>
      <c r="U178" s="155"/>
      <c r="V178" s="161"/>
      <c r="W178" s="155"/>
      <c r="X178" s="161">
        <f t="shared" si="34"/>
        <v>0</v>
      </c>
      <c r="Y178" s="533">
        <f t="shared" si="35"/>
        <v>0</v>
      </c>
      <c r="Z178" s="130"/>
    </row>
    <row r="179" spans="1:26" ht="33.75" hidden="1" customHeight="1" x14ac:dyDescent="0.2">
      <c r="A179" s="82" t="s">
        <v>117</v>
      </c>
      <c r="B179" s="297"/>
      <c r="C179" s="34"/>
      <c r="D179" s="155"/>
      <c r="E179" s="160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5"/>
      <c r="R179" s="160">
        <f t="shared" si="33"/>
        <v>0</v>
      </c>
      <c r="S179" s="155"/>
      <c r="T179" s="155"/>
      <c r="U179" s="155"/>
      <c r="V179" s="161"/>
      <c r="W179" s="155"/>
      <c r="X179" s="161">
        <f t="shared" si="34"/>
        <v>0</v>
      </c>
      <c r="Y179" s="533">
        <f t="shared" si="35"/>
        <v>0</v>
      </c>
      <c r="Z179" s="130"/>
    </row>
    <row r="180" spans="1:26" ht="33.75" hidden="1" customHeight="1" x14ac:dyDescent="0.2">
      <c r="A180" s="82" t="s">
        <v>190</v>
      </c>
      <c r="B180" s="290"/>
      <c r="C180" s="34"/>
      <c r="D180" s="155"/>
      <c r="E180" s="160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5"/>
      <c r="R180" s="160">
        <f t="shared" si="33"/>
        <v>0</v>
      </c>
      <c r="S180" s="155"/>
      <c r="T180" s="155"/>
      <c r="U180" s="155"/>
      <c r="V180" s="161"/>
      <c r="W180" s="155"/>
      <c r="X180" s="161">
        <f t="shared" si="34"/>
        <v>0</v>
      </c>
      <c r="Y180" s="533">
        <f t="shared" si="35"/>
        <v>0</v>
      </c>
      <c r="Z180" s="130"/>
    </row>
    <row r="181" spans="1:26" ht="33.75" hidden="1" customHeight="1" x14ac:dyDescent="0.2">
      <c r="A181" s="82" t="s">
        <v>190</v>
      </c>
      <c r="B181" s="297"/>
      <c r="C181" s="34"/>
      <c r="D181" s="155"/>
      <c r="E181" s="160"/>
      <c r="F181" s="155"/>
      <c r="G181" s="155"/>
      <c r="H181" s="155"/>
      <c r="I181" s="155"/>
      <c r="J181" s="155"/>
      <c r="K181" s="155"/>
      <c r="L181" s="155"/>
      <c r="M181" s="155"/>
      <c r="N181" s="155"/>
      <c r="O181" s="155"/>
      <c r="P181" s="155"/>
      <c r="Q181" s="155"/>
      <c r="R181" s="160">
        <f t="shared" si="33"/>
        <v>0</v>
      </c>
      <c r="S181" s="155"/>
      <c r="T181" s="155"/>
      <c r="U181" s="155"/>
      <c r="V181" s="161"/>
      <c r="W181" s="155"/>
      <c r="X181" s="161">
        <f t="shared" si="34"/>
        <v>0</v>
      </c>
      <c r="Y181" s="533">
        <f t="shared" si="35"/>
        <v>0</v>
      </c>
      <c r="Z181" s="130"/>
    </row>
    <row r="182" spans="1:26" ht="33.75" hidden="1" customHeight="1" x14ac:dyDescent="0.2">
      <c r="A182" s="82" t="s">
        <v>190</v>
      </c>
      <c r="B182" s="297"/>
      <c r="C182" s="34"/>
      <c r="D182" s="155"/>
      <c r="E182" s="160"/>
      <c r="F182" s="155"/>
      <c r="G182" s="155"/>
      <c r="H182" s="155"/>
      <c r="I182" s="155"/>
      <c r="J182" s="155"/>
      <c r="K182" s="155"/>
      <c r="L182" s="155"/>
      <c r="M182" s="155"/>
      <c r="N182" s="155"/>
      <c r="O182" s="155"/>
      <c r="P182" s="155"/>
      <c r="Q182" s="155"/>
      <c r="R182" s="160">
        <f t="shared" si="33"/>
        <v>0</v>
      </c>
      <c r="S182" s="155"/>
      <c r="T182" s="155"/>
      <c r="U182" s="155"/>
      <c r="V182" s="161"/>
      <c r="W182" s="155"/>
      <c r="X182" s="161">
        <f t="shared" si="34"/>
        <v>0</v>
      </c>
      <c r="Y182" s="533">
        <f t="shared" si="35"/>
        <v>0</v>
      </c>
      <c r="Z182" s="130"/>
    </row>
    <row r="183" spans="1:26" ht="33.75" hidden="1" customHeight="1" x14ac:dyDescent="0.2">
      <c r="A183" s="82"/>
      <c r="B183" s="123"/>
      <c r="C183" s="41"/>
      <c r="D183" s="155"/>
      <c r="E183" s="160"/>
      <c r="F183" s="155"/>
      <c r="G183" s="155"/>
      <c r="H183" s="155"/>
      <c r="I183" s="155"/>
      <c r="J183" s="155"/>
      <c r="K183" s="155"/>
      <c r="L183" s="155"/>
      <c r="M183" s="155"/>
      <c r="N183" s="155"/>
      <c r="O183" s="155"/>
      <c r="P183" s="155"/>
      <c r="Q183" s="155"/>
      <c r="R183" s="160"/>
      <c r="S183" s="155"/>
      <c r="T183" s="155"/>
      <c r="U183" s="155"/>
      <c r="V183" s="161"/>
      <c r="W183" s="155"/>
      <c r="X183" s="161"/>
      <c r="Y183" s="533"/>
      <c r="Z183" s="130"/>
    </row>
    <row r="184" spans="1:26" ht="24" hidden="1" customHeight="1" x14ac:dyDescent="0.2">
      <c r="A184" s="210" t="s">
        <v>89</v>
      </c>
      <c r="B184" s="206"/>
      <c r="C184" s="211" t="s">
        <v>87</v>
      </c>
      <c r="D184" s="155">
        <f t="shared" ref="D184:W184" si="40">SUM(D176:D183)</f>
        <v>0</v>
      </c>
      <c r="E184" s="160">
        <f t="shared" si="40"/>
        <v>0</v>
      </c>
      <c r="F184" s="155">
        <f t="shared" si="40"/>
        <v>0</v>
      </c>
      <c r="G184" s="155">
        <f t="shared" si="40"/>
        <v>0</v>
      </c>
      <c r="H184" s="155">
        <f t="shared" si="40"/>
        <v>0</v>
      </c>
      <c r="I184" s="155">
        <f t="shared" si="40"/>
        <v>0</v>
      </c>
      <c r="J184" s="155">
        <f t="shared" si="40"/>
        <v>0</v>
      </c>
      <c r="K184" s="155">
        <f t="shared" si="40"/>
        <v>0</v>
      </c>
      <c r="L184" s="155">
        <f t="shared" si="40"/>
        <v>0</v>
      </c>
      <c r="M184" s="155">
        <f t="shared" si="40"/>
        <v>0</v>
      </c>
      <c r="N184" s="155">
        <f t="shared" si="40"/>
        <v>0</v>
      </c>
      <c r="O184" s="155">
        <f t="shared" si="40"/>
        <v>0</v>
      </c>
      <c r="P184" s="155">
        <f t="shared" si="40"/>
        <v>0</v>
      </c>
      <c r="Q184" s="155">
        <f t="shared" si="40"/>
        <v>0</v>
      </c>
      <c r="R184" s="160">
        <f t="shared" si="33"/>
        <v>0</v>
      </c>
      <c r="S184" s="155"/>
      <c r="T184" s="155">
        <f t="shared" si="40"/>
        <v>0</v>
      </c>
      <c r="U184" s="155">
        <f t="shared" si="40"/>
        <v>0</v>
      </c>
      <c r="V184" s="161">
        <f t="shared" si="40"/>
        <v>0</v>
      </c>
      <c r="W184" s="155">
        <f t="shared" si="40"/>
        <v>0</v>
      </c>
      <c r="X184" s="161">
        <f t="shared" si="34"/>
        <v>0</v>
      </c>
      <c r="Y184" s="533">
        <f t="shared" si="35"/>
        <v>0</v>
      </c>
      <c r="Z184" s="130"/>
    </row>
    <row r="185" spans="1:26" ht="24" hidden="1" customHeight="1" x14ac:dyDescent="0.2">
      <c r="A185" s="82"/>
      <c r="B185" s="123"/>
      <c r="C185" s="41"/>
      <c r="D185" s="155"/>
      <c r="E185" s="160"/>
      <c r="F185" s="155"/>
      <c r="G185" s="155"/>
      <c r="H185" s="155"/>
      <c r="I185" s="155"/>
      <c r="J185" s="155"/>
      <c r="K185" s="155"/>
      <c r="L185" s="155"/>
      <c r="M185" s="155"/>
      <c r="N185" s="155"/>
      <c r="O185" s="155"/>
      <c r="P185" s="155"/>
      <c r="Q185" s="155"/>
      <c r="R185" s="160"/>
      <c r="S185" s="155"/>
      <c r="T185" s="155"/>
      <c r="U185" s="155"/>
      <c r="V185" s="161"/>
      <c r="W185" s="155"/>
      <c r="X185" s="161"/>
      <c r="Y185" s="533"/>
      <c r="Z185" s="130"/>
    </row>
    <row r="186" spans="1:26" ht="24" hidden="1" customHeight="1" thickBot="1" x14ac:dyDescent="0.25">
      <c r="A186" s="82"/>
      <c r="B186" s="89"/>
      <c r="C186" s="41"/>
      <c r="D186" s="155"/>
      <c r="E186" s="160"/>
      <c r="F186" s="155"/>
      <c r="G186" s="155"/>
      <c r="H186" s="155"/>
      <c r="I186" s="155"/>
      <c r="J186" s="155"/>
      <c r="K186" s="155"/>
      <c r="L186" s="155"/>
      <c r="M186" s="155"/>
      <c r="N186" s="155"/>
      <c r="O186" s="155"/>
      <c r="P186" s="155"/>
      <c r="Q186" s="155"/>
      <c r="R186" s="160"/>
      <c r="S186" s="155"/>
      <c r="T186" s="155"/>
      <c r="U186" s="155"/>
      <c r="V186" s="161"/>
      <c r="W186" s="155"/>
      <c r="X186" s="161"/>
      <c r="Y186" s="533"/>
      <c r="Z186" s="130"/>
    </row>
    <row r="187" spans="1:26" ht="33.75" hidden="1" customHeight="1" thickTop="1" thickBot="1" x14ac:dyDescent="0.25">
      <c r="A187" s="42"/>
      <c r="B187" s="261" t="s">
        <v>185</v>
      </c>
      <c r="C187" s="44" t="s">
        <v>90</v>
      </c>
      <c r="D187" s="162">
        <f t="shared" ref="D187:W187" si="41">D174+D184</f>
        <v>0</v>
      </c>
      <c r="E187" s="509">
        <f t="shared" si="41"/>
        <v>0</v>
      </c>
      <c r="F187" s="162">
        <f t="shared" si="41"/>
        <v>0</v>
      </c>
      <c r="G187" s="162">
        <f t="shared" si="41"/>
        <v>0</v>
      </c>
      <c r="H187" s="162">
        <f t="shared" si="41"/>
        <v>0</v>
      </c>
      <c r="I187" s="162">
        <f t="shared" si="41"/>
        <v>0</v>
      </c>
      <c r="J187" s="162">
        <f t="shared" si="41"/>
        <v>0</v>
      </c>
      <c r="K187" s="162">
        <f t="shared" si="41"/>
        <v>0</v>
      </c>
      <c r="L187" s="162">
        <f t="shared" si="41"/>
        <v>0</v>
      </c>
      <c r="M187" s="162">
        <f t="shared" si="41"/>
        <v>0</v>
      </c>
      <c r="N187" s="162">
        <f t="shared" si="41"/>
        <v>0</v>
      </c>
      <c r="O187" s="162">
        <f t="shared" si="41"/>
        <v>0</v>
      </c>
      <c r="P187" s="162">
        <f t="shared" si="41"/>
        <v>0</v>
      </c>
      <c r="Q187" s="162">
        <f t="shared" si="41"/>
        <v>0</v>
      </c>
      <c r="R187" s="509">
        <f t="shared" si="33"/>
        <v>0</v>
      </c>
      <c r="S187" s="162"/>
      <c r="T187" s="162">
        <f>T174+T184</f>
        <v>0</v>
      </c>
      <c r="U187" s="162">
        <f>U174+U184</f>
        <v>0</v>
      </c>
      <c r="V187" s="164">
        <f t="shared" si="41"/>
        <v>0</v>
      </c>
      <c r="W187" s="162">
        <f t="shared" si="41"/>
        <v>0</v>
      </c>
      <c r="X187" s="164">
        <f t="shared" si="34"/>
        <v>0</v>
      </c>
      <c r="Y187" s="534">
        <f t="shared" si="35"/>
        <v>0</v>
      </c>
      <c r="Z187" s="130"/>
    </row>
    <row r="188" spans="1:26" ht="33.75" hidden="1" customHeight="1" thickTop="1" thickBot="1" x14ac:dyDescent="0.25">
      <c r="A188" s="42"/>
      <c r="B188" s="43" t="s">
        <v>186</v>
      </c>
      <c r="C188" s="44" t="s">
        <v>154</v>
      </c>
      <c r="D188" s="204">
        <f t="shared" ref="D188:W188" si="42">D166+D187</f>
        <v>1725531.2969999998</v>
      </c>
      <c r="E188" s="204">
        <f t="shared" si="42"/>
        <v>469447.837</v>
      </c>
      <c r="F188" s="204">
        <f t="shared" si="42"/>
        <v>516773.82300000003</v>
      </c>
      <c r="G188" s="204">
        <f t="shared" si="42"/>
        <v>685</v>
      </c>
      <c r="H188" s="204">
        <f t="shared" si="42"/>
        <v>87740</v>
      </c>
      <c r="I188" s="204">
        <f t="shared" si="42"/>
        <v>0</v>
      </c>
      <c r="J188" s="204">
        <f t="shared" si="42"/>
        <v>0</v>
      </c>
      <c r="K188" s="204">
        <f t="shared" si="42"/>
        <v>0</v>
      </c>
      <c r="L188" s="204">
        <f t="shared" si="42"/>
        <v>263000</v>
      </c>
      <c r="M188" s="204">
        <f t="shared" si="42"/>
        <v>9615</v>
      </c>
      <c r="N188" s="204">
        <f t="shared" si="42"/>
        <v>0</v>
      </c>
      <c r="O188" s="204">
        <f t="shared" si="42"/>
        <v>5000</v>
      </c>
      <c r="P188" s="204">
        <f t="shared" si="42"/>
        <v>0</v>
      </c>
      <c r="Q188" s="204">
        <f t="shared" si="42"/>
        <v>0</v>
      </c>
      <c r="R188" s="204">
        <f t="shared" si="33"/>
        <v>3077792.9569999995</v>
      </c>
      <c r="S188" s="162"/>
      <c r="T188" s="162">
        <f>T166+T187</f>
        <v>0</v>
      </c>
      <c r="U188" s="162">
        <f>U166+U187</f>
        <v>0</v>
      </c>
      <c r="V188" s="164">
        <f t="shared" si="42"/>
        <v>0</v>
      </c>
      <c r="W188" s="162">
        <f t="shared" si="42"/>
        <v>0</v>
      </c>
      <c r="X188" s="164">
        <f t="shared" si="34"/>
        <v>0</v>
      </c>
      <c r="Y188" s="569">
        <f t="shared" si="35"/>
        <v>3077792.9569999995</v>
      </c>
      <c r="Z188" s="130"/>
    </row>
    <row r="189" spans="1:26" ht="24" hidden="1" customHeight="1" thickTop="1" x14ac:dyDescent="0.2">
      <c r="A189" s="207"/>
      <c r="B189" s="222"/>
      <c r="C189" s="223"/>
      <c r="D189" s="338"/>
      <c r="E189" s="523"/>
      <c r="F189" s="338"/>
      <c r="G189" s="338"/>
      <c r="H189" s="338"/>
      <c r="I189" s="338"/>
      <c r="J189" s="338"/>
      <c r="K189" s="338"/>
      <c r="L189" s="338"/>
      <c r="M189" s="338"/>
      <c r="N189" s="338"/>
      <c r="O189" s="338"/>
      <c r="P189" s="338"/>
      <c r="Q189" s="338"/>
      <c r="R189" s="523">
        <f t="shared" si="33"/>
        <v>0</v>
      </c>
      <c r="S189" s="338"/>
      <c r="T189" s="338"/>
      <c r="U189" s="338"/>
      <c r="V189" s="339"/>
      <c r="W189" s="338"/>
      <c r="X189" s="339">
        <f t="shared" si="34"/>
        <v>0</v>
      </c>
      <c r="Y189" s="535">
        <f t="shared" si="35"/>
        <v>0</v>
      </c>
      <c r="Z189" s="130"/>
    </row>
    <row r="190" spans="1:26" ht="24" hidden="1" customHeight="1" x14ac:dyDescent="0.2">
      <c r="A190" s="207"/>
      <c r="B190" s="222"/>
      <c r="C190" s="223"/>
      <c r="D190" s="338"/>
      <c r="E190" s="523"/>
      <c r="F190" s="338"/>
      <c r="G190" s="338"/>
      <c r="H190" s="338"/>
      <c r="I190" s="338"/>
      <c r="J190" s="338"/>
      <c r="K190" s="338"/>
      <c r="L190" s="338"/>
      <c r="M190" s="338"/>
      <c r="N190" s="338"/>
      <c r="O190" s="338"/>
      <c r="P190" s="338"/>
      <c r="Q190" s="338"/>
      <c r="R190" s="523">
        <f t="shared" si="33"/>
        <v>0</v>
      </c>
      <c r="S190" s="338"/>
      <c r="T190" s="338"/>
      <c r="U190" s="338"/>
      <c r="V190" s="339"/>
      <c r="W190" s="338"/>
      <c r="X190" s="339">
        <f t="shared" si="34"/>
        <v>0</v>
      </c>
      <c r="Y190" s="535">
        <f t="shared" si="35"/>
        <v>0</v>
      </c>
      <c r="Z190" s="130"/>
    </row>
    <row r="191" spans="1:26" ht="24" hidden="1" customHeight="1" x14ac:dyDescent="0.2">
      <c r="A191" s="26"/>
      <c r="B191" s="74" t="s">
        <v>84</v>
      </c>
      <c r="C191" s="39" t="s">
        <v>22</v>
      </c>
      <c r="D191" s="165"/>
      <c r="E191" s="524"/>
      <c r="F191" s="165"/>
      <c r="G191" s="165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524">
        <f t="shared" si="33"/>
        <v>0</v>
      </c>
      <c r="S191" s="165"/>
      <c r="T191" s="165"/>
      <c r="U191" s="165"/>
      <c r="V191" s="166"/>
      <c r="W191" s="165"/>
      <c r="X191" s="166">
        <f t="shared" si="34"/>
        <v>0</v>
      </c>
      <c r="Y191" s="533">
        <f t="shared" si="35"/>
        <v>0</v>
      </c>
    </row>
    <row r="192" spans="1:26" ht="24" hidden="1" customHeight="1" x14ac:dyDescent="0.25">
      <c r="A192" s="26"/>
      <c r="B192" s="91" t="s">
        <v>70</v>
      </c>
      <c r="C192" s="39" t="s">
        <v>22</v>
      </c>
      <c r="D192" s="165"/>
      <c r="E192" s="524"/>
      <c r="F192" s="165"/>
      <c r="G192" s="165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524">
        <f t="shared" si="33"/>
        <v>0</v>
      </c>
      <c r="S192" s="165"/>
      <c r="T192" s="165"/>
      <c r="U192" s="165"/>
      <c r="V192" s="166"/>
      <c r="W192" s="165"/>
      <c r="X192" s="166">
        <f t="shared" si="34"/>
        <v>0</v>
      </c>
      <c r="Y192" s="533">
        <f t="shared" si="35"/>
        <v>0</v>
      </c>
    </row>
    <row r="193" spans="1:26" ht="24" hidden="1" customHeight="1" x14ac:dyDescent="0.25">
      <c r="A193" s="26"/>
      <c r="B193" s="91" t="s">
        <v>52</v>
      </c>
      <c r="C193" s="39" t="s">
        <v>22</v>
      </c>
      <c r="D193" s="165"/>
      <c r="E193" s="524"/>
      <c r="F193" s="165"/>
      <c r="G193" s="165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524">
        <f t="shared" si="33"/>
        <v>0</v>
      </c>
      <c r="S193" s="165"/>
      <c r="T193" s="165"/>
      <c r="U193" s="165"/>
      <c r="V193" s="166"/>
      <c r="W193" s="165"/>
      <c r="X193" s="166">
        <f t="shared" si="34"/>
        <v>0</v>
      </c>
      <c r="Y193" s="533">
        <f t="shared" si="35"/>
        <v>0</v>
      </c>
    </row>
    <row r="194" spans="1:26" ht="24" hidden="1" customHeight="1" x14ac:dyDescent="0.25">
      <c r="A194" s="26"/>
      <c r="B194" s="91" t="s">
        <v>72</v>
      </c>
      <c r="C194" s="39" t="s">
        <v>22</v>
      </c>
      <c r="D194" s="165"/>
      <c r="E194" s="524"/>
      <c r="F194" s="165"/>
      <c r="G194" s="165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524">
        <f t="shared" si="33"/>
        <v>0</v>
      </c>
      <c r="S194" s="165"/>
      <c r="T194" s="165"/>
      <c r="U194" s="165"/>
      <c r="V194" s="166"/>
      <c r="W194" s="165"/>
      <c r="X194" s="166">
        <f t="shared" si="34"/>
        <v>0</v>
      </c>
      <c r="Y194" s="533">
        <f t="shared" si="35"/>
        <v>0</v>
      </c>
    </row>
    <row r="195" spans="1:26" ht="24" hidden="1" customHeight="1" x14ac:dyDescent="0.25">
      <c r="A195" s="26"/>
      <c r="B195" s="91" t="s">
        <v>91</v>
      </c>
      <c r="C195" s="39" t="s">
        <v>22</v>
      </c>
      <c r="D195" s="165"/>
      <c r="E195" s="524"/>
      <c r="F195" s="165"/>
      <c r="G195" s="165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524">
        <f t="shared" si="33"/>
        <v>0</v>
      </c>
      <c r="S195" s="165"/>
      <c r="T195" s="165"/>
      <c r="U195" s="165"/>
      <c r="V195" s="166"/>
      <c r="W195" s="165"/>
      <c r="X195" s="166">
        <f t="shared" si="34"/>
        <v>0</v>
      </c>
      <c r="Y195" s="533">
        <f t="shared" si="35"/>
        <v>0</v>
      </c>
    </row>
    <row r="196" spans="1:26" ht="24" hidden="1" customHeight="1" thickBot="1" x14ac:dyDescent="0.25">
      <c r="A196" s="82"/>
      <c r="B196" s="84"/>
      <c r="C196" s="41"/>
      <c r="D196" s="155"/>
      <c r="E196" s="160"/>
      <c r="F196" s="155"/>
      <c r="G196" s="155"/>
      <c r="H196" s="155"/>
      <c r="I196" s="155"/>
      <c r="J196" s="155"/>
      <c r="K196" s="155"/>
      <c r="L196" s="155"/>
      <c r="M196" s="155"/>
      <c r="N196" s="155"/>
      <c r="O196" s="155"/>
      <c r="P196" s="155"/>
      <c r="Q196" s="155"/>
      <c r="R196" s="160">
        <f t="shared" si="33"/>
        <v>0</v>
      </c>
      <c r="S196" s="155"/>
      <c r="T196" s="155"/>
      <c r="U196" s="155"/>
      <c r="V196" s="161"/>
      <c r="W196" s="155"/>
      <c r="X196" s="161">
        <f t="shared" si="34"/>
        <v>0</v>
      </c>
      <c r="Y196" s="533">
        <f t="shared" si="35"/>
        <v>0</v>
      </c>
    </row>
    <row r="197" spans="1:26" ht="24" hidden="1" customHeight="1" thickTop="1" thickBot="1" x14ac:dyDescent="0.25">
      <c r="A197" s="47"/>
      <c r="B197" s="90"/>
      <c r="C197" s="44" t="s">
        <v>30</v>
      </c>
      <c r="D197" s="162">
        <f t="shared" ref="D197:P197" si="43">SUM(D191:D196)</f>
        <v>0</v>
      </c>
      <c r="E197" s="509">
        <f t="shared" si="43"/>
        <v>0</v>
      </c>
      <c r="F197" s="162">
        <f t="shared" si="43"/>
        <v>0</v>
      </c>
      <c r="G197" s="162">
        <f t="shared" si="43"/>
        <v>0</v>
      </c>
      <c r="H197" s="162">
        <f t="shared" si="43"/>
        <v>0</v>
      </c>
      <c r="I197" s="162">
        <f t="shared" si="43"/>
        <v>0</v>
      </c>
      <c r="J197" s="162">
        <f t="shared" si="43"/>
        <v>0</v>
      </c>
      <c r="K197" s="162">
        <f t="shared" si="43"/>
        <v>0</v>
      </c>
      <c r="L197" s="162">
        <f t="shared" si="43"/>
        <v>0</v>
      </c>
      <c r="M197" s="162">
        <f t="shared" si="43"/>
        <v>0</v>
      </c>
      <c r="N197" s="162">
        <f t="shared" si="43"/>
        <v>0</v>
      </c>
      <c r="O197" s="162">
        <f t="shared" si="43"/>
        <v>0</v>
      </c>
      <c r="P197" s="162">
        <f t="shared" si="43"/>
        <v>0</v>
      </c>
      <c r="Q197" s="162">
        <f t="shared" ref="Q197:W197" si="44">SUM(Q191:Q196)</f>
        <v>0</v>
      </c>
      <c r="R197" s="509">
        <f t="shared" si="33"/>
        <v>0</v>
      </c>
      <c r="S197" s="162"/>
      <c r="T197" s="162">
        <f t="shared" si="44"/>
        <v>0</v>
      </c>
      <c r="U197" s="162">
        <f t="shared" si="44"/>
        <v>0</v>
      </c>
      <c r="V197" s="164">
        <f t="shared" si="44"/>
        <v>0</v>
      </c>
      <c r="W197" s="162">
        <f t="shared" si="44"/>
        <v>0</v>
      </c>
      <c r="X197" s="164">
        <f t="shared" si="34"/>
        <v>0</v>
      </c>
      <c r="Y197" s="534">
        <f t="shared" si="35"/>
        <v>0</v>
      </c>
    </row>
    <row r="198" spans="1:26" ht="9.9499999999999993" hidden="1" customHeight="1" thickTop="1" x14ac:dyDescent="0.2">
      <c r="A198" s="186"/>
      <c r="B198" s="187"/>
      <c r="C198" s="188"/>
      <c r="D198" s="189"/>
      <c r="E198" s="525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525">
        <f t="shared" si="33"/>
        <v>0</v>
      </c>
      <c r="S198" s="189"/>
      <c r="T198" s="189"/>
      <c r="U198" s="189"/>
      <c r="V198" s="189"/>
      <c r="W198" s="436"/>
      <c r="X198" s="189">
        <f t="shared" si="34"/>
        <v>0</v>
      </c>
      <c r="Y198" s="536">
        <f t="shared" si="35"/>
        <v>0</v>
      </c>
    </row>
    <row r="199" spans="1:26" ht="24" hidden="1" customHeight="1" x14ac:dyDescent="0.2">
      <c r="A199" s="191"/>
      <c r="B199" s="192"/>
      <c r="C199" s="200" t="s">
        <v>68</v>
      </c>
      <c r="D199" s="193"/>
      <c r="E199" s="526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526">
        <f t="shared" si="33"/>
        <v>0</v>
      </c>
      <c r="S199" s="193"/>
      <c r="T199" s="193"/>
      <c r="U199" s="193"/>
      <c r="V199" s="193"/>
      <c r="W199" s="437"/>
      <c r="X199" s="193">
        <f t="shared" si="34"/>
        <v>0</v>
      </c>
      <c r="Y199" s="537">
        <f t="shared" si="35"/>
        <v>0</v>
      </c>
    </row>
    <row r="200" spans="1:26" ht="9.9499999999999993" hidden="1" customHeight="1" thickBot="1" x14ac:dyDescent="0.25">
      <c r="A200" s="195"/>
      <c r="B200" s="196"/>
      <c r="C200" s="197"/>
      <c r="D200" s="198"/>
      <c r="E200" s="527"/>
      <c r="F200" s="198"/>
      <c r="G200" s="198"/>
      <c r="H200" s="198"/>
      <c r="I200" s="198"/>
      <c r="J200" s="198"/>
      <c r="K200" s="198"/>
      <c r="L200" s="198"/>
      <c r="M200" s="198"/>
      <c r="N200" s="198"/>
      <c r="O200" s="198"/>
      <c r="P200" s="198"/>
      <c r="Q200" s="198"/>
      <c r="R200" s="527">
        <f t="shared" si="33"/>
        <v>0</v>
      </c>
      <c r="S200" s="198"/>
      <c r="T200" s="198"/>
      <c r="U200" s="198"/>
      <c r="V200" s="198"/>
      <c r="W200" s="439"/>
      <c r="X200" s="198">
        <f t="shared" si="34"/>
        <v>0</v>
      </c>
      <c r="Y200" s="538">
        <f t="shared" si="35"/>
        <v>0</v>
      </c>
    </row>
    <row r="201" spans="1:26" ht="24" hidden="1" customHeight="1" thickTop="1" thickBot="1" x14ac:dyDescent="0.25">
      <c r="A201" s="92"/>
      <c r="B201" s="43" t="s">
        <v>98</v>
      </c>
      <c r="C201" s="44" t="s">
        <v>154</v>
      </c>
      <c r="D201" s="167">
        <f>D188+D197</f>
        <v>1725531.2969999998</v>
      </c>
      <c r="E201" s="528">
        <f t="shared" ref="E201:W201" si="45">E188+E197</f>
        <v>469447.837</v>
      </c>
      <c r="F201" s="167">
        <f t="shared" si="45"/>
        <v>516773.82300000003</v>
      </c>
      <c r="G201" s="167">
        <f t="shared" si="45"/>
        <v>685</v>
      </c>
      <c r="H201" s="167">
        <f t="shared" si="45"/>
        <v>87740</v>
      </c>
      <c r="I201" s="167">
        <f t="shared" si="45"/>
        <v>0</v>
      </c>
      <c r="J201" s="167">
        <f t="shared" si="45"/>
        <v>0</v>
      </c>
      <c r="K201" s="167">
        <f t="shared" si="45"/>
        <v>0</v>
      </c>
      <c r="L201" s="167">
        <f t="shared" si="45"/>
        <v>263000</v>
      </c>
      <c r="M201" s="167">
        <f t="shared" si="45"/>
        <v>9615</v>
      </c>
      <c r="N201" s="167">
        <f t="shared" si="45"/>
        <v>0</v>
      </c>
      <c r="O201" s="167">
        <f t="shared" si="45"/>
        <v>5000</v>
      </c>
      <c r="P201" s="167">
        <f t="shared" si="45"/>
        <v>0</v>
      </c>
      <c r="Q201" s="167">
        <f t="shared" si="45"/>
        <v>0</v>
      </c>
      <c r="R201" s="528">
        <f t="shared" si="33"/>
        <v>3077792.9569999995</v>
      </c>
      <c r="S201" s="167"/>
      <c r="T201" s="167">
        <f>T188+T197</f>
        <v>0</v>
      </c>
      <c r="U201" s="167">
        <f>U188+U197</f>
        <v>0</v>
      </c>
      <c r="V201" s="370">
        <f t="shared" si="45"/>
        <v>0</v>
      </c>
      <c r="W201" s="178">
        <f t="shared" si="45"/>
        <v>0</v>
      </c>
      <c r="X201" s="167">
        <f t="shared" si="34"/>
        <v>0</v>
      </c>
      <c r="Y201" s="384">
        <f t="shared" si="35"/>
        <v>3077792.9569999995</v>
      </c>
      <c r="Z201" s="130"/>
    </row>
    <row r="202" spans="1:26" ht="24" hidden="1" customHeight="1" thickTop="1" thickBot="1" x14ac:dyDescent="0.25">
      <c r="A202" s="42"/>
      <c r="B202" s="109"/>
      <c r="C202" s="389" t="s">
        <v>18</v>
      </c>
      <c r="D202" s="390">
        <f t="shared" ref="D202:P202" si="46">D201</f>
        <v>1725531.2969999998</v>
      </c>
      <c r="E202" s="529">
        <f t="shared" si="46"/>
        <v>469447.837</v>
      </c>
      <c r="F202" s="390">
        <f t="shared" si="46"/>
        <v>516773.82300000003</v>
      </c>
      <c r="G202" s="390">
        <f t="shared" si="46"/>
        <v>685</v>
      </c>
      <c r="H202" s="390">
        <f t="shared" si="46"/>
        <v>87740</v>
      </c>
      <c r="I202" s="390">
        <f t="shared" si="46"/>
        <v>0</v>
      </c>
      <c r="J202" s="390">
        <f t="shared" si="46"/>
        <v>0</v>
      </c>
      <c r="K202" s="390">
        <f t="shared" si="46"/>
        <v>0</v>
      </c>
      <c r="L202" s="390">
        <f t="shared" si="46"/>
        <v>263000</v>
      </c>
      <c r="M202" s="390">
        <f t="shared" si="46"/>
        <v>9615</v>
      </c>
      <c r="N202" s="390">
        <f t="shared" si="46"/>
        <v>0</v>
      </c>
      <c r="O202" s="390">
        <f t="shared" si="46"/>
        <v>5000</v>
      </c>
      <c r="P202" s="390">
        <f t="shared" si="46"/>
        <v>0</v>
      </c>
      <c r="Q202" s="390">
        <f>Q201</f>
        <v>0</v>
      </c>
      <c r="R202" s="529">
        <f t="shared" si="33"/>
        <v>3077792.9569999995</v>
      </c>
      <c r="S202" s="390"/>
      <c r="T202" s="390">
        <f>T201</f>
        <v>0</v>
      </c>
      <c r="U202" s="390">
        <f>U201</f>
        <v>0</v>
      </c>
      <c r="V202" s="480">
        <f>V201</f>
        <v>0</v>
      </c>
      <c r="W202" s="390">
        <f>W201</f>
        <v>0</v>
      </c>
      <c r="X202" s="480">
        <f t="shared" si="34"/>
        <v>0</v>
      </c>
      <c r="Y202" s="539">
        <f t="shared" si="35"/>
        <v>3077792.9569999995</v>
      </c>
    </row>
    <row r="203" spans="1:26" ht="20.100000000000001" hidden="1" customHeight="1" thickTop="1" x14ac:dyDescent="0.2">
      <c r="A203" s="82">
        <v>1</v>
      </c>
      <c r="B203" s="118"/>
      <c r="C203" s="28"/>
      <c r="D203" s="160"/>
      <c r="E203" s="160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5"/>
      <c r="R203" s="160">
        <f t="shared" si="33"/>
        <v>0</v>
      </c>
      <c r="S203" s="155"/>
      <c r="T203" s="155"/>
      <c r="U203" s="155"/>
      <c r="V203" s="161"/>
      <c r="W203" s="155"/>
      <c r="X203" s="161">
        <f t="shared" si="34"/>
        <v>0</v>
      </c>
      <c r="Y203" s="533">
        <f t="shared" si="35"/>
        <v>0</v>
      </c>
    </row>
    <row r="204" spans="1:26" ht="20.100000000000001" hidden="1" customHeight="1" x14ac:dyDescent="0.2">
      <c r="A204" s="225">
        <v>2</v>
      </c>
      <c r="B204" s="118"/>
      <c r="C204" s="28"/>
      <c r="D204" s="160"/>
      <c r="E204" s="160"/>
      <c r="F204" s="155"/>
      <c r="G204" s="155"/>
      <c r="H204" s="155"/>
      <c r="I204" s="155"/>
      <c r="J204" s="155"/>
      <c r="K204" s="155"/>
      <c r="L204" s="155"/>
      <c r="M204" s="155"/>
      <c r="N204" s="155"/>
      <c r="O204" s="155"/>
      <c r="P204" s="155"/>
      <c r="Q204" s="155"/>
      <c r="R204" s="160">
        <f t="shared" si="33"/>
        <v>0</v>
      </c>
      <c r="S204" s="155"/>
      <c r="T204" s="155"/>
      <c r="U204" s="155"/>
      <c r="V204" s="161"/>
      <c r="W204" s="155"/>
      <c r="X204" s="161">
        <f t="shared" si="34"/>
        <v>0</v>
      </c>
      <c r="Y204" s="533">
        <f t="shared" si="35"/>
        <v>0</v>
      </c>
    </row>
    <row r="205" spans="1:26" ht="20.100000000000001" hidden="1" customHeight="1" x14ac:dyDescent="0.2">
      <c r="A205" s="82">
        <v>3</v>
      </c>
      <c r="B205" s="118"/>
      <c r="C205" s="28"/>
      <c r="D205" s="160"/>
      <c r="E205" s="160"/>
      <c r="F205" s="155"/>
      <c r="G205" s="155"/>
      <c r="H205" s="155"/>
      <c r="I205" s="155"/>
      <c r="J205" s="155"/>
      <c r="K205" s="155"/>
      <c r="L205" s="155"/>
      <c r="M205" s="155"/>
      <c r="N205" s="155"/>
      <c r="O205" s="155"/>
      <c r="P205" s="155"/>
      <c r="Q205" s="155"/>
      <c r="R205" s="160">
        <f t="shared" si="33"/>
        <v>0</v>
      </c>
      <c r="S205" s="155"/>
      <c r="T205" s="155"/>
      <c r="U205" s="155"/>
      <c r="V205" s="161"/>
      <c r="W205" s="155"/>
      <c r="X205" s="161">
        <f t="shared" si="34"/>
        <v>0</v>
      </c>
      <c r="Y205" s="533">
        <f t="shared" si="35"/>
        <v>0</v>
      </c>
    </row>
    <row r="206" spans="1:26" ht="20.100000000000001" hidden="1" customHeight="1" x14ac:dyDescent="0.2">
      <c r="A206" s="225">
        <v>4</v>
      </c>
      <c r="B206" s="118"/>
      <c r="C206" s="28"/>
      <c r="D206" s="160"/>
      <c r="E206" s="160"/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155"/>
      <c r="R206" s="160">
        <f t="shared" si="33"/>
        <v>0</v>
      </c>
      <c r="S206" s="155"/>
      <c r="T206" s="155"/>
      <c r="U206" s="155"/>
      <c r="V206" s="161"/>
      <c r="W206" s="155"/>
      <c r="X206" s="161">
        <f t="shared" si="34"/>
        <v>0</v>
      </c>
      <c r="Y206" s="533">
        <f t="shared" si="35"/>
        <v>0</v>
      </c>
    </row>
    <row r="207" spans="1:26" ht="20.100000000000001" hidden="1" customHeight="1" x14ac:dyDescent="0.2">
      <c r="A207" s="82">
        <v>5</v>
      </c>
      <c r="B207" s="118"/>
      <c r="C207" s="28"/>
      <c r="D207" s="155"/>
      <c r="E207" s="160"/>
      <c r="F207" s="155"/>
      <c r="G207" s="155"/>
      <c r="H207" s="155"/>
      <c r="I207" s="155"/>
      <c r="J207" s="155"/>
      <c r="K207" s="155"/>
      <c r="L207" s="155"/>
      <c r="M207" s="155"/>
      <c r="N207" s="155"/>
      <c r="O207" s="155"/>
      <c r="P207" s="155"/>
      <c r="Q207" s="155"/>
      <c r="R207" s="160">
        <f t="shared" si="33"/>
        <v>0</v>
      </c>
      <c r="S207" s="155"/>
      <c r="T207" s="155"/>
      <c r="U207" s="155"/>
      <c r="V207" s="161"/>
      <c r="W207" s="155"/>
      <c r="X207" s="161">
        <f t="shared" si="34"/>
        <v>0</v>
      </c>
      <c r="Y207" s="533">
        <f t="shared" si="35"/>
        <v>0</v>
      </c>
    </row>
    <row r="208" spans="1:26" ht="20.100000000000001" hidden="1" customHeight="1" x14ac:dyDescent="0.2">
      <c r="A208" s="225">
        <v>6</v>
      </c>
      <c r="B208" s="333"/>
      <c r="C208" s="88"/>
      <c r="D208" s="155"/>
      <c r="E208" s="160"/>
      <c r="F208" s="155"/>
      <c r="G208" s="155"/>
      <c r="H208" s="155"/>
      <c r="I208" s="155"/>
      <c r="J208" s="155"/>
      <c r="K208" s="155"/>
      <c r="L208" s="155"/>
      <c r="M208" s="155"/>
      <c r="N208" s="155"/>
      <c r="O208" s="155"/>
      <c r="P208" s="155"/>
      <c r="Q208" s="155"/>
      <c r="R208" s="160">
        <f t="shared" si="33"/>
        <v>0</v>
      </c>
      <c r="S208" s="155"/>
      <c r="T208" s="155"/>
      <c r="U208" s="155"/>
      <c r="V208" s="161"/>
      <c r="W208" s="155"/>
      <c r="X208" s="161">
        <f t="shared" si="34"/>
        <v>0</v>
      </c>
      <c r="Y208" s="533">
        <f t="shared" si="35"/>
        <v>0</v>
      </c>
    </row>
    <row r="209" spans="1:25" ht="20.100000000000001" hidden="1" customHeight="1" x14ac:dyDescent="0.2">
      <c r="A209" s="82">
        <v>7</v>
      </c>
      <c r="B209" s="391"/>
      <c r="C209" s="88"/>
      <c r="D209" s="155"/>
      <c r="E209" s="160"/>
      <c r="F209" s="155"/>
      <c r="G209" s="155"/>
      <c r="H209" s="155"/>
      <c r="I209" s="155"/>
      <c r="J209" s="155"/>
      <c r="K209" s="155"/>
      <c r="L209" s="155"/>
      <c r="M209" s="155"/>
      <c r="N209" s="155"/>
      <c r="O209" s="155"/>
      <c r="P209" s="155"/>
      <c r="Q209" s="155"/>
      <c r="R209" s="160">
        <f t="shared" si="33"/>
        <v>0</v>
      </c>
      <c r="S209" s="155"/>
      <c r="T209" s="155"/>
      <c r="U209" s="155"/>
      <c r="V209" s="161"/>
      <c r="W209" s="155"/>
      <c r="X209" s="161">
        <f t="shared" si="34"/>
        <v>0</v>
      </c>
      <c r="Y209" s="533">
        <f t="shared" si="35"/>
        <v>0</v>
      </c>
    </row>
    <row r="210" spans="1:25" ht="20.100000000000001" hidden="1" customHeight="1" x14ac:dyDescent="0.2">
      <c r="A210" s="225">
        <v>8</v>
      </c>
      <c r="B210" s="391"/>
      <c r="C210" s="28"/>
      <c r="D210" s="155"/>
      <c r="E210" s="160"/>
      <c r="F210" s="155"/>
      <c r="G210" s="155"/>
      <c r="H210" s="155"/>
      <c r="I210" s="155"/>
      <c r="J210" s="155"/>
      <c r="K210" s="155"/>
      <c r="L210" s="155"/>
      <c r="M210" s="155"/>
      <c r="N210" s="155"/>
      <c r="O210" s="155"/>
      <c r="P210" s="155"/>
      <c r="Q210" s="155"/>
      <c r="R210" s="160">
        <f t="shared" si="33"/>
        <v>0</v>
      </c>
      <c r="S210" s="155"/>
      <c r="T210" s="155"/>
      <c r="U210" s="155"/>
      <c r="V210" s="161"/>
      <c r="W210" s="155"/>
      <c r="X210" s="161">
        <f t="shared" si="34"/>
        <v>0</v>
      </c>
      <c r="Y210" s="533">
        <f t="shared" si="35"/>
        <v>0</v>
      </c>
    </row>
    <row r="211" spans="1:25" ht="20.100000000000001" hidden="1" customHeight="1" x14ac:dyDescent="0.2">
      <c r="A211" s="82">
        <v>9</v>
      </c>
      <c r="B211" s="118"/>
      <c r="C211" s="28"/>
      <c r="D211" s="155"/>
      <c r="E211" s="160"/>
      <c r="F211" s="155"/>
      <c r="G211" s="155"/>
      <c r="H211" s="155"/>
      <c r="I211" s="155"/>
      <c r="J211" s="155"/>
      <c r="K211" s="155"/>
      <c r="L211" s="155"/>
      <c r="M211" s="155"/>
      <c r="N211" s="155"/>
      <c r="O211" s="155"/>
      <c r="P211" s="155"/>
      <c r="Q211" s="155"/>
      <c r="R211" s="160">
        <f t="shared" si="33"/>
        <v>0</v>
      </c>
      <c r="S211" s="155"/>
      <c r="T211" s="155"/>
      <c r="U211" s="155"/>
      <c r="V211" s="161"/>
      <c r="W211" s="155"/>
      <c r="X211" s="161">
        <f t="shared" si="34"/>
        <v>0</v>
      </c>
      <c r="Y211" s="533">
        <f t="shared" si="35"/>
        <v>0</v>
      </c>
    </row>
    <row r="212" spans="1:25" ht="20.100000000000001" hidden="1" customHeight="1" x14ac:dyDescent="0.2">
      <c r="A212" s="225">
        <v>10</v>
      </c>
      <c r="B212" s="118"/>
      <c r="C212" s="33"/>
      <c r="D212" s="155"/>
      <c r="E212" s="160"/>
      <c r="F212" s="155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60">
        <f t="shared" si="33"/>
        <v>0</v>
      </c>
      <c r="S212" s="155"/>
      <c r="T212" s="155"/>
      <c r="U212" s="155"/>
      <c r="V212" s="161"/>
      <c r="W212" s="155"/>
      <c r="X212" s="161">
        <f t="shared" si="34"/>
        <v>0</v>
      </c>
      <c r="Y212" s="533">
        <f t="shared" si="35"/>
        <v>0</v>
      </c>
    </row>
    <row r="213" spans="1:25" ht="20.100000000000001" hidden="1" customHeight="1" x14ac:dyDescent="0.2">
      <c r="A213" s="82">
        <v>11</v>
      </c>
      <c r="B213" s="118"/>
      <c r="C213" s="33"/>
      <c r="D213" s="155"/>
      <c r="E213" s="160"/>
      <c r="F213" s="155"/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5"/>
      <c r="R213" s="160">
        <f t="shared" si="33"/>
        <v>0</v>
      </c>
      <c r="S213" s="155"/>
      <c r="T213" s="155"/>
      <c r="U213" s="155"/>
      <c r="V213" s="161"/>
      <c r="W213" s="155"/>
      <c r="X213" s="161">
        <f t="shared" si="34"/>
        <v>0</v>
      </c>
      <c r="Y213" s="533">
        <f t="shared" si="35"/>
        <v>0</v>
      </c>
    </row>
    <row r="214" spans="1:25" ht="20.100000000000001" hidden="1" customHeight="1" x14ac:dyDescent="0.2">
      <c r="A214" s="225">
        <v>12</v>
      </c>
      <c r="B214" s="118"/>
      <c r="C214" s="33"/>
      <c r="D214" s="155"/>
      <c r="E214" s="160"/>
      <c r="F214" s="155"/>
      <c r="G214" s="155"/>
      <c r="H214" s="155"/>
      <c r="I214" s="155"/>
      <c r="J214" s="155"/>
      <c r="K214" s="155"/>
      <c r="L214" s="155"/>
      <c r="M214" s="155"/>
      <c r="N214" s="155"/>
      <c r="O214" s="155"/>
      <c r="P214" s="155"/>
      <c r="Q214" s="155"/>
      <c r="R214" s="160">
        <f t="shared" si="33"/>
        <v>0</v>
      </c>
      <c r="S214" s="155"/>
      <c r="T214" s="155"/>
      <c r="U214" s="155"/>
      <c r="V214" s="161"/>
      <c r="W214" s="155"/>
      <c r="X214" s="161">
        <f t="shared" si="34"/>
        <v>0</v>
      </c>
      <c r="Y214" s="533">
        <f t="shared" si="35"/>
        <v>0</v>
      </c>
    </row>
    <row r="215" spans="1:25" ht="20.100000000000001" hidden="1" customHeight="1" x14ac:dyDescent="0.2">
      <c r="A215" s="82">
        <v>13</v>
      </c>
      <c r="B215" s="391"/>
      <c r="C215" s="33"/>
      <c r="D215" s="155"/>
      <c r="E215" s="160"/>
      <c r="F215" s="155"/>
      <c r="G215" s="155"/>
      <c r="H215" s="155"/>
      <c r="I215" s="155"/>
      <c r="J215" s="155"/>
      <c r="K215" s="155"/>
      <c r="L215" s="155"/>
      <c r="M215" s="155"/>
      <c r="N215" s="155"/>
      <c r="O215" s="155"/>
      <c r="P215" s="155"/>
      <c r="Q215" s="155"/>
      <c r="R215" s="160">
        <f t="shared" si="33"/>
        <v>0</v>
      </c>
      <c r="S215" s="155"/>
      <c r="T215" s="155"/>
      <c r="U215" s="155"/>
      <c r="V215" s="161"/>
      <c r="W215" s="155"/>
      <c r="X215" s="161">
        <f t="shared" si="34"/>
        <v>0</v>
      </c>
      <c r="Y215" s="533">
        <f t="shared" si="35"/>
        <v>0</v>
      </c>
    </row>
    <row r="216" spans="1:25" ht="20.100000000000001" hidden="1" customHeight="1" x14ac:dyDescent="0.2">
      <c r="A216" s="225">
        <v>14</v>
      </c>
      <c r="B216" s="118"/>
      <c r="C216" s="28"/>
      <c r="D216" s="155"/>
      <c r="E216" s="160"/>
      <c r="F216" s="155"/>
      <c r="G216" s="155"/>
      <c r="H216" s="155"/>
      <c r="I216" s="155"/>
      <c r="J216" s="155"/>
      <c r="K216" s="155"/>
      <c r="L216" s="155"/>
      <c r="M216" s="155"/>
      <c r="N216" s="155"/>
      <c r="O216" s="155"/>
      <c r="P216" s="155"/>
      <c r="Q216" s="155"/>
      <c r="R216" s="160">
        <f t="shared" si="33"/>
        <v>0</v>
      </c>
      <c r="S216" s="155"/>
      <c r="T216" s="155"/>
      <c r="U216" s="155"/>
      <c r="V216" s="161"/>
      <c r="W216" s="155"/>
      <c r="X216" s="161">
        <f t="shared" si="34"/>
        <v>0</v>
      </c>
      <c r="Y216" s="533">
        <f t="shared" si="35"/>
        <v>0</v>
      </c>
    </row>
    <row r="217" spans="1:25" ht="20.100000000000001" hidden="1" customHeight="1" x14ac:dyDescent="0.2">
      <c r="A217" s="82">
        <v>15</v>
      </c>
      <c r="B217" s="391"/>
      <c r="C217" s="33"/>
      <c r="D217" s="155"/>
      <c r="E217" s="160"/>
      <c r="F217" s="155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60">
        <f t="shared" si="33"/>
        <v>0</v>
      </c>
      <c r="S217" s="155"/>
      <c r="T217" s="155"/>
      <c r="U217" s="155"/>
      <c r="V217" s="161"/>
      <c r="W217" s="155"/>
      <c r="X217" s="161">
        <f t="shared" si="34"/>
        <v>0</v>
      </c>
      <c r="Y217" s="533">
        <f t="shared" si="35"/>
        <v>0</v>
      </c>
    </row>
    <row r="218" spans="1:25" ht="20.100000000000001" hidden="1" customHeight="1" x14ac:dyDescent="0.2">
      <c r="A218" s="225">
        <v>16</v>
      </c>
      <c r="B218" s="391"/>
      <c r="C218" s="28"/>
      <c r="D218" s="155"/>
      <c r="E218" s="160"/>
      <c r="F218" s="155"/>
      <c r="G218" s="155"/>
      <c r="H218" s="155"/>
      <c r="I218" s="155"/>
      <c r="J218" s="155"/>
      <c r="K218" s="155"/>
      <c r="L218" s="155"/>
      <c r="M218" s="155"/>
      <c r="N218" s="155"/>
      <c r="O218" s="155"/>
      <c r="P218" s="155"/>
      <c r="Q218" s="155"/>
      <c r="R218" s="160">
        <f t="shared" si="33"/>
        <v>0</v>
      </c>
      <c r="S218" s="155"/>
      <c r="T218" s="155"/>
      <c r="U218" s="155"/>
      <c r="V218" s="161"/>
      <c r="W218" s="155"/>
      <c r="X218" s="161">
        <f t="shared" si="34"/>
        <v>0</v>
      </c>
      <c r="Y218" s="533">
        <f t="shared" si="35"/>
        <v>0</v>
      </c>
    </row>
    <row r="219" spans="1:25" ht="20.100000000000001" hidden="1" customHeight="1" x14ac:dyDescent="0.2">
      <c r="A219" s="82"/>
      <c r="B219" s="30"/>
      <c r="C219" s="28"/>
      <c r="D219" s="155"/>
      <c r="E219" s="160"/>
      <c r="F219" s="155"/>
      <c r="G219" s="155"/>
      <c r="H219" s="155"/>
      <c r="I219" s="155"/>
      <c r="J219" s="155"/>
      <c r="K219" s="155"/>
      <c r="L219" s="155"/>
      <c r="M219" s="155"/>
      <c r="N219" s="155"/>
      <c r="O219" s="155"/>
      <c r="P219" s="155"/>
      <c r="Q219" s="155"/>
      <c r="R219" s="160">
        <f t="shared" si="33"/>
        <v>0</v>
      </c>
      <c r="S219" s="155"/>
      <c r="T219" s="155"/>
      <c r="U219" s="155"/>
      <c r="V219" s="161"/>
      <c r="W219" s="155"/>
      <c r="X219" s="161">
        <f t="shared" si="34"/>
        <v>0</v>
      </c>
      <c r="Y219" s="533">
        <f t="shared" si="35"/>
        <v>0</v>
      </c>
    </row>
    <row r="220" spans="1:25" ht="20.100000000000001" hidden="1" customHeight="1" x14ac:dyDescent="0.2">
      <c r="A220" s="210" t="s">
        <v>88</v>
      </c>
      <c r="B220" s="206"/>
      <c r="C220" s="211" t="s">
        <v>86</v>
      </c>
      <c r="D220" s="155">
        <f t="shared" ref="D220:W220" si="47">SUM(D203:D219)</f>
        <v>0</v>
      </c>
      <c r="E220" s="160">
        <f t="shared" si="47"/>
        <v>0</v>
      </c>
      <c r="F220" s="155">
        <f t="shared" si="47"/>
        <v>0</v>
      </c>
      <c r="G220" s="155">
        <f t="shared" si="47"/>
        <v>0</v>
      </c>
      <c r="H220" s="155">
        <f t="shared" si="47"/>
        <v>0</v>
      </c>
      <c r="I220" s="155">
        <f t="shared" si="47"/>
        <v>0</v>
      </c>
      <c r="J220" s="155">
        <f t="shared" si="47"/>
        <v>0</v>
      </c>
      <c r="K220" s="155">
        <f t="shared" si="47"/>
        <v>0</v>
      </c>
      <c r="L220" s="155">
        <f t="shared" si="47"/>
        <v>0</v>
      </c>
      <c r="M220" s="155">
        <f t="shared" si="47"/>
        <v>0</v>
      </c>
      <c r="N220" s="155">
        <f t="shared" si="47"/>
        <v>0</v>
      </c>
      <c r="O220" s="155">
        <f t="shared" si="47"/>
        <v>0</v>
      </c>
      <c r="P220" s="155">
        <f t="shared" si="47"/>
        <v>0</v>
      </c>
      <c r="Q220" s="155">
        <f t="shared" si="47"/>
        <v>0</v>
      </c>
      <c r="R220" s="160">
        <f t="shared" si="33"/>
        <v>0</v>
      </c>
      <c r="S220" s="155"/>
      <c r="T220" s="155">
        <f t="shared" si="47"/>
        <v>0</v>
      </c>
      <c r="U220" s="155">
        <f t="shared" si="47"/>
        <v>0</v>
      </c>
      <c r="V220" s="161">
        <f t="shared" si="47"/>
        <v>0</v>
      </c>
      <c r="W220" s="155">
        <f t="shared" si="47"/>
        <v>0</v>
      </c>
      <c r="X220" s="161">
        <f t="shared" si="34"/>
        <v>0</v>
      </c>
      <c r="Y220" s="533">
        <f t="shared" si="35"/>
        <v>0</v>
      </c>
    </row>
    <row r="221" spans="1:25" ht="20.100000000000001" hidden="1" customHeight="1" x14ac:dyDescent="0.25">
      <c r="A221" s="82"/>
      <c r="D221" s="155"/>
      <c r="E221" s="160"/>
      <c r="G221" s="155"/>
      <c r="H221" s="155"/>
      <c r="I221" s="155"/>
      <c r="J221" s="155"/>
      <c r="K221" s="155"/>
      <c r="L221" s="155"/>
      <c r="M221" s="155"/>
      <c r="N221" s="155"/>
      <c r="O221" s="155"/>
      <c r="P221" s="155"/>
      <c r="Q221" s="155"/>
      <c r="R221" s="160">
        <f t="shared" si="33"/>
        <v>0</v>
      </c>
      <c r="S221" s="155"/>
      <c r="T221" s="155"/>
      <c r="U221" s="155"/>
      <c r="V221" s="161"/>
      <c r="W221" s="155"/>
      <c r="X221" s="161">
        <f t="shared" si="34"/>
        <v>0</v>
      </c>
      <c r="Y221" s="533">
        <f t="shared" si="35"/>
        <v>0</v>
      </c>
    </row>
    <row r="222" spans="1:25" ht="20.100000000000001" hidden="1" customHeight="1" x14ac:dyDescent="0.2">
      <c r="A222" s="225" t="s">
        <v>117</v>
      </c>
      <c r="B222" s="45"/>
      <c r="C222" s="28"/>
      <c r="D222" s="155"/>
      <c r="E222" s="160"/>
      <c r="F222" s="155"/>
      <c r="G222" s="155"/>
      <c r="H222" s="155"/>
      <c r="I222" s="155"/>
      <c r="J222" s="155"/>
      <c r="K222" s="155"/>
      <c r="L222" s="155"/>
      <c r="M222" s="155"/>
      <c r="N222" s="155"/>
      <c r="O222" s="155"/>
      <c r="P222" s="155"/>
      <c r="Q222" s="155"/>
      <c r="R222" s="160">
        <f t="shared" si="33"/>
        <v>0</v>
      </c>
      <c r="S222" s="155"/>
      <c r="T222" s="155"/>
      <c r="U222" s="155"/>
      <c r="V222" s="161"/>
      <c r="W222" s="155"/>
      <c r="X222" s="161">
        <f t="shared" si="34"/>
        <v>0</v>
      </c>
      <c r="Y222" s="533">
        <f t="shared" si="35"/>
        <v>0</v>
      </c>
    </row>
    <row r="223" spans="1:25" ht="20.100000000000001" hidden="1" customHeight="1" x14ac:dyDescent="0.2">
      <c r="A223" s="225" t="s">
        <v>117</v>
      </c>
      <c r="B223" s="45"/>
      <c r="C223" s="41"/>
      <c r="D223" s="155"/>
      <c r="E223" s="160"/>
      <c r="F223" s="155"/>
      <c r="G223" s="155"/>
      <c r="H223" s="155"/>
      <c r="I223" s="155"/>
      <c r="J223" s="155"/>
      <c r="K223" s="155"/>
      <c r="L223" s="155"/>
      <c r="M223" s="155"/>
      <c r="N223" s="155"/>
      <c r="O223" s="155"/>
      <c r="P223" s="155"/>
      <c r="Q223" s="155"/>
      <c r="R223" s="160">
        <f t="shared" si="33"/>
        <v>0</v>
      </c>
      <c r="S223" s="155"/>
      <c r="T223" s="155"/>
      <c r="U223" s="155"/>
      <c r="V223" s="161"/>
      <c r="W223" s="155"/>
      <c r="X223" s="161">
        <f t="shared" si="34"/>
        <v>0</v>
      </c>
      <c r="Y223" s="533">
        <f t="shared" si="35"/>
        <v>0</v>
      </c>
    </row>
    <row r="224" spans="1:25" ht="20.100000000000001" hidden="1" customHeight="1" x14ac:dyDescent="0.2">
      <c r="A224" s="225" t="s">
        <v>117</v>
      </c>
      <c r="B224" s="31"/>
      <c r="C224" s="41"/>
      <c r="D224" s="155"/>
      <c r="E224" s="160"/>
      <c r="F224" s="155"/>
      <c r="G224" s="155"/>
      <c r="H224" s="155"/>
      <c r="I224" s="155"/>
      <c r="J224" s="155"/>
      <c r="K224" s="155"/>
      <c r="L224" s="155"/>
      <c r="M224" s="155"/>
      <c r="N224" s="155"/>
      <c r="O224" s="155"/>
      <c r="P224" s="155"/>
      <c r="Q224" s="155"/>
      <c r="R224" s="160">
        <f t="shared" si="33"/>
        <v>0</v>
      </c>
      <c r="S224" s="155"/>
      <c r="T224" s="155"/>
      <c r="U224" s="155"/>
      <c r="V224" s="161"/>
      <c r="W224" s="155"/>
      <c r="X224" s="161">
        <f t="shared" si="34"/>
        <v>0</v>
      </c>
      <c r="Y224" s="533">
        <f t="shared" si="35"/>
        <v>0</v>
      </c>
    </row>
    <row r="225" spans="1:25" ht="20.100000000000001" hidden="1" customHeight="1" x14ac:dyDescent="0.2">
      <c r="A225" s="225" t="s">
        <v>117</v>
      </c>
      <c r="B225" s="227"/>
      <c r="C225" s="41"/>
      <c r="D225" s="155"/>
      <c r="E225" s="160"/>
      <c r="F225" s="155"/>
      <c r="G225" s="155"/>
      <c r="H225" s="155"/>
      <c r="I225" s="155"/>
      <c r="J225" s="155"/>
      <c r="K225" s="155"/>
      <c r="L225" s="155"/>
      <c r="M225" s="155"/>
      <c r="N225" s="155"/>
      <c r="O225" s="155"/>
      <c r="P225" s="155"/>
      <c r="Q225" s="155"/>
      <c r="R225" s="160">
        <f t="shared" si="33"/>
        <v>0</v>
      </c>
      <c r="S225" s="155"/>
      <c r="T225" s="155"/>
      <c r="U225" s="155"/>
      <c r="V225" s="161"/>
      <c r="W225" s="155"/>
      <c r="X225" s="161">
        <f t="shared" si="34"/>
        <v>0</v>
      </c>
      <c r="Y225" s="533">
        <f t="shared" si="35"/>
        <v>0</v>
      </c>
    </row>
    <row r="226" spans="1:25" ht="20.100000000000001" hidden="1" customHeight="1" x14ac:dyDescent="0.2">
      <c r="A226" s="225" t="s">
        <v>117</v>
      </c>
      <c r="B226" s="229"/>
      <c r="C226" s="34"/>
      <c r="D226" s="155"/>
      <c r="E226" s="160"/>
      <c r="F226" s="155"/>
      <c r="G226" s="155"/>
      <c r="H226" s="155"/>
      <c r="I226" s="155"/>
      <c r="J226" s="155"/>
      <c r="K226" s="155"/>
      <c r="L226" s="155"/>
      <c r="M226" s="155"/>
      <c r="N226" s="155"/>
      <c r="O226" s="155"/>
      <c r="P226" s="155"/>
      <c r="Q226" s="155"/>
      <c r="R226" s="160">
        <f t="shared" si="33"/>
        <v>0</v>
      </c>
      <c r="S226" s="155"/>
      <c r="T226" s="155"/>
      <c r="U226" s="155"/>
      <c r="V226" s="161"/>
      <c r="W226" s="155"/>
      <c r="X226" s="161">
        <f t="shared" si="34"/>
        <v>0</v>
      </c>
      <c r="Y226" s="533">
        <f t="shared" si="35"/>
        <v>0</v>
      </c>
    </row>
    <row r="227" spans="1:25" ht="20.100000000000001" hidden="1" customHeight="1" x14ac:dyDescent="0.2">
      <c r="A227" s="225" t="s">
        <v>117</v>
      </c>
      <c r="B227" s="297"/>
      <c r="C227" s="34"/>
      <c r="D227" s="155"/>
      <c r="E227" s="160"/>
      <c r="F227" s="155"/>
      <c r="G227" s="155"/>
      <c r="H227" s="155"/>
      <c r="I227" s="155"/>
      <c r="J227" s="155"/>
      <c r="K227" s="155"/>
      <c r="L227" s="155"/>
      <c r="M227" s="155"/>
      <c r="N227" s="155"/>
      <c r="O227" s="155"/>
      <c r="P227" s="155"/>
      <c r="Q227" s="155"/>
      <c r="R227" s="160">
        <f t="shared" si="33"/>
        <v>0</v>
      </c>
      <c r="S227" s="155"/>
      <c r="T227" s="155"/>
      <c r="U227" s="155"/>
      <c r="V227" s="161"/>
      <c r="W227" s="155"/>
      <c r="X227" s="161">
        <f t="shared" si="34"/>
        <v>0</v>
      </c>
      <c r="Y227" s="533">
        <f t="shared" si="35"/>
        <v>0</v>
      </c>
    </row>
    <row r="228" spans="1:25" ht="20.100000000000001" hidden="1" customHeight="1" x14ac:dyDescent="0.2">
      <c r="A228" s="225" t="s">
        <v>117</v>
      </c>
      <c r="B228" s="290"/>
      <c r="C228" s="34"/>
      <c r="D228" s="155"/>
      <c r="E228" s="160"/>
      <c r="F228" s="155"/>
      <c r="G228" s="155"/>
      <c r="H228" s="155"/>
      <c r="I228" s="155"/>
      <c r="J228" s="155"/>
      <c r="K228" s="155"/>
      <c r="L228" s="155"/>
      <c r="M228" s="155"/>
      <c r="N228" s="155"/>
      <c r="O228" s="155"/>
      <c r="P228" s="155"/>
      <c r="Q228" s="155"/>
      <c r="R228" s="160">
        <f t="shared" si="33"/>
        <v>0</v>
      </c>
      <c r="S228" s="155"/>
      <c r="T228" s="155"/>
      <c r="U228" s="155"/>
      <c r="V228" s="161"/>
      <c r="W228" s="155"/>
      <c r="X228" s="161">
        <f t="shared" si="34"/>
        <v>0</v>
      </c>
      <c r="Y228" s="533">
        <f t="shared" si="35"/>
        <v>0</v>
      </c>
    </row>
    <row r="229" spans="1:25" ht="20.100000000000001" hidden="1" customHeight="1" x14ac:dyDescent="0.2">
      <c r="A229" s="225" t="s">
        <v>117</v>
      </c>
      <c r="B229" s="290"/>
      <c r="C229" s="34"/>
      <c r="D229" s="155"/>
      <c r="E229" s="160"/>
      <c r="F229" s="155"/>
      <c r="G229" s="155"/>
      <c r="H229" s="155"/>
      <c r="I229" s="155"/>
      <c r="J229" s="155"/>
      <c r="K229" s="155"/>
      <c r="L229" s="155"/>
      <c r="M229" s="155"/>
      <c r="N229" s="155"/>
      <c r="O229" s="155"/>
      <c r="P229" s="155"/>
      <c r="Q229" s="155"/>
      <c r="R229" s="160">
        <f t="shared" ref="R229:R240" si="48">SUM(D229:Q229)</f>
        <v>0</v>
      </c>
      <c r="S229" s="155"/>
      <c r="T229" s="155"/>
      <c r="U229" s="155"/>
      <c r="V229" s="161"/>
      <c r="W229" s="155"/>
      <c r="X229" s="161">
        <f t="shared" ref="X229:X240" si="49">SUM(T229:W229)</f>
        <v>0</v>
      </c>
      <c r="Y229" s="533">
        <f t="shared" ref="Y229:Y240" si="50">R229+X229</f>
        <v>0</v>
      </c>
    </row>
    <row r="230" spans="1:25" ht="20.100000000000001" hidden="1" customHeight="1" x14ac:dyDescent="0.2">
      <c r="A230" s="225" t="s">
        <v>117</v>
      </c>
      <c r="B230" s="297"/>
      <c r="C230" s="34"/>
      <c r="D230" s="155"/>
      <c r="E230" s="160"/>
      <c r="F230" s="155"/>
      <c r="G230" s="155"/>
      <c r="H230" s="155"/>
      <c r="I230" s="155"/>
      <c r="J230" s="155"/>
      <c r="K230" s="155"/>
      <c r="L230" s="155"/>
      <c r="M230" s="155"/>
      <c r="N230" s="155"/>
      <c r="O230" s="155"/>
      <c r="P230" s="155"/>
      <c r="Q230" s="155"/>
      <c r="R230" s="160">
        <f t="shared" si="48"/>
        <v>0</v>
      </c>
      <c r="S230" s="155"/>
      <c r="T230" s="155"/>
      <c r="U230" s="155"/>
      <c r="V230" s="161"/>
      <c r="W230" s="155"/>
      <c r="X230" s="161">
        <f t="shared" si="49"/>
        <v>0</v>
      </c>
      <c r="Y230" s="533">
        <f t="shared" si="50"/>
        <v>0</v>
      </c>
    </row>
    <row r="231" spans="1:25" ht="20.100000000000001" hidden="1" customHeight="1" x14ac:dyDescent="0.2">
      <c r="A231" s="225" t="s">
        <v>117</v>
      </c>
      <c r="B231" s="297"/>
      <c r="C231" s="34"/>
      <c r="D231" s="155"/>
      <c r="E231" s="160"/>
      <c r="F231" s="155"/>
      <c r="G231" s="155"/>
      <c r="H231" s="155"/>
      <c r="I231" s="155"/>
      <c r="J231" s="155"/>
      <c r="K231" s="155"/>
      <c r="L231" s="155"/>
      <c r="M231" s="155"/>
      <c r="N231" s="155"/>
      <c r="O231" s="155"/>
      <c r="P231" s="155"/>
      <c r="Q231" s="155"/>
      <c r="R231" s="160">
        <f t="shared" si="48"/>
        <v>0</v>
      </c>
      <c r="S231" s="155"/>
      <c r="T231" s="155"/>
      <c r="U231" s="155"/>
      <c r="V231" s="161"/>
      <c r="W231" s="155"/>
      <c r="X231" s="161">
        <f t="shared" si="49"/>
        <v>0</v>
      </c>
      <c r="Y231" s="533">
        <f t="shared" si="50"/>
        <v>0</v>
      </c>
    </row>
    <row r="232" spans="1:25" ht="20.100000000000001" hidden="1" customHeight="1" x14ac:dyDescent="0.2">
      <c r="A232" s="82"/>
      <c r="B232" s="290"/>
      <c r="C232" s="34"/>
      <c r="D232" s="155"/>
      <c r="E232" s="160"/>
      <c r="F232" s="155"/>
      <c r="G232" s="155"/>
      <c r="H232" s="155"/>
      <c r="I232" s="155"/>
      <c r="J232" s="155"/>
      <c r="K232" s="155"/>
      <c r="L232" s="155"/>
      <c r="M232" s="155"/>
      <c r="N232" s="155"/>
      <c r="O232" s="155"/>
      <c r="P232" s="155"/>
      <c r="Q232" s="155"/>
      <c r="R232" s="160">
        <f t="shared" si="48"/>
        <v>0</v>
      </c>
      <c r="S232" s="155"/>
      <c r="T232" s="155"/>
      <c r="U232" s="155"/>
      <c r="V232" s="161"/>
      <c r="W232" s="155"/>
      <c r="X232" s="161">
        <f t="shared" si="49"/>
        <v>0</v>
      </c>
      <c r="Y232" s="533">
        <f t="shared" si="50"/>
        <v>0</v>
      </c>
    </row>
    <row r="233" spans="1:25" ht="20.100000000000001" hidden="1" customHeight="1" x14ac:dyDescent="0.2">
      <c r="A233" s="82"/>
      <c r="B233" s="296"/>
      <c r="C233" s="34"/>
      <c r="D233" s="155"/>
      <c r="E233" s="160"/>
      <c r="F233" s="155"/>
      <c r="G233" s="155"/>
      <c r="H233" s="155"/>
      <c r="I233" s="155"/>
      <c r="J233" s="155"/>
      <c r="K233" s="155"/>
      <c r="L233" s="155"/>
      <c r="M233" s="155"/>
      <c r="N233" s="155"/>
      <c r="O233" s="155"/>
      <c r="P233" s="155"/>
      <c r="Q233" s="155"/>
      <c r="R233" s="160">
        <f t="shared" si="48"/>
        <v>0</v>
      </c>
      <c r="S233" s="155"/>
      <c r="T233" s="155"/>
      <c r="U233" s="155"/>
      <c r="V233" s="161"/>
      <c r="W233" s="155"/>
      <c r="X233" s="161">
        <f t="shared" si="49"/>
        <v>0</v>
      </c>
      <c r="Y233" s="533">
        <f t="shared" si="50"/>
        <v>0</v>
      </c>
    </row>
    <row r="234" spans="1:25" ht="20.100000000000001" hidden="1" customHeight="1" x14ac:dyDescent="0.2">
      <c r="A234" s="82"/>
      <c r="B234" s="296"/>
      <c r="C234" s="34"/>
      <c r="D234" s="155"/>
      <c r="E234" s="160"/>
      <c r="F234" s="155"/>
      <c r="G234" s="155"/>
      <c r="H234" s="155"/>
      <c r="I234" s="155"/>
      <c r="J234" s="155"/>
      <c r="K234" s="155"/>
      <c r="L234" s="155"/>
      <c r="M234" s="155"/>
      <c r="N234" s="155"/>
      <c r="O234" s="155"/>
      <c r="P234" s="155"/>
      <c r="Q234" s="155"/>
      <c r="R234" s="160">
        <f t="shared" si="48"/>
        <v>0</v>
      </c>
      <c r="S234" s="155"/>
      <c r="T234" s="155"/>
      <c r="U234" s="155"/>
      <c r="V234" s="161"/>
      <c r="W234" s="155"/>
      <c r="X234" s="161">
        <f t="shared" si="49"/>
        <v>0</v>
      </c>
      <c r="Y234" s="533">
        <f t="shared" si="50"/>
        <v>0</v>
      </c>
    </row>
    <row r="235" spans="1:25" ht="20.100000000000001" hidden="1" customHeight="1" x14ac:dyDescent="0.2">
      <c r="A235" s="82"/>
      <c r="B235" s="123"/>
      <c r="C235" s="41"/>
      <c r="D235" s="155"/>
      <c r="E235" s="160"/>
      <c r="F235" s="155"/>
      <c r="G235" s="155"/>
      <c r="H235" s="155"/>
      <c r="I235" s="155"/>
      <c r="J235" s="155"/>
      <c r="K235" s="155"/>
      <c r="L235" s="155"/>
      <c r="M235" s="155"/>
      <c r="N235" s="155"/>
      <c r="O235" s="155"/>
      <c r="P235" s="155"/>
      <c r="Q235" s="155"/>
      <c r="R235" s="160">
        <f t="shared" si="48"/>
        <v>0</v>
      </c>
      <c r="S235" s="155"/>
      <c r="T235" s="155"/>
      <c r="U235" s="155"/>
      <c r="V235" s="161"/>
      <c r="W235" s="155"/>
      <c r="X235" s="161">
        <f t="shared" si="49"/>
        <v>0</v>
      </c>
      <c r="Y235" s="533">
        <f t="shared" si="50"/>
        <v>0</v>
      </c>
    </row>
    <row r="236" spans="1:25" ht="20.100000000000001" hidden="1" customHeight="1" x14ac:dyDescent="0.2">
      <c r="A236" s="210" t="s">
        <v>89</v>
      </c>
      <c r="B236" s="206"/>
      <c r="C236" s="211" t="s">
        <v>87</v>
      </c>
      <c r="D236" s="155">
        <f t="shared" ref="D236:W236" si="51">SUM(D222:D235)</f>
        <v>0</v>
      </c>
      <c r="E236" s="160">
        <f t="shared" si="51"/>
        <v>0</v>
      </c>
      <c r="F236" s="155">
        <f>SUM(F222:F235)</f>
        <v>0</v>
      </c>
      <c r="G236" s="155">
        <f t="shared" si="51"/>
        <v>0</v>
      </c>
      <c r="H236" s="155">
        <f t="shared" si="51"/>
        <v>0</v>
      </c>
      <c r="I236" s="155">
        <f t="shared" si="51"/>
        <v>0</v>
      </c>
      <c r="J236" s="155">
        <f t="shared" si="51"/>
        <v>0</v>
      </c>
      <c r="K236" s="155">
        <f t="shared" si="51"/>
        <v>0</v>
      </c>
      <c r="L236" s="155">
        <f t="shared" si="51"/>
        <v>0</v>
      </c>
      <c r="M236" s="155">
        <f t="shared" si="51"/>
        <v>0</v>
      </c>
      <c r="N236" s="155">
        <f t="shared" si="51"/>
        <v>0</v>
      </c>
      <c r="O236" s="155">
        <f t="shared" si="51"/>
        <v>0</v>
      </c>
      <c r="P236" s="155">
        <f t="shared" si="51"/>
        <v>0</v>
      </c>
      <c r="Q236" s="155">
        <f t="shared" si="51"/>
        <v>0</v>
      </c>
      <c r="R236" s="160">
        <f t="shared" si="48"/>
        <v>0</v>
      </c>
      <c r="S236" s="155"/>
      <c r="T236" s="155">
        <f t="shared" si="51"/>
        <v>0</v>
      </c>
      <c r="U236" s="155">
        <f t="shared" si="51"/>
        <v>0</v>
      </c>
      <c r="V236" s="161">
        <f t="shared" si="51"/>
        <v>0</v>
      </c>
      <c r="W236" s="155">
        <f t="shared" si="51"/>
        <v>0</v>
      </c>
      <c r="X236" s="161">
        <f t="shared" si="49"/>
        <v>0</v>
      </c>
      <c r="Y236" s="533">
        <f t="shared" si="50"/>
        <v>0</v>
      </c>
    </row>
    <row r="237" spans="1:25" ht="20.100000000000001" hidden="1" customHeight="1" x14ac:dyDescent="0.2">
      <c r="A237" s="82"/>
      <c r="B237" s="123"/>
      <c r="C237" s="41"/>
      <c r="D237" s="155"/>
      <c r="E237" s="160"/>
      <c r="F237" s="155"/>
      <c r="G237" s="155"/>
      <c r="H237" s="155"/>
      <c r="I237" s="155"/>
      <c r="J237" s="155"/>
      <c r="K237" s="155"/>
      <c r="L237" s="155"/>
      <c r="M237" s="155"/>
      <c r="N237" s="155"/>
      <c r="O237" s="155"/>
      <c r="P237" s="155"/>
      <c r="Q237" s="155"/>
      <c r="R237" s="160">
        <f t="shared" si="48"/>
        <v>0</v>
      </c>
      <c r="S237" s="155"/>
      <c r="T237" s="155"/>
      <c r="U237" s="155"/>
      <c r="V237" s="161"/>
      <c r="W237" s="155"/>
      <c r="X237" s="161">
        <f t="shared" si="49"/>
        <v>0</v>
      </c>
      <c r="Y237" s="533">
        <f t="shared" si="50"/>
        <v>0</v>
      </c>
    </row>
    <row r="238" spans="1:25" ht="20.100000000000001" hidden="1" customHeight="1" thickBot="1" x14ac:dyDescent="0.25">
      <c r="A238" s="82"/>
      <c r="B238" s="89"/>
      <c r="C238" s="41"/>
      <c r="D238" s="155"/>
      <c r="E238" s="160"/>
      <c r="F238" s="155"/>
      <c r="G238" s="155"/>
      <c r="H238" s="155"/>
      <c r="I238" s="155"/>
      <c r="J238" s="155"/>
      <c r="K238" s="155"/>
      <c r="L238" s="155"/>
      <c r="M238" s="155"/>
      <c r="N238" s="155"/>
      <c r="O238" s="155"/>
      <c r="P238" s="155"/>
      <c r="Q238" s="155"/>
      <c r="R238" s="160">
        <f t="shared" si="48"/>
        <v>0</v>
      </c>
      <c r="S238" s="155"/>
      <c r="T238" s="155"/>
      <c r="U238" s="155"/>
      <c r="V238" s="161"/>
      <c r="W238" s="155"/>
      <c r="X238" s="161">
        <f t="shared" si="49"/>
        <v>0</v>
      </c>
      <c r="Y238" s="533">
        <f t="shared" si="50"/>
        <v>0</v>
      </c>
    </row>
    <row r="239" spans="1:25" ht="24.75" hidden="1" customHeight="1" thickTop="1" thickBot="1" x14ac:dyDescent="0.25">
      <c r="A239" s="42"/>
      <c r="B239" s="261">
        <v>41274</v>
      </c>
      <c r="C239" s="44" t="s">
        <v>90</v>
      </c>
      <c r="D239" s="162">
        <f t="shared" ref="D239:W239" si="52">D220+D236</f>
        <v>0</v>
      </c>
      <c r="E239" s="509">
        <f t="shared" si="52"/>
        <v>0</v>
      </c>
      <c r="F239" s="162">
        <f t="shared" si="52"/>
        <v>0</v>
      </c>
      <c r="G239" s="162">
        <f t="shared" si="52"/>
        <v>0</v>
      </c>
      <c r="H239" s="162">
        <f t="shared" si="52"/>
        <v>0</v>
      </c>
      <c r="I239" s="162">
        <f t="shared" si="52"/>
        <v>0</v>
      </c>
      <c r="J239" s="162">
        <f>J220+J236</f>
        <v>0</v>
      </c>
      <c r="K239" s="162">
        <f t="shared" si="52"/>
        <v>0</v>
      </c>
      <c r="L239" s="162">
        <f t="shared" si="52"/>
        <v>0</v>
      </c>
      <c r="M239" s="162">
        <f t="shared" si="52"/>
        <v>0</v>
      </c>
      <c r="N239" s="162">
        <f t="shared" si="52"/>
        <v>0</v>
      </c>
      <c r="O239" s="162">
        <f t="shared" si="52"/>
        <v>0</v>
      </c>
      <c r="P239" s="162">
        <f t="shared" si="52"/>
        <v>0</v>
      </c>
      <c r="Q239" s="162">
        <f t="shared" si="52"/>
        <v>0</v>
      </c>
      <c r="R239" s="509">
        <f t="shared" si="48"/>
        <v>0</v>
      </c>
      <c r="S239" s="162"/>
      <c r="T239" s="162">
        <f>T220+T236</f>
        <v>0</v>
      </c>
      <c r="U239" s="162">
        <f>U220+U236</f>
        <v>0</v>
      </c>
      <c r="V239" s="164">
        <f t="shared" si="52"/>
        <v>0</v>
      </c>
      <c r="W239" s="162">
        <f t="shared" si="52"/>
        <v>0</v>
      </c>
      <c r="X239" s="164">
        <f t="shared" si="49"/>
        <v>0</v>
      </c>
      <c r="Y239" s="534">
        <f t="shared" si="50"/>
        <v>0</v>
      </c>
    </row>
    <row r="240" spans="1:25" ht="24.75" hidden="1" customHeight="1" thickTop="1" thickBot="1" x14ac:dyDescent="0.25">
      <c r="A240" s="42"/>
      <c r="B240" s="43" t="s">
        <v>122</v>
      </c>
      <c r="C240" s="44" t="s">
        <v>20</v>
      </c>
      <c r="D240" s="204">
        <f t="shared" ref="D240:W240" si="53">D202+D239</f>
        <v>1725531.2969999998</v>
      </c>
      <c r="E240" s="204">
        <f t="shared" si="53"/>
        <v>469447.837</v>
      </c>
      <c r="F240" s="204">
        <f t="shared" si="53"/>
        <v>516773.82300000003</v>
      </c>
      <c r="G240" s="204">
        <f t="shared" si="53"/>
        <v>685</v>
      </c>
      <c r="H240" s="204">
        <f t="shared" si="53"/>
        <v>87740</v>
      </c>
      <c r="I240" s="204">
        <f t="shared" si="53"/>
        <v>0</v>
      </c>
      <c r="J240" s="204">
        <f>J202+J239</f>
        <v>0</v>
      </c>
      <c r="K240" s="204">
        <f t="shared" si="53"/>
        <v>0</v>
      </c>
      <c r="L240" s="204">
        <f t="shared" si="53"/>
        <v>263000</v>
      </c>
      <c r="M240" s="204">
        <f t="shared" si="53"/>
        <v>9615</v>
      </c>
      <c r="N240" s="204">
        <f t="shared" si="53"/>
        <v>0</v>
      </c>
      <c r="O240" s="204">
        <f t="shared" si="53"/>
        <v>5000</v>
      </c>
      <c r="P240" s="204">
        <f t="shared" si="53"/>
        <v>0</v>
      </c>
      <c r="Q240" s="204">
        <f t="shared" si="53"/>
        <v>0</v>
      </c>
      <c r="R240" s="204">
        <f t="shared" si="48"/>
        <v>3077792.9569999995</v>
      </c>
      <c r="S240" s="162"/>
      <c r="T240" s="204">
        <f>T202+T239</f>
        <v>0</v>
      </c>
      <c r="U240" s="204">
        <f>U202+U239</f>
        <v>0</v>
      </c>
      <c r="V240" s="204">
        <f t="shared" si="53"/>
        <v>0</v>
      </c>
      <c r="W240" s="204">
        <f t="shared" si="53"/>
        <v>0</v>
      </c>
      <c r="X240" s="204">
        <f t="shared" si="49"/>
        <v>0</v>
      </c>
      <c r="Y240" s="569">
        <f t="shared" si="50"/>
        <v>3077792.9569999995</v>
      </c>
    </row>
    <row r="241" spans="3:25" ht="17.25" hidden="1" thickTop="1" x14ac:dyDescent="0.25">
      <c r="E241" s="530"/>
      <c r="R241" s="530"/>
      <c r="V241" s="510"/>
      <c r="W241" s="510"/>
      <c r="X241" s="510"/>
      <c r="Y241" s="540"/>
    </row>
    <row r="242" spans="3:25" ht="17.25" thickTop="1" x14ac:dyDescent="0.25">
      <c r="E242" s="530"/>
      <c r="R242" s="530"/>
      <c r="Y242" s="540"/>
    </row>
    <row r="243" spans="3:25" x14ac:dyDescent="0.25">
      <c r="E243" s="530"/>
      <c r="R243" s="530"/>
      <c r="Y243" s="540"/>
    </row>
    <row r="244" spans="3:25" ht="24" hidden="1" customHeight="1" thickTop="1" thickBot="1" x14ac:dyDescent="0.3">
      <c r="C244" s="651" t="s">
        <v>102</v>
      </c>
      <c r="D244" s="652">
        <v>1725531.297</v>
      </c>
      <c r="E244" s="653">
        <v>469447.837</v>
      </c>
      <c r="F244" s="654">
        <v>516773.82300000003</v>
      </c>
      <c r="G244" s="654">
        <v>685</v>
      </c>
      <c r="H244" s="654">
        <v>87740</v>
      </c>
      <c r="I244" s="654">
        <v>0</v>
      </c>
      <c r="J244" s="654">
        <v>0</v>
      </c>
      <c r="K244" s="654">
        <v>0</v>
      </c>
      <c r="L244" s="654">
        <v>263000</v>
      </c>
      <c r="M244" s="654">
        <v>9615</v>
      </c>
      <c r="N244" s="654">
        <v>0</v>
      </c>
      <c r="O244" s="654">
        <v>5000</v>
      </c>
      <c r="P244" s="654">
        <v>0</v>
      </c>
      <c r="Q244" s="654">
        <v>0</v>
      </c>
      <c r="R244" s="653">
        <v>3077792.9569999999</v>
      </c>
      <c r="S244" s="654"/>
      <c r="T244" s="654">
        <v>0</v>
      </c>
      <c r="U244" s="654">
        <v>0</v>
      </c>
      <c r="V244" s="654"/>
      <c r="W244" s="654"/>
      <c r="X244" s="654">
        <v>0</v>
      </c>
      <c r="Y244" s="655">
        <v>3077792.9569999999</v>
      </c>
    </row>
    <row r="245" spans="3:25" ht="17.25" hidden="1" thickTop="1" x14ac:dyDescent="0.25">
      <c r="D245" s="293"/>
      <c r="E245" s="293"/>
      <c r="F245" s="293"/>
      <c r="G245" s="293"/>
      <c r="H245" s="293"/>
      <c r="I245" s="293"/>
      <c r="J245" s="293"/>
      <c r="K245" s="293"/>
      <c r="L245" s="293"/>
      <c r="M245" s="293"/>
      <c r="N245" s="293"/>
      <c r="O245" s="293"/>
      <c r="P245" s="293"/>
      <c r="Q245" s="293"/>
      <c r="R245" s="293"/>
      <c r="S245" s="293"/>
      <c r="T245" s="293"/>
      <c r="U245" s="293"/>
      <c r="V245" s="293"/>
      <c r="W245" s="293"/>
      <c r="X245" s="293"/>
      <c r="Y245" s="294"/>
    </row>
    <row r="246" spans="3:25" hidden="1" x14ac:dyDescent="0.25">
      <c r="C246" s="2" t="s">
        <v>97</v>
      </c>
      <c r="D246" s="295">
        <f>D244-D240</f>
        <v>0</v>
      </c>
      <c r="E246" s="295">
        <f>E244-E240</f>
        <v>0</v>
      </c>
      <c r="F246" s="295">
        <f t="shared" ref="F246:Y246" si="54">F244-F240</f>
        <v>0</v>
      </c>
      <c r="G246" s="295">
        <f t="shared" si="54"/>
        <v>0</v>
      </c>
      <c r="H246" s="295">
        <f t="shared" si="54"/>
        <v>0</v>
      </c>
      <c r="I246" s="295">
        <f>I244-I240</f>
        <v>0</v>
      </c>
      <c r="J246" s="295">
        <f t="shared" si="54"/>
        <v>0</v>
      </c>
      <c r="K246" s="295">
        <f t="shared" si="54"/>
        <v>0</v>
      </c>
      <c r="L246" s="295">
        <f t="shared" si="54"/>
        <v>0</v>
      </c>
      <c r="M246" s="295">
        <f t="shared" si="54"/>
        <v>0</v>
      </c>
      <c r="N246" s="295">
        <f t="shared" si="54"/>
        <v>0</v>
      </c>
      <c r="O246" s="295">
        <f t="shared" si="54"/>
        <v>0</v>
      </c>
      <c r="P246" s="295">
        <f t="shared" si="54"/>
        <v>0</v>
      </c>
      <c r="Q246" s="295">
        <f t="shared" si="54"/>
        <v>0</v>
      </c>
      <c r="R246" s="295">
        <f t="shared" si="54"/>
        <v>0</v>
      </c>
      <c r="S246" s="295"/>
      <c r="T246" s="295">
        <f t="shared" si="54"/>
        <v>0</v>
      </c>
      <c r="U246" s="295">
        <f t="shared" si="54"/>
        <v>0</v>
      </c>
      <c r="V246" s="295">
        <f t="shared" si="54"/>
        <v>0</v>
      </c>
      <c r="W246" s="295">
        <f t="shared" si="54"/>
        <v>0</v>
      </c>
      <c r="X246" s="295">
        <f t="shared" si="54"/>
        <v>0</v>
      </c>
      <c r="Y246" s="295">
        <f t="shared" si="54"/>
        <v>0</v>
      </c>
    </row>
    <row r="247" spans="3:25" hidden="1" x14ac:dyDescent="0.25"/>
  </sheetData>
  <mergeCells count="8">
    <mergeCell ref="T8:W8"/>
    <mergeCell ref="AH14:AI14"/>
    <mergeCell ref="A2:Y2"/>
    <mergeCell ref="A4:Y4"/>
    <mergeCell ref="AH9:AI9"/>
    <mergeCell ref="D8:K8"/>
    <mergeCell ref="L8:Q8"/>
    <mergeCell ref="D7:X7"/>
  </mergeCells>
  <phoneticPr fontId="3" type="noConversion"/>
  <printOptions horizontalCentered="1" verticalCentered="1"/>
  <pageMargins left="0" right="0.39370078740157483" top="0.62992125984251968" bottom="0.47244094488188981" header="0.27559055118110237" footer="0.15748031496062992"/>
  <pageSetup paperSize="9" scale="4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10</vt:i4>
      </vt:variant>
    </vt:vector>
  </HeadingPairs>
  <TitlesOfParts>
    <vt:vector size="14" baseType="lpstr">
      <vt:lpstr>1.sz.melléklet</vt:lpstr>
      <vt:lpstr>2.sz.melléklet</vt:lpstr>
      <vt:lpstr>3.sz.melléklet</vt:lpstr>
      <vt:lpstr>4.sz.melléklet</vt:lpstr>
      <vt:lpstr>Excel_BuiltIn__FilterDatabase_2</vt:lpstr>
      <vt:lpstr>Excel_BuiltIn__FilterDatabase_3_3</vt:lpstr>
      <vt:lpstr>'1.sz.melléklet'!Nyomtatási_cím</vt:lpstr>
      <vt:lpstr>'2.sz.melléklet'!Nyomtatási_cím</vt:lpstr>
      <vt:lpstr>'3.sz.melléklet'!Nyomtatási_cím</vt:lpstr>
      <vt:lpstr>'4.sz.melléklet'!Nyomtatási_cím</vt:lpstr>
      <vt:lpstr>'1.sz.melléklet'!Nyomtatási_terület</vt:lpstr>
      <vt:lpstr>'2.sz.melléklet'!Nyomtatási_terület</vt:lpstr>
      <vt:lpstr>'3.sz.melléklet'!Nyomtatási_terület</vt:lpstr>
      <vt:lpstr>'4.sz.melléklet'!Nyomtatási_terület</vt:lpstr>
    </vt:vector>
  </TitlesOfParts>
  <Company>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</dc:creator>
  <cp:lastModifiedBy>Balog Lászlóné Zsuzsa</cp:lastModifiedBy>
  <cp:lastPrinted>2018-02-20T11:12:13Z</cp:lastPrinted>
  <dcterms:created xsi:type="dcterms:W3CDTF">2009-03-23T07:49:10Z</dcterms:created>
  <dcterms:modified xsi:type="dcterms:W3CDTF">2018-02-20T11:13:31Z</dcterms:modified>
</cp:coreProperties>
</file>