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17\Rendelet módosítások\Harmadik_09_30\LEADOTT\"/>
    </mc:Choice>
  </mc:AlternateContent>
  <bookViews>
    <workbookView xWindow="0" yWindow="0" windowWidth="19200" windowHeight="11595" tabRatio="818"/>
  </bookViews>
  <sheets>
    <sheet name="1.sz.melléklet" sheetId="1" r:id="rId1"/>
    <sheet name="2.sz.melléklet" sheetId="2" r:id="rId2"/>
    <sheet name="3.sz.melléklet" sheetId="3" r:id="rId3"/>
    <sheet name="4.sz.melléklet" sheetId="4" r:id="rId4"/>
  </sheets>
  <definedNames>
    <definedName name="Excel_BuiltIn__FilterDatabase_2">'2.sz.melléklet'!$A$15:$AP$142</definedName>
    <definedName name="Excel_BuiltIn__FilterDatabase_3">#REF!</definedName>
    <definedName name="Excel_BuiltIn__FilterDatabase_3_3">'1.sz.melléklet'!$C$7:$W$17</definedName>
    <definedName name="_xlnm.Print_Titles" localSheetId="0">'1.sz.melléklet'!$7:$13</definedName>
    <definedName name="_xlnm.Print_Titles" localSheetId="1">'2.sz.melléklet'!$7:$14</definedName>
    <definedName name="_xlnm.Print_Titles" localSheetId="2">'3.sz.melléklet'!$7:$13</definedName>
    <definedName name="_xlnm.Print_Titles" localSheetId="3">'4.sz.melléklet'!$7:$14</definedName>
    <definedName name="_xlnm.Print_Area" localSheetId="0">'1.sz.melléklet'!$A$1:$W$105</definedName>
    <definedName name="_xlnm.Print_Area" localSheetId="1">'2.sz.melléklet'!$A$1:$Z$285</definedName>
    <definedName name="_xlnm.Print_Area" localSheetId="2">'3.sz.melléklet'!$A$1:$X$199</definedName>
    <definedName name="_xlnm.Print_Area" localSheetId="3">'4.sz.melléklet'!$A$1:$Y$240</definedName>
  </definedNames>
  <calcPr calcId="152511"/>
</workbook>
</file>

<file path=xl/calcChain.xml><?xml version="1.0" encoding="utf-8"?>
<calcChain xmlns="http://schemas.openxmlformats.org/spreadsheetml/2006/main">
  <c r="AA287" i="2" l="1"/>
  <c r="E109" i="1" l="1"/>
  <c r="F109" i="1"/>
  <c r="G109" i="1"/>
  <c r="H109" i="1"/>
  <c r="I109" i="1"/>
  <c r="J109" i="1"/>
  <c r="K109" i="1"/>
  <c r="L109" i="1"/>
  <c r="M109" i="1"/>
  <c r="N109" i="1"/>
  <c r="O109" i="1"/>
  <c r="Q109" i="1"/>
  <c r="R109" i="1"/>
  <c r="S109" i="1"/>
  <c r="T109" i="1"/>
  <c r="U109" i="1"/>
  <c r="W109" i="1"/>
  <c r="D109" i="1"/>
  <c r="F84" i="1" l="1"/>
  <c r="D84" i="1"/>
  <c r="Q83" i="1" l="1"/>
  <c r="U269" i="2"/>
  <c r="Q268" i="2"/>
  <c r="F268" i="2"/>
  <c r="L267" i="2"/>
  <c r="F267" i="2"/>
  <c r="F266" i="2" l="1"/>
  <c r="L266" i="2"/>
  <c r="L265" i="2"/>
  <c r="F265" i="2"/>
  <c r="E103" i="4" l="1"/>
  <c r="D103" i="4"/>
  <c r="Z264" i="2" l="1"/>
  <c r="K264" i="2"/>
  <c r="F263" i="2" l="1"/>
  <c r="K263" i="2"/>
  <c r="H82" i="1" l="1"/>
  <c r="K262" i="2" l="1"/>
  <c r="F262" i="2"/>
  <c r="D82" i="1" l="1"/>
  <c r="O78" i="3" l="1"/>
  <c r="W78" i="3" s="1"/>
  <c r="O79" i="3"/>
  <c r="O80" i="3"/>
  <c r="W80" i="3" s="1"/>
  <c r="O81" i="3"/>
  <c r="W81" i="3" s="1"/>
  <c r="O82" i="3"/>
  <c r="O83" i="3"/>
  <c r="W79" i="3"/>
  <c r="W82" i="3"/>
  <c r="W83" i="3"/>
  <c r="E102" i="4" l="1"/>
  <c r="D102" i="4"/>
  <c r="F77" i="3"/>
  <c r="O77" i="3" s="1"/>
  <c r="W77" i="3" s="1"/>
  <c r="M101" i="4"/>
  <c r="L101" i="4"/>
  <c r="K261" i="2"/>
  <c r="E261" i="2"/>
  <c r="D261" i="2"/>
  <c r="M260" i="2" l="1"/>
  <c r="L260" i="2"/>
  <c r="F253" i="2" l="1"/>
  <c r="L259" i="2"/>
  <c r="F259" i="2"/>
  <c r="X259" i="2"/>
  <c r="R259" i="2" l="1"/>
  <c r="Y259" i="2" s="1"/>
  <c r="E257" i="2"/>
  <c r="D257" i="2"/>
  <c r="L258" i="2"/>
  <c r="F258" i="2"/>
  <c r="F257" i="2"/>
  <c r="D80" i="4"/>
  <c r="E80" i="4"/>
  <c r="X58" i="3"/>
  <c r="Z256" i="2"/>
  <c r="K256" i="2"/>
  <c r="R256" i="2" s="1"/>
  <c r="H81" i="1"/>
  <c r="U81" i="1"/>
  <c r="U82" i="1"/>
  <c r="U83" i="1"/>
  <c r="U84" i="1"/>
  <c r="U86" i="1"/>
  <c r="U87" i="1"/>
  <c r="U88" i="1"/>
  <c r="O81" i="1"/>
  <c r="O82" i="1"/>
  <c r="W82" i="1" s="1"/>
  <c r="O83" i="1"/>
  <c r="O84" i="1"/>
  <c r="O86" i="1"/>
  <c r="O87" i="1"/>
  <c r="W87" i="1" s="1"/>
  <c r="O88" i="1"/>
  <c r="O89" i="1"/>
  <c r="U89" i="1"/>
  <c r="K255" i="2"/>
  <c r="F255" i="2"/>
  <c r="J253" i="2"/>
  <c r="R253" i="2" s="1"/>
  <c r="L252" i="2"/>
  <c r="F252" i="2"/>
  <c r="K251" i="2"/>
  <c r="J251" i="2"/>
  <c r="E79" i="4"/>
  <c r="D79" i="4"/>
  <c r="X57" i="3"/>
  <c r="Z250" i="2"/>
  <c r="F80" i="1"/>
  <c r="K249" i="2"/>
  <c r="J249" i="2"/>
  <c r="X249" i="2"/>
  <c r="X250" i="2"/>
  <c r="X251" i="2"/>
  <c r="X252" i="2"/>
  <c r="X253" i="2"/>
  <c r="X254" i="2"/>
  <c r="X255" i="2"/>
  <c r="X256" i="2"/>
  <c r="X257" i="2"/>
  <c r="X258" i="2"/>
  <c r="X260" i="2"/>
  <c r="X261" i="2"/>
  <c r="X262" i="2"/>
  <c r="X263" i="2"/>
  <c r="X264" i="2"/>
  <c r="X265" i="2"/>
  <c r="X266" i="2"/>
  <c r="X267" i="2"/>
  <c r="R250" i="2"/>
  <c r="R257" i="2"/>
  <c r="R260" i="2"/>
  <c r="R261" i="2"/>
  <c r="R262" i="2"/>
  <c r="R263" i="2"/>
  <c r="R264" i="2"/>
  <c r="R265" i="2"/>
  <c r="R266" i="2"/>
  <c r="R267" i="2"/>
  <c r="L248" i="2"/>
  <c r="K248" i="2"/>
  <c r="K247" i="2"/>
  <c r="F247" i="2"/>
  <c r="H79" i="1"/>
  <c r="L76" i="3"/>
  <c r="H76" i="3"/>
  <c r="G76" i="3"/>
  <c r="O76" i="3" s="1"/>
  <c r="W76" i="3" s="1"/>
  <c r="R251" i="2" l="1"/>
  <c r="R255" i="2"/>
  <c r="Y255" i="2" s="1"/>
  <c r="R252" i="2"/>
  <c r="Y252" i="2" s="1"/>
  <c r="R258" i="2"/>
  <c r="Y258" i="2" s="1"/>
  <c r="Y260" i="2"/>
  <c r="Y264" i="2"/>
  <c r="Y251" i="2"/>
  <c r="R249" i="2"/>
  <c r="Y249" i="2" s="1"/>
  <c r="W81" i="1"/>
  <c r="W89" i="1"/>
  <c r="W84" i="1"/>
  <c r="W83" i="1"/>
  <c r="W86" i="1"/>
  <c r="W88" i="1"/>
  <c r="Y267" i="2"/>
  <c r="Y263" i="2"/>
  <c r="Y253" i="2"/>
  <c r="Y265" i="2"/>
  <c r="Y261" i="2"/>
  <c r="Y256" i="2"/>
  <c r="Y250" i="2"/>
  <c r="Y266" i="2"/>
  <c r="Y262" i="2"/>
  <c r="Y257" i="2"/>
  <c r="Z254" i="2" l="1"/>
  <c r="D254" i="2"/>
  <c r="R254" i="2" s="1"/>
  <c r="Y254" i="2" s="1"/>
  <c r="P274" i="2" l="1"/>
  <c r="Z246" i="2"/>
  <c r="K246" i="2"/>
  <c r="F75" i="3" l="1"/>
  <c r="O75" i="3" s="1"/>
  <c r="W75" i="3" s="1"/>
  <c r="E100" i="4"/>
  <c r="D100" i="4"/>
  <c r="Z245" i="2"/>
  <c r="E78" i="4"/>
  <c r="D78" i="4"/>
  <c r="X56" i="3"/>
  <c r="Z244" i="2"/>
  <c r="D77" i="1"/>
  <c r="D76" i="1"/>
  <c r="Z243" i="2"/>
  <c r="Z242" i="2"/>
  <c r="D75" i="1"/>
  <c r="Z241" i="2"/>
  <c r="D74" i="1"/>
  <c r="Z240" i="2"/>
  <c r="K240" i="2"/>
  <c r="L238" i="2" l="1"/>
  <c r="F238" i="2"/>
  <c r="K237" i="2"/>
  <c r="H72" i="1" l="1"/>
  <c r="K236" i="2"/>
  <c r="F236" i="2"/>
  <c r="L235" i="2"/>
  <c r="F235" i="2"/>
  <c r="L234" i="2"/>
  <c r="F234" i="2"/>
  <c r="H71" i="1"/>
  <c r="K233" i="2"/>
  <c r="F233" i="2"/>
  <c r="X234" i="2" l="1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R234" i="2"/>
  <c r="R235" i="2"/>
  <c r="Y235" i="2" s="1"/>
  <c r="R236" i="2"/>
  <c r="R237" i="2"/>
  <c r="R238" i="2"/>
  <c r="Y238" i="2" s="1"/>
  <c r="R239" i="2"/>
  <c r="Y239" i="2" s="1"/>
  <c r="R240" i="2"/>
  <c r="R241" i="2"/>
  <c r="R242" i="2"/>
  <c r="Y242" i="2" s="1"/>
  <c r="R243" i="2"/>
  <c r="Y243" i="2" s="1"/>
  <c r="R244" i="2"/>
  <c r="R245" i="2"/>
  <c r="R246" i="2"/>
  <c r="Y246" i="2" s="1"/>
  <c r="R247" i="2"/>
  <c r="Y247" i="2" s="1"/>
  <c r="Y234" i="2" l="1"/>
  <c r="Y244" i="2"/>
  <c r="Y240" i="2"/>
  <c r="Y236" i="2"/>
  <c r="Y245" i="2"/>
  <c r="Y241" i="2"/>
  <c r="Y237" i="2"/>
  <c r="L232" i="2"/>
  <c r="F232" i="2"/>
  <c r="E230" i="2" l="1"/>
  <c r="F77" i="4" l="1"/>
  <c r="X55" i="3"/>
  <c r="Z231" i="2"/>
  <c r="L231" i="2"/>
  <c r="F231" i="2"/>
  <c r="F230" i="2"/>
  <c r="X232" i="2"/>
  <c r="X233" i="2"/>
  <c r="X248" i="2"/>
  <c r="X268" i="2"/>
  <c r="X269" i="2"/>
  <c r="X271" i="2"/>
  <c r="R232" i="2"/>
  <c r="R233" i="2"/>
  <c r="R248" i="2"/>
  <c r="Y248" i="2" s="1"/>
  <c r="R268" i="2"/>
  <c r="R269" i="2"/>
  <c r="R271" i="2"/>
  <c r="Y268" i="2" l="1"/>
  <c r="Y269" i="2"/>
  <c r="Y271" i="2"/>
  <c r="Y233" i="2"/>
  <c r="Y232" i="2"/>
  <c r="L99" i="4"/>
  <c r="F99" i="4"/>
  <c r="L229" i="2" l="1"/>
  <c r="K229" i="2"/>
  <c r="G228" i="2"/>
  <c r="I70" i="1"/>
  <c r="F227" i="2"/>
  <c r="K227" i="2"/>
  <c r="L226" i="2"/>
  <c r="K226" i="2"/>
  <c r="K225" i="2"/>
  <c r="D69" i="1"/>
  <c r="Q224" i="2"/>
  <c r="K224" i="2"/>
  <c r="K223" i="2"/>
  <c r="L68" i="1"/>
  <c r="F222" i="2" l="1"/>
  <c r="G67" i="1"/>
  <c r="K222" i="2"/>
  <c r="K66" i="1"/>
  <c r="K221" i="2"/>
  <c r="K219" i="2"/>
  <c r="L219" i="2"/>
  <c r="R219" i="2" s="1"/>
  <c r="Q218" i="2"/>
  <c r="K218" i="2"/>
  <c r="X217" i="2"/>
  <c r="X218" i="2"/>
  <c r="X219" i="2"/>
  <c r="J217" i="2"/>
  <c r="K217" i="2"/>
  <c r="L210" i="2"/>
  <c r="K210" i="2"/>
  <c r="Z220" i="2"/>
  <c r="E220" i="2"/>
  <c r="D220" i="2"/>
  <c r="Z212" i="2"/>
  <c r="F212" i="2"/>
  <c r="R212" i="2" s="1"/>
  <c r="X210" i="2"/>
  <c r="X211" i="2"/>
  <c r="X212" i="2"/>
  <c r="Z211" i="2"/>
  <c r="F211" i="2"/>
  <c r="R211" i="2" s="1"/>
  <c r="Z216" i="2"/>
  <c r="K216" i="2"/>
  <c r="Z215" i="2"/>
  <c r="L215" i="2"/>
  <c r="Z214" i="2"/>
  <c r="L214" i="2"/>
  <c r="Z213" i="2"/>
  <c r="L213" i="2"/>
  <c r="Y211" i="2" l="1"/>
  <c r="R218" i="2"/>
  <c r="Y218" i="2" s="1"/>
  <c r="R217" i="2"/>
  <c r="Y217" i="2" s="1"/>
  <c r="R210" i="2"/>
  <c r="Y210" i="2" s="1"/>
  <c r="Y219" i="2"/>
  <c r="Y212" i="2"/>
  <c r="L98" i="4" l="1"/>
  <c r="F98" i="4"/>
  <c r="K208" i="2" l="1"/>
  <c r="D65" i="1"/>
  <c r="K207" i="2" l="1"/>
  <c r="H64" i="1"/>
  <c r="G64" i="1"/>
  <c r="L63" i="1"/>
  <c r="K206" i="2"/>
  <c r="F205" i="2"/>
  <c r="D205" i="2"/>
  <c r="U61" i="1" l="1"/>
  <c r="I61" i="1"/>
  <c r="O61" i="1" s="1"/>
  <c r="W61" i="1" s="1"/>
  <c r="K202" i="2"/>
  <c r="R202" i="2" s="1"/>
  <c r="X201" i="2"/>
  <c r="X202" i="2"/>
  <c r="K201" i="2"/>
  <c r="R201" i="2" s="1"/>
  <c r="U60" i="1"/>
  <c r="E60" i="1"/>
  <c r="O60" i="1" s="1"/>
  <c r="W60" i="1" l="1"/>
  <c r="Y201" i="2"/>
  <c r="Y202" i="2"/>
  <c r="H74" i="3"/>
  <c r="G74" i="3"/>
  <c r="O74" i="3" s="1"/>
  <c r="F204" i="2" l="1"/>
  <c r="F203" i="2"/>
  <c r="Z204" i="2"/>
  <c r="L204" i="2"/>
  <c r="H62" i="1"/>
  <c r="E97" i="4"/>
  <c r="D97" i="4"/>
  <c r="D200" i="2" l="1"/>
  <c r="F200" i="2" l="1"/>
  <c r="E200" i="2"/>
  <c r="K199" i="2"/>
  <c r="J199" i="2"/>
  <c r="L198" i="2"/>
  <c r="F198" i="2"/>
  <c r="H59" i="1"/>
  <c r="K197" i="2"/>
  <c r="F197" i="2"/>
  <c r="L194" i="2"/>
  <c r="F194" i="2"/>
  <c r="X193" i="2"/>
  <c r="X194" i="2"/>
  <c r="F193" i="2"/>
  <c r="M193" i="2"/>
  <c r="R193" i="2" l="1"/>
  <c r="Y193" i="2" s="1"/>
  <c r="R194" i="2"/>
  <c r="Y194" i="2" s="1"/>
  <c r="L96" i="4"/>
  <c r="F96" i="4"/>
  <c r="Z191" i="2" l="1"/>
  <c r="K191" i="2"/>
  <c r="Z196" i="2"/>
  <c r="F196" i="2"/>
  <c r="E195" i="2"/>
  <c r="D195" i="2"/>
  <c r="Z195" i="2"/>
  <c r="Z192" i="2"/>
  <c r="K192" i="2"/>
  <c r="Z190" i="2"/>
  <c r="E190" i="2"/>
  <c r="D190" i="2"/>
  <c r="Z189" i="2"/>
  <c r="E189" i="2"/>
  <c r="D189" i="2"/>
  <c r="Z188" i="2"/>
  <c r="E188" i="2"/>
  <c r="D188" i="2"/>
  <c r="Z187" i="2"/>
  <c r="E187" i="2"/>
  <c r="D187" i="2"/>
  <c r="L184" i="2" l="1"/>
  <c r="F76" i="4"/>
  <c r="X54" i="3"/>
  <c r="X53" i="3"/>
  <c r="L75" i="4"/>
  <c r="Z186" i="2" l="1"/>
  <c r="L186" i="2"/>
  <c r="Z185" i="2"/>
  <c r="L185" i="2"/>
  <c r="F184" i="2"/>
  <c r="K184" i="2"/>
  <c r="Q183" i="2"/>
  <c r="K183" i="2"/>
  <c r="J182" i="2"/>
  <c r="K182" i="2"/>
  <c r="J181" i="2"/>
  <c r="K181" i="2"/>
  <c r="L180" i="2"/>
  <c r="K180" i="2"/>
  <c r="I179" i="2"/>
  <c r="J179" i="2"/>
  <c r="U56" i="1" l="1"/>
  <c r="O56" i="1"/>
  <c r="R174" i="2"/>
  <c r="X174" i="2"/>
  <c r="W56" i="1" l="1"/>
  <c r="Y174" i="2"/>
  <c r="Z178" i="2"/>
  <c r="K178" i="2"/>
  <c r="Z177" i="2"/>
  <c r="J177" i="2"/>
  <c r="Z176" i="2"/>
  <c r="Z175" i="2"/>
  <c r="Z173" i="2"/>
  <c r="D54" i="1"/>
  <c r="Z172" i="2"/>
  <c r="Z171" i="2" l="1"/>
  <c r="F171" i="2"/>
  <c r="E171" i="2"/>
  <c r="D171" i="2"/>
  <c r="Z170" i="2"/>
  <c r="K170" i="2"/>
  <c r="J169" i="2" l="1"/>
  <c r="K167" i="2" l="1"/>
  <c r="E51" i="1"/>
  <c r="F166" i="2" l="1"/>
  <c r="R50" i="1"/>
  <c r="L165" i="2" l="1"/>
  <c r="K165" i="2"/>
  <c r="J164" i="2" l="1"/>
  <c r="E164" i="2"/>
  <c r="D164" i="2"/>
  <c r="K163" i="2"/>
  <c r="F163" i="2"/>
  <c r="F162" i="2"/>
  <c r="I49" i="1"/>
  <c r="I161" i="2"/>
  <c r="I274" i="2" s="1"/>
  <c r="F161" i="2"/>
  <c r="L160" i="2"/>
  <c r="F160" i="2"/>
  <c r="K159" i="2"/>
  <c r="J159" i="2"/>
  <c r="F158" i="2"/>
  <c r="H48" i="1"/>
  <c r="L157" i="2"/>
  <c r="L274" i="2" s="1"/>
  <c r="K47" i="1"/>
  <c r="E156" i="2"/>
  <c r="E274" i="2" s="1"/>
  <c r="F156" i="2"/>
  <c r="D156" i="2"/>
  <c r="D274" i="2" s="1"/>
  <c r="K155" i="2"/>
  <c r="I155" i="2"/>
  <c r="K154" i="2"/>
  <c r="J154" i="2"/>
  <c r="J149" i="2"/>
  <c r="X149" i="2"/>
  <c r="G274" i="2"/>
  <c r="H274" i="2"/>
  <c r="M274" i="2"/>
  <c r="N274" i="2"/>
  <c r="O274" i="2"/>
  <c r="Q274" i="2"/>
  <c r="S274" i="2"/>
  <c r="T274" i="2"/>
  <c r="U274" i="2"/>
  <c r="V274" i="2"/>
  <c r="W274" i="2"/>
  <c r="K149" i="2"/>
  <c r="K274" i="2" l="1"/>
  <c r="R149" i="2"/>
  <c r="Y149" i="2" s="1"/>
  <c r="R72" i="3"/>
  <c r="H95" i="4"/>
  <c r="L94" i="4" l="1"/>
  <c r="F94" i="4"/>
  <c r="Z153" i="2" l="1"/>
  <c r="F153" i="2"/>
  <c r="Z152" i="2"/>
  <c r="F152" i="2"/>
  <c r="Z151" i="2"/>
  <c r="F151" i="2"/>
  <c r="Z150" i="2"/>
  <c r="J150" i="2"/>
  <c r="J274" i="2" s="1"/>
  <c r="Z274" i="2" l="1"/>
  <c r="F274" i="2"/>
  <c r="L64" i="4"/>
  <c r="F63" i="4"/>
  <c r="L129" i="2"/>
  <c r="F126" i="2"/>
  <c r="L126" i="2"/>
  <c r="F125" i="2"/>
  <c r="L125" i="2"/>
  <c r="G118" i="2"/>
  <c r="F116" i="2"/>
  <c r="F115" i="2"/>
  <c r="F113" i="2"/>
  <c r="L138" i="2" l="1"/>
  <c r="L136" i="2"/>
  <c r="F129" i="2"/>
  <c r="F128" i="2"/>
  <c r="R128" i="2" s="1"/>
  <c r="Z117" i="2"/>
  <c r="X128" i="2"/>
  <c r="F127" i="2"/>
  <c r="L127" i="2"/>
  <c r="J126" i="2"/>
  <c r="Y128" i="2" l="1"/>
  <c r="Q123" i="2" l="1"/>
  <c r="F123" i="2"/>
  <c r="M123" i="2"/>
  <c r="F121" i="2"/>
  <c r="F120" i="2"/>
  <c r="M120" i="2"/>
  <c r="X119" i="2"/>
  <c r="M119" i="2"/>
  <c r="R119" i="2" s="1"/>
  <c r="F118" i="2"/>
  <c r="J118" i="2"/>
  <c r="J116" i="2"/>
  <c r="L113" i="2"/>
  <c r="F112" i="2"/>
  <c r="F111" i="2"/>
  <c r="F110" i="2"/>
  <c r="F109" i="2"/>
  <c r="F103" i="2"/>
  <c r="K101" i="2"/>
  <c r="Y202" i="3"/>
  <c r="F66" i="4"/>
  <c r="D66" i="4"/>
  <c r="L66" i="4"/>
  <c r="L63" i="4"/>
  <c r="M63" i="4"/>
  <c r="E61" i="4"/>
  <c r="D61" i="4"/>
  <c r="E58" i="4"/>
  <c r="D58" i="4"/>
  <c r="F57" i="4"/>
  <c r="R45" i="3"/>
  <c r="F56" i="4"/>
  <c r="Y119" i="2" l="1"/>
  <c r="J60" i="2"/>
  <c r="F60" i="2"/>
  <c r="J59" i="2" l="1"/>
  <c r="K59" i="2"/>
  <c r="L58" i="2"/>
  <c r="F58" i="2"/>
  <c r="F32" i="3" l="1"/>
  <c r="L53" i="2" l="1"/>
  <c r="K53" i="2"/>
  <c r="Q57" i="2"/>
  <c r="K57" i="2"/>
  <c r="K56" i="2"/>
  <c r="J56" i="2"/>
  <c r="K55" i="2"/>
  <c r="J55" i="2"/>
  <c r="F40" i="4"/>
  <c r="L40" i="4"/>
  <c r="Z54" i="2" l="1"/>
  <c r="K54" i="2"/>
  <c r="X44" i="2" l="1"/>
  <c r="X45" i="2"/>
  <c r="X46" i="2"/>
  <c r="X47" i="2"/>
  <c r="X48" i="2"/>
  <c r="X49" i="2"/>
  <c r="X50" i="2"/>
  <c r="E52" i="2"/>
  <c r="D52" i="2"/>
  <c r="F52" i="2"/>
  <c r="K50" i="2"/>
  <c r="J50" i="2"/>
  <c r="K28" i="1"/>
  <c r="K49" i="2"/>
  <c r="R49" i="2" s="1"/>
  <c r="Y49" i="2" s="1"/>
  <c r="K48" i="2"/>
  <c r="F48" i="2"/>
  <c r="F21" i="4"/>
  <c r="X20" i="3"/>
  <c r="Z47" i="2"/>
  <c r="K47" i="2"/>
  <c r="R47" i="2" s="1"/>
  <c r="L46" i="2"/>
  <c r="F46" i="2"/>
  <c r="K45" i="2"/>
  <c r="J45" i="2"/>
  <c r="R45" i="2" s="1"/>
  <c r="Y45" i="2" s="1"/>
  <c r="F44" i="2"/>
  <c r="L44" i="2"/>
  <c r="R46" i="2" l="1"/>
  <c r="Y46" i="2" s="1"/>
  <c r="R48" i="2"/>
  <c r="Y48" i="2" s="1"/>
  <c r="R50" i="2"/>
  <c r="Y50" i="2" s="1"/>
  <c r="R44" i="2"/>
  <c r="Y44" i="2" s="1"/>
  <c r="Y47" i="2"/>
  <c r="Z51" i="2"/>
  <c r="L51" i="2"/>
  <c r="U42" i="2" l="1"/>
  <c r="Q27" i="1"/>
  <c r="K41" i="2" l="1"/>
  <c r="L40" i="2"/>
  <c r="F26" i="1"/>
  <c r="L25" i="1"/>
  <c r="H25" i="1"/>
  <c r="L39" i="4" l="1"/>
  <c r="L31" i="3"/>
  <c r="H31" i="3"/>
  <c r="J39" i="2" l="1"/>
  <c r="K39" i="2"/>
  <c r="Z38" i="2"/>
  <c r="D24" i="1"/>
  <c r="D23" i="1"/>
  <c r="Z37" i="2"/>
  <c r="Z36" i="2"/>
  <c r="D21" i="1"/>
  <c r="Z35" i="2"/>
  <c r="D20" i="4"/>
  <c r="E20" i="4"/>
  <c r="X19" i="3"/>
  <c r="D20" i="1"/>
  <c r="Z34" i="2"/>
  <c r="G32" i="2"/>
  <c r="I19" i="1"/>
  <c r="E34" i="4" l="1"/>
  <c r="D34" i="4"/>
  <c r="F30" i="3"/>
  <c r="L33" i="4"/>
  <c r="F33" i="4"/>
  <c r="E19" i="4" l="1"/>
  <c r="D19" i="4"/>
  <c r="X18" i="3"/>
  <c r="Z33" i="2"/>
  <c r="K33" i="2"/>
  <c r="Z31" i="2"/>
  <c r="K31" i="2"/>
  <c r="L30" i="2"/>
  <c r="K30" i="2"/>
  <c r="K29" i="2"/>
  <c r="J29" i="2"/>
  <c r="F29" i="2"/>
  <c r="E29" i="2"/>
  <c r="D29" i="2"/>
  <c r="L28" i="2"/>
  <c r="K28" i="2"/>
  <c r="J28" i="2"/>
  <c r="F28" i="2"/>
  <c r="E28" i="2"/>
  <c r="D28" i="2"/>
  <c r="L27" i="2"/>
  <c r="K27" i="2"/>
  <c r="F27" i="2"/>
  <c r="X24" i="2"/>
  <c r="Z24" i="2"/>
  <c r="F24" i="2"/>
  <c r="R24" i="2" s="1"/>
  <c r="Z23" i="2" l="1"/>
  <c r="F23" i="2"/>
  <c r="R23" i="2" s="1"/>
  <c r="Z22" i="2"/>
  <c r="F22" i="2"/>
  <c r="Z21" i="2"/>
  <c r="F21" i="2"/>
  <c r="X23" i="2"/>
  <c r="Y23" i="2" l="1"/>
  <c r="F26" i="2"/>
  <c r="H18" i="1"/>
  <c r="M25" i="2"/>
  <c r="K25" i="2"/>
  <c r="F20" i="2"/>
  <c r="J20" i="2"/>
  <c r="I20" i="2"/>
  <c r="F19" i="2"/>
  <c r="L19" i="2"/>
  <c r="F18" i="2"/>
  <c r="M18" i="2"/>
  <c r="H17" i="1"/>
  <c r="D17" i="1"/>
  <c r="L32" i="4" l="1"/>
  <c r="F32" i="4"/>
  <c r="U45" i="4" l="1"/>
  <c r="V45" i="4"/>
  <c r="W45" i="4"/>
  <c r="T45" i="4"/>
  <c r="X45" i="4" s="1"/>
  <c r="N45" i="4"/>
  <c r="O45" i="4"/>
  <c r="P45" i="4"/>
  <c r="Q45" i="4"/>
  <c r="L45" i="4"/>
  <c r="M45" i="4"/>
  <c r="G45" i="4"/>
  <c r="H45" i="4"/>
  <c r="I45" i="4"/>
  <c r="J45" i="4"/>
  <c r="K45" i="4"/>
  <c r="F45" i="4"/>
  <c r="E45" i="4"/>
  <c r="D45" i="4"/>
  <c r="X41" i="4"/>
  <c r="R41" i="4"/>
  <c r="Y41" i="4" s="1"/>
  <c r="X61" i="2"/>
  <c r="R61" i="2"/>
  <c r="U33" i="1"/>
  <c r="O33" i="1"/>
  <c r="W33" i="1" s="1"/>
  <c r="R87" i="2"/>
  <c r="X83" i="2"/>
  <c r="R83" i="2"/>
  <c r="X72" i="2"/>
  <c r="X73" i="2"/>
  <c r="X74" i="2"/>
  <c r="R72" i="2"/>
  <c r="R73" i="2"/>
  <c r="R74" i="2"/>
  <c r="X69" i="2"/>
  <c r="X70" i="2"/>
  <c r="R69" i="2"/>
  <c r="R70" i="2"/>
  <c r="X64" i="2"/>
  <c r="X65" i="2"/>
  <c r="R64" i="2"/>
  <c r="R65" i="2"/>
  <c r="H40" i="3"/>
  <c r="R27" i="4"/>
  <c r="X28" i="3"/>
  <c r="R71" i="2"/>
  <c r="X71" i="2"/>
  <c r="U34" i="1"/>
  <c r="O34" i="1"/>
  <c r="W34" i="1" s="1"/>
  <c r="R86" i="2"/>
  <c r="R84" i="2"/>
  <c r="U33" i="3"/>
  <c r="U34" i="3"/>
  <c r="U35" i="3"/>
  <c r="U36" i="3"/>
  <c r="U37" i="3"/>
  <c r="U38" i="3"/>
  <c r="O33" i="3"/>
  <c r="O34" i="3"/>
  <c r="O35" i="3"/>
  <c r="O36" i="3"/>
  <c r="O37" i="3"/>
  <c r="O38" i="3"/>
  <c r="O32" i="3"/>
  <c r="R68" i="2"/>
  <c r="R67" i="2"/>
  <c r="R66" i="2"/>
  <c r="R63" i="2"/>
  <c r="R57" i="2"/>
  <c r="R62" i="2"/>
  <c r="O31" i="1"/>
  <c r="R58" i="2"/>
  <c r="R56" i="2"/>
  <c r="R55" i="2"/>
  <c r="U29" i="1"/>
  <c r="X50" i="4"/>
  <c r="R50" i="4"/>
  <c r="Y50" i="4" s="1"/>
  <c r="X98" i="2"/>
  <c r="R98" i="2"/>
  <c r="R63" i="4"/>
  <c r="F69" i="4"/>
  <c r="R123" i="2"/>
  <c r="R138" i="2"/>
  <c r="R139" i="2"/>
  <c r="R140" i="2"/>
  <c r="R141" i="2"/>
  <c r="R142" i="2"/>
  <c r="R143" i="2"/>
  <c r="R144" i="2"/>
  <c r="R137" i="2"/>
  <c r="R136" i="2"/>
  <c r="R129" i="2"/>
  <c r="R126" i="2"/>
  <c r="R125" i="2"/>
  <c r="R121" i="2"/>
  <c r="R120" i="2"/>
  <c r="L146" i="2"/>
  <c r="M146" i="2"/>
  <c r="R116" i="2"/>
  <c r="R115" i="2"/>
  <c r="X114" i="2"/>
  <c r="R114" i="2"/>
  <c r="R112" i="2"/>
  <c r="R111" i="2"/>
  <c r="R110" i="2"/>
  <c r="I146" i="2"/>
  <c r="F40" i="3"/>
  <c r="R32" i="4"/>
  <c r="O22" i="1"/>
  <c r="R54" i="2"/>
  <c r="E96" i="2"/>
  <c r="R21" i="4"/>
  <c r="U27" i="1"/>
  <c r="O27" i="1"/>
  <c r="X41" i="2"/>
  <c r="R41" i="2"/>
  <c r="R20" i="4"/>
  <c r="X37" i="2"/>
  <c r="R37" i="2"/>
  <c r="U23" i="1"/>
  <c r="O23" i="1"/>
  <c r="W23" i="1" s="1"/>
  <c r="R32" i="2"/>
  <c r="R31" i="2"/>
  <c r="R30" i="2"/>
  <c r="U21" i="1"/>
  <c r="U22" i="1"/>
  <c r="O21" i="1"/>
  <c r="R28" i="2"/>
  <c r="X28" i="2"/>
  <c r="X29" i="2"/>
  <c r="X30" i="2"/>
  <c r="X31" i="2"/>
  <c r="X32" i="2"/>
  <c r="R29" i="2"/>
  <c r="I42" i="1"/>
  <c r="R19" i="4"/>
  <c r="F30" i="4"/>
  <c r="F48" i="4" s="1"/>
  <c r="R25" i="2"/>
  <c r="O20" i="1"/>
  <c r="U20" i="1"/>
  <c r="U19" i="1"/>
  <c r="H42" i="1"/>
  <c r="Q96" i="2"/>
  <c r="R53" i="2"/>
  <c r="V96" i="2"/>
  <c r="R42" i="1"/>
  <c r="R43" i="2"/>
  <c r="X43" i="2"/>
  <c r="O24" i="1"/>
  <c r="R38" i="2"/>
  <c r="R36" i="2"/>
  <c r="R35" i="2"/>
  <c r="R33" i="2"/>
  <c r="R19" i="2"/>
  <c r="U26" i="1"/>
  <c r="O17" i="1"/>
  <c r="U18" i="1"/>
  <c r="O18" i="1"/>
  <c r="K42" i="1"/>
  <c r="U96" i="2"/>
  <c r="W96" i="2"/>
  <c r="T96" i="2"/>
  <c r="H96" i="2"/>
  <c r="I96" i="2"/>
  <c r="M96" i="2"/>
  <c r="N96" i="2"/>
  <c r="O96" i="2"/>
  <c r="P96" i="2"/>
  <c r="O30" i="3"/>
  <c r="R35" i="4"/>
  <c r="R36" i="4"/>
  <c r="Y36" i="4" s="1"/>
  <c r="R37" i="4"/>
  <c r="R38" i="4"/>
  <c r="R39" i="4"/>
  <c r="X34" i="4"/>
  <c r="X35" i="4"/>
  <c r="X36" i="4"/>
  <c r="X37" i="4"/>
  <c r="X38" i="4"/>
  <c r="X39" i="4"/>
  <c r="X40" i="4"/>
  <c r="R89" i="2"/>
  <c r="X22" i="4"/>
  <c r="X23" i="4"/>
  <c r="X24" i="4"/>
  <c r="X25" i="4"/>
  <c r="X26" i="4"/>
  <c r="R22" i="4"/>
  <c r="Y22" i="4" s="1"/>
  <c r="R23" i="4"/>
  <c r="R24" i="4"/>
  <c r="R25" i="4"/>
  <c r="R26" i="4"/>
  <c r="Y26" i="4" s="1"/>
  <c r="R28" i="4"/>
  <c r="O21" i="3"/>
  <c r="O22" i="3"/>
  <c r="O23" i="3"/>
  <c r="O24" i="3"/>
  <c r="O25" i="3"/>
  <c r="U21" i="3"/>
  <c r="W21" i="3" s="1"/>
  <c r="U22" i="3"/>
  <c r="U23" i="3"/>
  <c r="U24" i="3"/>
  <c r="U25" i="3"/>
  <c r="W25" i="3" s="1"/>
  <c r="U18" i="3"/>
  <c r="U19" i="3"/>
  <c r="R80" i="2"/>
  <c r="R82" i="2"/>
  <c r="R88" i="2"/>
  <c r="R90" i="2"/>
  <c r="R91" i="2"/>
  <c r="R92" i="2"/>
  <c r="R93" i="2"/>
  <c r="X80" i="2"/>
  <c r="X81" i="2"/>
  <c r="X82" i="2"/>
  <c r="Y82" i="2" s="1"/>
  <c r="X84" i="2"/>
  <c r="Y84" i="2" s="1"/>
  <c r="X85" i="2"/>
  <c r="X86" i="2"/>
  <c r="X87" i="2"/>
  <c r="X88" i="2"/>
  <c r="X89" i="2"/>
  <c r="X90" i="2"/>
  <c r="X91" i="2"/>
  <c r="X92" i="2"/>
  <c r="Y92" i="2" s="1"/>
  <c r="X93" i="2"/>
  <c r="E30" i="4"/>
  <c r="E48" i="4" s="1"/>
  <c r="O26" i="1"/>
  <c r="X26" i="2"/>
  <c r="X27" i="2"/>
  <c r="U24" i="1"/>
  <c r="U25" i="1"/>
  <c r="R26" i="2"/>
  <c r="R27" i="2"/>
  <c r="X66" i="2"/>
  <c r="X67" i="2"/>
  <c r="X68" i="2"/>
  <c r="X55" i="2"/>
  <c r="X56" i="2"/>
  <c r="X57" i="2"/>
  <c r="X58" i="2"/>
  <c r="Y58" i="2" s="1"/>
  <c r="X59" i="2"/>
  <c r="X60" i="2"/>
  <c r="X62" i="2"/>
  <c r="X63" i="2"/>
  <c r="Y63" i="2" s="1"/>
  <c r="X75" i="2"/>
  <c r="X76" i="2"/>
  <c r="X77" i="2"/>
  <c r="X78" i="2"/>
  <c r="X53" i="2"/>
  <c r="X54" i="2"/>
  <c r="R59" i="2"/>
  <c r="R75" i="2"/>
  <c r="Y75" i="2" s="1"/>
  <c r="R77" i="2"/>
  <c r="O37" i="1"/>
  <c r="W37" i="1" s="1"/>
  <c r="O38" i="1"/>
  <c r="O39" i="1"/>
  <c r="U37" i="1"/>
  <c r="U38" i="1"/>
  <c r="U39" i="1"/>
  <c r="U35" i="1"/>
  <c r="U36" i="1"/>
  <c r="U31" i="1"/>
  <c r="U32" i="1"/>
  <c r="O29" i="1"/>
  <c r="O30" i="1"/>
  <c r="O32" i="1"/>
  <c r="O35" i="1"/>
  <c r="O36" i="1"/>
  <c r="R52" i="2"/>
  <c r="R42" i="2"/>
  <c r="O28" i="1"/>
  <c r="R156" i="4"/>
  <c r="Y156" i="4" s="1"/>
  <c r="X156" i="4"/>
  <c r="R157" i="4"/>
  <c r="X157" i="4"/>
  <c r="U147" i="3"/>
  <c r="G150" i="3"/>
  <c r="F174" i="4"/>
  <c r="R170" i="4"/>
  <c r="R181" i="4"/>
  <c r="G174" i="4"/>
  <c r="G187" i="4" s="1"/>
  <c r="M184" i="4"/>
  <c r="X179" i="4"/>
  <c r="X180" i="4"/>
  <c r="Y180" i="4" s="1"/>
  <c r="X181" i="4"/>
  <c r="X182" i="4"/>
  <c r="R179" i="4"/>
  <c r="Y179" i="4" s="1"/>
  <c r="R178" i="4"/>
  <c r="O148" i="3"/>
  <c r="O146" i="3"/>
  <c r="D184" i="4"/>
  <c r="F184" i="4"/>
  <c r="F187" i="4" s="1"/>
  <c r="X123" i="3"/>
  <c r="R154" i="4"/>
  <c r="F161" i="4"/>
  <c r="R119" i="4"/>
  <c r="O96" i="3"/>
  <c r="W96" i="3" s="1"/>
  <c r="O97" i="3"/>
  <c r="U96" i="3"/>
  <c r="U97" i="3"/>
  <c r="U107" i="3"/>
  <c r="O107" i="3"/>
  <c r="W107" i="3" s="1"/>
  <c r="X137" i="4"/>
  <c r="R137" i="4"/>
  <c r="Y137" i="4" s="1"/>
  <c r="O106" i="3"/>
  <c r="X133" i="4"/>
  <c r="X134" i="4"/>
  <c r="X135" i="4"/>
  <c r="X136" i="4"/>
  <c r="R133" i="4"/>
  <c r="Y133" i="4" s="1"/>
  <c r="R134" i="4"/>
  <c r="R135" i="4"/>
  <c r="Y135" i="4"/>
  <c r="R136" i="4"/>
  <c r="Y136" i="4" s="1"/>
  <c r="F140" i="4"/>
  <c r="E140" i="4"/>
  <c r="U106" i="3"/>
  <c r="R132" i="4"/>
  <c r="X121" i="4"/>
  <c r="X122" i="4"/>
  <c r="Y122" i="4" s="1"/>
  <c r="R121" i="4"/>
  <c r="R122" i="4"/>
  <c r="X101" i="3"/>
  <c r="G110" i="3"/>
  <c r="O104" i="3"/>
  <c r="R131" i="4"/>
  <c r="X131" i="4"/>
  <c r="X132" i="4"/>
  <c r="R118" i="4"/>
  <c r="F92" i="4"/>
  <c r="R74" i="4"/>
  <c r="E92" i="4"/>
  <c r="R100" i="4"/>
  <c r="O53" i="1"/>
  <c r="R189" i="2"/>
  <c r="D92" i="4"/>
  <c r="J110" i="4"/>
  <c r="R98" i="4"/>
  <c r="Y98" i="4" s="1"/>
  <c r="I110" i="4"/>
  <c r="R97" i="4"/>
  <c r="O72" i="3"/>
  <c r="R96" i="4"/>
  <c r="M110" i="4"/>
  <c r="X94" i="4"/>
  <c r="R94" i="4"/>
  <c r="Y94" i="4" s="1"/>
  <c r="X176" i="2"/>
  <c r="R176" i="2"/>
  <c r="R172" i="2"/>
  <c r="R167" i="2"/>
  <c r="R182" i="2"/>
  <c r="R181" i="2"/>
  <c r="R180" i="2"/>
  <c r="R179" i="2"/>
  <c r="X179" i="2"/>
  <c r="X180" i="2"/>
  <c r="X181" i="2"/>
  <c r="X182" i="2"/>
  <c r="X170" i="2"/>
  <c r="X178" i="2"/>
  <c r="X171" i="2"/>
  <c r="R171" i="2"/>
  <c r="R163" i="2"/>
  <c r="O52" i="1"/>
  <c r="R161" i="2"/>
  <c r="N92" i="1"/>
  <c r="R160" i="2"/>
  <c r="O49" i="1"/>
  <c r="U49" i="1"/>
  <c r="U50" i="1"/>
  <c r="U51" i="1"/>
  <c r="U52" i="1"/>
  <c r="O48" i="1"/>
  <c r="G92" i="1"/>
  <c r="U48" i="1"/>
  <c r="R157" i="2"/>
  <c r="R156" i="2"/>
  <c r="X156" i="2"/>
  <c r="X157" i="2"/>
  <c r="X158" i="2"/>
  <c r="X159" i="2"/>
  <c r="X160" i="2"/>
  <c r="X161" i="2"/>
  <c r="X162" i="2"/>
  <c r="X163" i="2"/>
  <c r="X164" i="2"/>
  <c r="X165" i="2"/>
  <c r="X166" i="2"/>
  <c r="R154" i="2"/>
  <c r="O47" i="1"/>
  <c r="X153" i="2"/>
  <c r="R153" i="2"/>
  <c r="O54" i="1"/>
  <c r="R187" i="2"/>
  <c r="R186" i="2"/>
  <c r="X175" i="2"/>
  <c r="R175" i="2"/>
  <c r="R178" i="2"/>
  <c r="X183" i="2"/>
  <c r="R183" i="2"/>
  <c r="R184" i="2"/>
  <c r="R177" i="2"/>
  <c r="R173" i="2"/>
  <c r="X169" i="2"/>
  <c r="R168" i="2"/>
  <c r="R151" i="2"/>
  <c r="R150" i="2"/>
  <c r="X53" i="4"/>
  <c r="X238" i="4"/>
  <c r="X237" i="4"/>
  <c r="Y237" i="4" s="1"/>
  <c r="X235" i="4"/>
  <c r="X234" i="4"/>
  <c r="X233" i="4"/>
  <c r="X232" i="4"/>
  <c r="X231" i="4"/>
  <c r="X230" i="4"/>
  <c r="X229" i="4"/>
  <c r="X228" i="4"/>
  <c r="X227" i="4"/>
  <c r="X226" i="4"/>
  <c r="X225" i="4"/>
  <c r="X224" i="4"/>
  <c r="X223" i="4"/>
  <c r="X222" i="4"/>
  <c r="X221" i="4"/>
  <c r="X219" i="4"/>
  <c r="X218" i="4"/>
  <c r="X217" i="4"/>
  <c r="X216" i="4"/>
  <c r="X215" i="4"/>
  <c r="X214" i="4"/>
  <c r="X213" i="4"/>
  <c r="X212" i="4"/>
  <c r="X211" i="4"/>
  <c r="X210" i="4"/>
  <c r="X209" i="4"/>
  <c r="X208" i="4"/>
  <c r="X207" i="4"/>
  <c r="X206" i="4"/>
  <c r="X205" i="4"/>
  <c r="X204" i="4"/>
  <c r="X203" i="4"/>
  <c r="X200" i="4"/>
  <c r="X199" i="4"/>
  <c r="X198" i="4"/>
  <c r="X196" i="4"/>
  <c r="X195" i="4"/>
  <c r="X194" i="4"/>
  <c r="X193" i="4"/>
  <c r="X192" i="4"/>
  <c r="Y192" i="4" s="1"/>
  <c r="X191" i="4"/>
  <c r="X190" i="4"/>
  <c r="X189" i="4"/>
  <c r="X178" i="4"/>
  <c r="X177" i="4"/>
  <c r="X176" i="4"/>
  <c r="X172" i="4"/>
  <c r="X171" i="4"/>
  <c r="X170" i="4"/>
  <c r="X169" i="4"/>
  <c r="X168" i="4"/>
  <c r="X155" i="4"/>
  <c r="X154" i="4"/>
  <c r="X148" i="4"/>
  <c r="X147" i="4"/>
  <c r="X146" i="4"/>
  <c r="X130" i="4"/>
  <c r="X129" i="4"/>
  <c r="X120" i="4"/>
  <c r="X119" i="4"/>
  <c r="Y119" i="4" s="1"/>
  <c r="X118" i="4"/>
  <c r="Y118" i="4" s="1"/>
  <c r="X113" i="4"/>
  <c r="X112" i="4"/>
  <c r="X111" i="4"/>
  <c r="Y111" i="4" s="1"/>
  <c r="X106" i="4"/>
  <c r="X105" i="4"/>
  <c r="X104" i="4"/>
  <c r="Y104" i="4" s="1"/>
  <c r="X103" i="4"/>
  <c r="X102" i="4"/>
  <c r="X101" i="4"/>
  <c r="X100" i="4"/>
  <c r="X99" i="4"/>
  <c r="X98" i="4"/>
  <c r="X97" i="4"/>
  <c r="Y97" i="4" s="1"/>
  <c r="X96" i="4"/>
  <c r="X95" i="4"/>
  <c r="X88" i="4"/>
  <c r="X87" i="4"/>
  <c r="X86" i="4"/>
  <c r="Y86" i="4" s="1"/>
  <c r="X85" i="4"/>
  <c r="X84" i="4"/>
  <c r="X83" i="4"/>
  <c r="X82" i="4"/>
  <c r="X81" i="4"/>
  <c r="X80" i="4"/>
  <c r="X79" i="4"/>
  <c r="X78" i="4"/>
  <c r="X77" i="4"/>
  <c r="X76" i="4"/>
  <c r="X75" i="4"/>
  <c r="X74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33" i="4"/>
  <c r="X32" i="4"/>
  <c r="X21" i="4"/>
  <c r="X20" i="4"/>
  <c r="X19" i="4"/>
  <c r="X15" i="4"/>
  <c r="R238" i="4"/>
  <c r="Y238" i="4" s="1"/>
  <c r="R237" i="4"/>
  <c r="R235" i="4"/>
  <c r="R234" i="4"/>
  <c r="Y234" i="4" s="1"/>
  <c r="R233" i="4"/>
  <c r="Y233" i="4" s="1"/>
  <c r="R232" i="4"/>
  <c r="R231" i="4"/>
  <c r="R230" i="4"/>
  <c r="R229" i="4"/>
  <c r="Y229" i="4" s="1"/>
  <c r="R228" i="4"/>
  <c r="R227" i="4"/>
  <c r="Y227" i="4" s="1"/>
  <c r="R226" i="4"/>
  <c r="Y226" i="4" s="1"/>
  <c r="R225" i="4"/>
  <c r="R224" i="4"/>
  <c r="R223" i="4"/>
  <c r="R222" i="4"/>
  <c r="Y222" i="4" s="1"/>
  <c r="R221" i="4"/>
  <c r="Y221" i="4" s="1"/>
  <c r="R219" i="4"/>
  <c r="R218" i="4"/>
  <c r="R217" i="4"/>
  <c r="R216" i="4"/>
  <c r="Y216" i="4" s="1"/>
  <c r="R215" i="4"/>
  <c r="R214" i="4"/>
  <c r="R213" i="4"/>
  <c r="Y213" i="4" s="1"/>
  <c r="R212" i="4"/>
  <c r="Y212" i="4" s="1"/>
  <c r="R211" i="4"/>
  <c r="R210" i="4"/>
  <c r="R209" i="4"/>
  <c r="Y209" i="4" s="1"/>
  <c r="R208" i="4"/>
  <c r="R207" i="4"/>
  <c r="R206" i="4"/>
  <c r="R205" i="4"/>
  <c r="Y205" i="4" s="1"/>
  <c r="R204" i="4"/>
  <c r="Y204" i="4" s="1"/>
  <c r="R203" i="4"/>
  <c r="R200" i="4"/>
  <c r="R199" i="4"/>
  <c r="R198" i="4"/>
  <c r="Y198" i="4" s="1"/>
  <c r="R196" i="4"/>
  <c r="R195" i="4"/>
  <c r="Y195" i="4" s="1"/>
  <c r="R194" i="4"/>
  <c r="Y194" i="4" s="1"/>
  <c r="R193" i="4"/>
  <c r="Y193" i="4" s="1"/>
  <c r="R192" i="4"/>
  <c r="R191" i="4"/>
  <c r="Y191" i="4" s="1"/>
  <c r="R190" i="4"/>
  <c r="R189" i="4"/>
  <c r="Y189" i="4" s="1"/>
  <c r="R172" i="4"/>
  <c r="Y172" i="4" s="1"/>
  <c r="R171" i="4"/>
  <c r="R169" i="4"/>
  <c r="Y169" i="4" s="1"/>
  <c r="R155" i="4"/>
  <c r="R148" i="4"/>
  <c r="Y148" i="4" s="1"/>
  <c r="R147" i="4"/>
  <c r="R146" i="4"/>
  <c r="Y145" i="4"/>
  <c r="R130" i="4"/>
  <c r="R129" i="4"/>
  <c r="R120" i="4"/>
  <c r="R113" i="4"/>
  <c r="Y113" i="4" s="1"/>
  <c r="R112" i="4"/>
  <c r="R111" i="4"/>
  <c r="R106" i="4"/>
  <c r="Y106" i="4" s="1"/>
  <c r="R105" i="4"/>
  <c r="Y105" i="4" s="1"/>
  <c r="R104" i="4"/>
  <c r="R103" i="4"/>
  <c r="R102" i="4"/>
  <c r="Y102" i="4" s="1"/>
  <c r="R101" i="4"/>
  <c r="Y101" i="4" s="1"/>
  <c r="R99" i="4"/>
  <c r="Y99" i="4" s="1"/>
  <c r="R88" i="4"/>
  <c r="R87" i="4"/>
  <c r="R86" i="4"/>
  <c r="R85" i="4"/>
  <c r="Y85" i="4" s="1"/>
  <c r="R84" i="4"/>
  <c r="R83" i="4"/>
  <c r="Y83" i="4" s="1"/>
  <c r="R82" i="4"/>
  <c r="R81" i="4"/>
  <c r="R80" i="4"/>
  <c r="R79" i="4"/>
  <c r="Y79" i="4" s="1"/>
  <c r="R78" i="4"/>
  <c r="R77" i="4"/>
  <c r="R76" i="4"/>
  <c r="Y76" i="4" s="1"/>
  <c r="R75" i="4"/>
  <c r="R67" i="4"/>
  <c r="R62" i="4"/>
  <c r="R61" i="4"/>
  <c r="R59" i="4"/>
  <c r="Y59" i="4" s="1"/>
  <c r="R56" i="4"/>
  <c r="R55" i="4"/>
  <c r="R54" i="4"/>
  <c r="R53" i="4"/>
  <c r="Y53" i="4" s="1"/>
  <c r="R40" i="4"/>
  <c r="R33" i="4"/>
  <c r="R18" i="4"/>
  <c r="R15" i="4"/>
  <c r="Y15" i="4" s="1"/>
  <c r="X27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6" i="2"/>
  <c r="X215" i="2"/>
  <c r="X214" i="2"/>
  <c r="X213" i="2"/>
  <c r="X276" i="2"/>
  <c r="X209" i="2"/>
  <c r="X208" i="2"/>
  <c r="X207" i="2"/>
  <c r="X206" i="2"/>
  <c r="X205" i="2"/>
  <c r="X204" i="2"/>
  <c r="X203" i="2"/>
  <c r="X200" i="2"/>
  <c r="X199" i="2"/>
  <c r="X198" i="2"/>
  <c r="X197" i="2"/>
  <c r="X196" i="2"/>
  <c r="X195" i="2"/>
  <c r="X192" i="2"/>
  <c r="X191" i="2"/>
  <c r="X190" i="2"/>
  <c r="X189" i="2"/>
  <c r="X188" i="2"/>
  <c r="X187" i="2"/>
  <c r="X186" i="2"/>
  <c r="X185" i="2"/>
  <c r="X184" i="2"/>
  <c r="X177" i="2"/>
  <c r="X172" i="2"/>
  <c r="X168" i="2"/>
  <c r="X167" i="2"/>
  <c r="X155" i="2"/>
  <c r="X154" i="2"/>
  <c r="X152" i="2"/>
  <c r="X151" i="2"/>
  <c r="X150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7" i="2"/>
  <c r="X126" i="2"/>
  <c r="X125" i="2"/>
  <c r="X124" i="2"/>
  <c r="X123" i="2"/>
  <c r="X122" i="2"/>
  <c r="X121" i="2"/>
  <c r="X120" i="2"/>
  <c r="X118" i="2"/>
  <c r="X117" i="2"/>
  <c r="X116" i="2"/>
  <c r="X115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94" i="2"/>
  <c r="X79" i="2"/>
  <c r="X52" i="2"/>
  <c r="X51" i="2"/>
  <c r="X42" i="2"/>
  <c r="Y42" i="2" s="1"/>
  <c r="X40" i="2"/>
  <c r="X39" i="2"/>
  <c r="X38" i="2"/>
  <c r="Y38" i="2" s="1"/>
  <c r="X36" i="2"/>
  <c r="X35" i="2"/>
  <c r="X34" i="2"/>
  <c r="X33" i="2"/>
  <c r="X25" i="2"/>
  <c r="Y25" i="2" s="1"/>
  <c r="X22" i="2"/>
  <c r="X21" i="2"/>
  <c r="X20" i="2"/>
  <c r="X19" i="2"/>
  <c r="Y19" i="2" s="1"/>
  <c r="X18" i="2"/>
  <c r="R27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6" i="2"/>
  <c r="R215" i="2"/>
  <c r="R214" i="2"/>
  <c r="R213" i="2"/>
  <c r="R276" i="2"/>
  <c r="R209" i="2"/>
  <c r="R208" i="2"/>
  <c r="R207" i="2"/>
  <c r="R206" i="2"/>
  <c r="R205" i="2"/>
  <c r="R204" i="2"/>
  <c r="R203" i="2"/>
  <c r="R200" i="2"/>
  <c r="R199" i="2"/>
  <c r="R198" i="2"/>
  <c r="R197" i="2"/>
  <c r="R196" i="2"/>
  <c r="R195" i="2"/>
  <c r="R192" i="2"/>
  <c r="R191" i="2"/>
  <c r="R190" i="2"/>
  <c r="R185" i="2"/>
  <c r="R133" i="2"/>
  <c r="R132" i="2"/>
  <c r="R131" i="2"/>
  <c r="R130" i="2"/>
  <c r="R124" i="2"/>
  <c r="R122" i="2"/>
  <c r="R108" i="2"/>
  <c r="R106" i="2"/>
  <c r="R104" i="2"/>
  <c r="R102" i="2"/>
  <c r="R94" i="2"/>
  <c r="R79" i="2"/>
  <c r="R51" i="2"/>
  <c r="R40" i="2"/>
  <c r="R39" i="2"/>
  <c r="R34" i="2"/>
  <c r="R15" i="2"/>
  <c r="X15" i="2"/>
  <c r="K146" i="2"/>
  <c r="R101" i="2"/>
  <c r="U45" i="3"/>
  <c r="U44" i="1"/>
  <c r="W44" i="1" s="1"/>
  <c r="R134" i="2"/>
  <c r="R118" i="2"/>
  <c r="G146" i="2"/>
  <c r="E146" i="2"/>
  <c r="R113" i="2"/>
  <c r="R105" i="2"/>
  <c r="R65" i="4"/>
  <c r="R64" i="4"/>
  <c r="M69" i="4"/>
  <c r="R60" i="4"/>
  <c r="Y60" i="4" s="1"/>
  <c r="E69" i="4"/>
  <c r="R58" i="4"/>
  <c r="R20" i="2"/>
  <c r="U146" i="2"/>
  <c r="V146" i="2"/>
  <c r="U17" i="2"/>
  <c r="V17" i="2"/>
  <c r="J220" i="4"/>
  <c r="J239" i="4" s="1"/>
  <c r="J236" i="4"/>
  <c r="T236" i="4"/>
  <c r="U236" i="4"/>
  <c r="T220" i="4"/>
  <c r="U220" i="4"/>
  <c r="T197" i="4"/>
  <c r="U197" i="4"/>
  <c r="T184" i="4"/>
  <c r="X184" i="4" s="1"/>
  <c r="U184" i="4"/>
  <c r="T174" i="4"/>
  <c r="U174" i="4"/>
  <c r="U187" i="4" s="1"/>
  <c r="T161" i="4"/>
  <c r="T164" i="4" s="1"/>
  <c r="U161" i="4"/>
  <c r="T152" i="4"/>
  <c r="U152" i="4"/>
  <c r="T69" i="4"/>
  <c r="U69" i="4"/>
  <c r="T92" i="4"/>
  <c r="U92" i="4"/>
  <c r="T110" i="4"/>
  <c r="U110" i="4"/>
  <c r="X110" i="4" s="1"/>
  <c r="T127" i="4"/>
  <c r="U127" i="4"/>
  <c r="U142" i="4" s="1"/>
  <c r="T140" i="4"/>
  <c r="T142" i="4" s="1"/>
  <c r="U140" i="4"/>
  <c r="T30" i="4"/>
  <c r="U30" i="4"/>
  <c r="U48" i="4" s="1"/>
  <c r="U52" i="4" s="1"/>
  <c r="U71" i="4" s="1"/>
  <c r="U72" i="4" s="1"/>
  <c r="T17" i="4"/>
  <c r="U17" i="4"/>
  <c r="U284" i="2"/>
  <c r="V284" i="2"/>
  <c r="W162" i="3"/>
  <c r="W142" i="3"/>
  <c r="W15" i="3"/>
  <c r="U193" i="3"/>
  <c r="U192" i="3"/>
  <c r="U191" i="3"/>
  <c r="U190" i="3"/>
  <c r="U186" i="3"/>
  <c r="U185" i="3"/>
  <c r="U184" i="3"/>
  <c r="U183" i="3"/>
  <c r="U182" i="3"/>
  <c r="U181" i="3"/>
  <c r="U180" i="3"/>
  <c r="U179" i="3"/>
  <c r="U178" i="3"/>
  <c r="U177" i="3"/>
  <c r="U176" i="3"/>
  <c r="U175" i="3"/>
  <c r="U174" i="3"/>
  <c r="U173" i="3"/>
  <c r="U172" i="3"/>
  <c r="U171" i="3"/>
  <c r="U170" i="3"/>
  <c r="U169" i="3"/>
  <c r="U165" i="3"/>
  <c r="U161" i="3"/>
  <c r="U160" i="3"/>
  <c r="U159" i="3"/>
  <c r="U158" i="3"/>
  <c r="U157" i="3"/>
  <c r="U156" i="3"/>
  <c r="U155" i="3"/>
  <c r="U148" i="3"/>
  <c r="W148" i="3" s="1"/>
  <c r="U146" i="3"/>
  <c r="U141" i="3"/>
  <c r="U140" i="3"/>
  <c r="U139" i="3"/>
  <c r="U138" i="3"/>
  <c r="U137" i="3"/>
  <c r="U128" i="3"/>
  <c r="U127" i="3"/>
  <c r="U130" i="3" s="1"/>
  <c r="U126" i="3"/>
  <c r="U125" i="3"/>
  <c r="U120" i="3"/>
  <c r="U119" i="3"/>
  <c r="U118" i="3"/>
  <c r="U117" i="3"/>
  <c r="U116" i="3"/>
  <c r="U105" i="3"/>
  <c r="U104" i="3"/>
  <c r="U103" i="3"/>
  <c r="U95" i="3"/>
  <c r="U94" i="3"/>
  <c r="U93" i="3"/>
  <c r="U88" i="3"/>
  <c r="U74" i="3"/>
  <c r="U73" i="3"/>
  <c r="U72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47" i="3"/>
  <c r="U32" i="3"/>
  <c r="U31" i="3"/>
  <c r="U30" i="3"/>
  <c r="U26" i="3"/>
  <c r="U20" i="3"/>
  <c r="O17" i="3"/>
  <c r="Q16" i="3"/>
  <c r="R16" i="3"/>
  <c r="S16" i="3"/>
  <c r="U14" i="3"/>
  <c r="U16" i="3" s="1"/>
  <c r="O193" i="3"/>
  <c r="W193" i="3" s="1"/>
  <c r="O192" i="3"/>
  <c r="W192" i="3" s="1"/>
  <c r="O191" i="3"/>
  <c r="O190" i="3"/>
  <c r="O186" i="3"/>
  <c r="W186" i="3" s="1"/>
  <c r="O185" i="3"/>
  <c r="O184" i="3"/>
  <c r="O183" i="3"/>
  <c r="W183" i="3" s="1"/>
  <c r="O182" i="3"/>
  <c r="W182" i="3" s="1"/>
  <c r="O181" i="3"/>
  <c r="O180" i="3"/>
  <c r="O179" i="3"/>
  <c r="O178" i="3"/>
  <c r="W178" i="3" s="1"/>
  <c r="O177" i="3"/>
  <c r="W177" i="3" s="1"/>
  <c r="O176" i="3"/>
  <c r="O175" i="3"/>
  <c r="O174" i="3"/>
  <c r="W174" i="3" s="1"/>
  <c r="O173" i="3"/>
  <c r="O172" i="3"/>
  <c r="O171" i="3"/>
  <c r="W171" i="3" s="1"/>
  <c r="O170" i="3"/>
  <c r="W170" i="3" s="1"/>
  <c r="O169" i="3"/>
  <c r="O165" i="3"/>
  <c r="O161" i="3"/>
  <c r="O160" i="3"/>
  <c r="O159" i="3"/>
  <c r="W159" i="3" s="1"/>
  <c r="O158" i="3"/>
  <c r="O157" i="3"/>
  <c r="O156" i="3"/>
  <c r="O155" i="3"/>
  <c r="W155" i="3" s="1"/>
  <c r="O145" i="3"/>
  <c r="O141" i="3"/>
  <c r="W141" i="3" s="1"/>
  <c r="O140" i="3"/>
  <c r="W140" i="3" s="1"/>
  <c r="O139" i="3"/>
  <c r="O138" i="3"/>
  <c r="W138" i="3" s="1"/>
  <c r="O137" i="3"/>
  <c r="O128" i="3"/>
  <c r="O127" i="3"/>
  <c r="O126" i="3"/>
  <c r="W126" i="3" s="1"/>
  <c r="O120" i="3"/>
  <c r="O119" i="3"/>
  <c r="W119" i="3" s="1"/>
  <c r="O118" i="3"/>
  <c r="O117" i="3"/>
  <c r="W117" i="3" s="1"/>
  <c r="O116" i="3"/>
  <c r="O103" i="3"/>
  <c r="O95" i="3"/>
  <c r="W95" i="3" s="1"/>
  <c r="O94" i="3"/>
  <c r="O93" i="3"/>
  <c r="O88" i="3"/>
  <c r="W88" i="3" s="1"/>
  <c r="W74" i="3"/>
  <c r="O73" i="3"/>
  <c r="O67" i="3"/>
  <c r="O66" i="3"/>
  <c r="O65" i="3"/>
  <c r="W65" i="3" s="1"/>
  <c r="O64" i="3"/>
  <c r="O63" i="3"/>
  <c r="O62" i="3"/>
  <c r="O61" i="3"/>
  <c r="O60" i="3"/>
  <c r="O59" i="3"/>
  <c r="O58" i="3"/>
  <c r="O57" i="3"/>
  <c r="W57" i="3" s="1"/>
  <c r="O56" i="3"/>
  <c r="O55" i="3"/>
  <c r="O54" i="3"/>
  <c r="O53" i="3"/>
  <c r="W53" i="3" s="1"/>
  <c r="O52" i="3"/>
  <c r="W52" i="3" s="1"/>
  <c r="O47" i="3"/>
  <c r="W47" i="3" s="1"/>
  <c r="O45" i="3"/>
  <c r="O26" i="3"/>
  <c r="O20" i="3"/>
  <c r="W20" i="3" s="1"/>
  <c r="O19" i="3"/>
  <c r="O18" i="3"/>
  <c r="O14" i="3"/>
  <c r="U103" i="1"/>
  <c r="U102" i="1"/>
  <c r="U101" i="1"/>
  <c r="U100" i="1"/>
  <c r="U99" i="1"/>
  <c r="U98" i="1"/>
  <c r="U97" i="1"/>
  <c r="U96" i="1"/>
  <c r="U95" i="1"/>
  <c r="U94" i="1"/>
  <c r="U93" i="1"/>
  <c r="U90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59" i="1"/>
  <c r="U58" i="1"/>
  <c r="U57" i="1"/>
  <c r="U55" i="1"/>
  <c r="U54" i="1"/>
  <c r="U53" i="1"/>
  <c r="U47" i="1"/>
  <c r="U40" i="1"/>
  <c r="U28" i="1"/>
  <c r="U17" i="1"/>
  <c r="O103" i="1"/>
  <c r="O102" i="1"/>
  <c r="O101" i="1"/>
  <c r="O100" i="1"/>
  <c r="O99" i="1"/>
  <c r="O98" i="1"/>
  <c r="O97" i="1"/>
  <c r="O96" i="1"/>
  <c r="O95" i="1"/>
  <c r="O94" i="1"/>
  <c r="O93" i="1"/>
  <c r="O90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59" i="1"/>
  <c r="O58" i="1"/>
  <c r="O57" i="1"/>
  <c r="O55" i="1"/>
  <c r="O40" i="1"/>
  <c r="W15" i="1"/>
  <c r="U14" i="1"/>
  <c r="U16" i="1" s="1"/>
  <c r="O14" i="1"/>
  <c r="D195" i="3"/>
  <c r="F195" i="3"/>
  <c r="G195" i="3"/>
  <c r="X195" i="3"/>
  <c r="D236" i="4"/>
  <c r="D220" i="4"/>
  <c r="D239" i="4" s="1"/>
  <c r="F188" i="3"/>
  <c r="N220" i="4"/>
  <c r="E220" i="4"/>
  <c r="O220" i="4"/>
  <c r="Y16" i="2"/>
  <c r="F197" i="4"/>
  <c r="O174" i="4"/>
  <c r="E174" i="4"/>
  <c r="D174" i="4"/>
  <c r="D187" i="4" s="1"/>
  <c r="W184" i="4"/>
  <c r="V184" i="4"/>
  <c r="Q184" i="4"/>
  <c r="P184" i="4"/>
  <c r="K184" i="4"/>
  <c r="J184" i="4"/>
  <c r="I184" i="4"/>
  <c r="H184" i="4"/>
  <c r="H187" i="4" s="1"/>
  <c r="G184" i="4"/>
  <c r="E184" i="4"/>
  <c r="O184" i="4"/>
  <c r="W174" i="4"/>
  <c r="W187" i="4" s="1"/>
  <c r="V174" i="4"/>
  <c r="Q174" i="4"/>
  <c r="P174" i="4"/>
  <c r="N174" i="4"/>
  <c r="N187" i="4" s="1"/>
  <c r="M174" i="4"/>
  <c r="M187" i="4" s="1"/>
  <c r="L174" i="4"/>
  <c r="K174" i="4"/>
  <c r="K187" i="4" s="1"/>
  <c r="J174" i="4"/>
  <c r="I174" i="4"/>
  <c r="I187" i="4" s="1"/>
  <c r="H174" i="4"/>
  <c r="X150" i="3"/>
  <c r="T150" i="3"/>
  <c r="S150" i="3"/>
  <c r="R150" i="3"/>
  <c r="Q150" i="3"/>
  <c r="N150" i="3"/>
  <c r="M150" i="3"/>
  <c r="L150" i="3"/>
  <c r="K150" i="3"/>
  <c r="J150" i="3"/>
  <c r="I150" i="3"/>
  <c r="H150" i="3"/>
  <c r="F150" i="3"/>
  <c r="D150" i="3"/>
  <c r="E150" i="3"/>
  <c r="T144" i="3"/>
  <c r="S144" i="3"/>
  <c r="S153" i="3" s="1"/>
  <c r="R144" i="3"/>
  <c r="R153" i="3" s="1"/>
  <c r="Q144" i="3"/>
  <c r="N144" i="3"/>
  <c r="M144" i="3"/>
  <c r="M153" i="3" s="1"/>
  <c r="L144" i="3"/>
  <c r="L153" i="3" s="1"/>
  <c r="K144" i="3"/>
  <c r="J144" i="3"/>
  <c r="J153" i="3" s="1"/>
  <c r="I144" i="3"/>
  <c r="I153" i="3" s="1"/>
  <c r="H144" i="3"/>
  <c r="H153" i="3" s="1"/>
  <c r="G144" i="3"/>
  <c r="G153" i="3" s="1"/>
  <c r="F144" i="3"/>
  <c r="F153" i="3" s="1"/>
  <c r="E144" i="3"/>
  <c r="E153" i="3" s="1"/>
  <c r="D144" i="3"/>
  <c r="X130" i="3"/>
  <c r="G130" i="3"/>
  <c r="E130" i="3"/>
  <c r="D130" i="3"/>
  <c r="D161" i="4"/>
  <c r="D17" i="2"/>
  <c r="D284" i="2"/>
  <c r="E17" i="2"/>
  <c r="E284" i="2"/>
  <c r="F17" i="2"/>
  <c r="F284" i="2"/>
  <c r="G17" i="2"/>
  <c r="G284" i="2"/>
  <c r="H17" i="2"/>
  <c r="H146" i="2"/>
  <c r="H284" i="2"/>
  <c r="I17" i="2"/>
  <c r="I284" i="2"/>
  <c r="J17" i="2"/>
  <c r="J284" i="2"/>
  <c r="K17" i="2"/>
  <c r="K284" i="2"/>
  <c r="L17" i="2"/>
  <c r="L284" i="2"/>
  <c r="M17" i="2"/>
  <c r="M284" i="2"/>
  <c r="N17" i="2"/>
  <c r="N284" i="2"/>
  <c r="O17" i="2"/>
  <c r="O284" i="2"/>
  <c r="P17" i="2"/>
  <c r="P146" i="2"/>
  <c r="P284" i="2"/>
  <c r="Q17" i="2"/>
  <c r="Q146" i="2"/>
  <c r="Q284" i="2"/>
  <c r="T17" i="2"/>
  <c r="T146" i="2"/>
  <c r="T284" i="2"/>
  <c r="W17" i="2"/>
  <c r="W146" i="2"/>
  <c r="W284" i="2"/>
  <c r="Z17" i="2"/>
  <c r="Z146" i="2"/>
  <c r="Z284" i="2"/>
  <c r="F152" i="4"/>
  <c r="F164" i="4" s="1"/>
  <c r="F123" i="3"/>
  <c r="O161" i="4"/>
  <c r="Q17" i="4"/>
  <c r="Q30" i="4"/>
  <c r="Q69" i="4"/>
  <c r="Q92" i="4"/>
  <c r="Q114" i="4" s="1"/>
  <c r="Q110" i="4"/>
  <c r="Q127" i="4"/>
  <c r="Q142" i="4" s="1"/>
  <c r="Q140" i="4"/>
  <c r="Q152" i="4"/>
  <c r="Q161" i="4"/>
  <c r="Q164" i="4" s="1"/>
  <c r="Q197" i="4"/>
  <c r="V17" i="4"/>
  <c r="V30" i="4"/>
  <c r="V48" i="4" s="1"/>
  <c r="V52" i="4" s="1"/>
  <c r="V69" i="4"/>
  <c r="V92" i="4"/>
  <c r="V110" i="4"/>
  <c r="V127" i="4"/>
  <c r="V140" i="4"/>
  <c r="V152" i="4"/>
  <c r="V161" i="4"/>
  <c r="V197" i="4"/>
  <c r="W17" i="4"/>
  <c r="X17" i="4" s="1"/>
  <c r="W30" i="4"/>
  <c r="W48" i="4" s="1"/>
  <c r="W69" i="4"/>
  <c r="W92" i="4"/>
  <c r="W114" i="4" s="1"/>
  <c r="W110" i="4"/>
  <c r="W127" i="4"/>
  <c r="W142" i="4" s="1"/>
  <c r="W140" i="4"/>
  <c r="W152" i="4"/>
  <c r="W161" i="4"/>
  <c r="W164" i="4" s="1"/>
  <c r="W197" i="4"/>
  <c r="X197" i="4" s="1"/>
  <c r="D17" i="4"/>
  <c r="E17" i="4"/>
  <c r="F17" i="4"/>
  <c r="G17" i="4"/>
  <c r="G30" i="4"/>
  <c r="G48" i="4" s="1"/>
  <c r="G69" i="4"/>
  <c r="G92" i="4"/>
  <c r="G110" i="4"/>
  <c r="H17" i="4"/>
  <c r="H30" i="4"/>
  <c r="H69" i="4"/>
  <c r="H92" i="4"/>
  <c r="H110" i="4"/>
  <c r="I17" i="4"/>
  <c r="I30" i="4"/>
  <c r="I48" i="4" s="1"/>
  <c r="I69" i="4"/>
  <c r="I92" i="4"/>
  <c r="I114" i="4" s="1"/>
  <c r="J17" i="4"/>
  <c r="J48" i="4"/>
  <c r="J92" i="4"/>
  <c r="J114" i="4" s="1"/>
  <c r="K17" i="4"/>
  <c r="K30" i="4"/>
  <c r="K69" i="4"/>
  <c r="K92" i="4"/>
  <c r="K110" i="4"/>
  <c r="L17" i="4"/>
  <c r="L30" i="4"/>
  <c r="L92" i="4"/>
  <c r="M17" i="4"/>
  <c r="M30" i="4"/>
  <c r="M48" i="4" s="1"/>
  <c r="M92" i="4"/>
  <c r="N17" i="4"/>
  <c r="N30" i="4"/>
  <c r="N69" i="4"/>
  <c r="N92" i="4"/>
  <c r="N110" i="4"/>
  <c r="O17" i="4"/>
  <c r="O30" i="4"/>
  <c r="O48" i="4" s="1"/>
  <c r="O52" i="4" s="1"/>
  <c r="O69" i="4"/>
  <c r="O92" i="4"/>
  <c r="O110" i="4"/>
  <c r="P17" i="4"/>
  <c r="P30" i="4"/>
  <c r="P69" i="4"/>
  <c r="P92" i="4"/>
  <c r="P110" i="4"/>
  <c r="D140" i="4"/>
  <c r="F127" i="4"/>
  <c r="F142" i="4" s="1"/>
  <c r="G127" i="4"/>
  <c r="G140" i="4"/>
  <c r="H127" i="4"/>
  <c r="H140" i="4"/>
  <c r="I127" i="4"/>
  <c r="I140" i="4"/>
  <c r="J127" i="4"/>
  <c r="J140" i="4"/>
  <c r="K127" i="4"/>
  <c r="K140" i="4"/>
  <c r="L127" i="4"/>
  <c r="L140" i="4"/>
  <c r="M127" i="4"/>
  <c r="M140" i="4"/>
  <c r="N127" i="4"/>
  <c r="N140" i="4"/>
  <c r="N142" i="4" s="1"/>
  <c r="O127" i="4"/>
  <c r="O140" i="4"/>
  <c r="P127" i="4"/>
  <c r="P140" i="4"/>
  <c r="G152" i="4"/>
  <c r="H152" i="4"/>
  <c r="I152" i="4"/>
  <c r="J152" i="4"/>
  <c r="K152" i="4"/>
  <c r="L152" i="4"/>
  <c r="M152" i="4"/>
  <c r="N152" i="4"/>
  <c r="O152" i="4"/>
  <c r="O164" i="4" s="1"/>
  <c r="P152" i="4"/>
  <c r="P164" i="4" s="1"/>
  <c r="G161" i="4"/>
  <c r="H161" i="4"/>
  <c r="I161" i="4"/>
  <c r="I164" i="4"/>
  <c r="J161" i="4"/>
  <c r="K161" i="4"/>
  <c r="L161" i="4"/>
  <c r="M161" i="4"/>
  <c r="P161" i="4"/>
  <c r="K197" i="4"/>
  <c r="L197" i="4"/>
  <c r="M197" i="4"/>
  <c r="N197" i="4"/>
  <c r="O197" i="4"/>
  <c r="P197" i="4"/>
  <c r="E197" i="4"/>
  <c r="G197" i="4"/>
  <c r="H197" i="4"/>
  <c r="I197" i="4"/>
  <c r="J197" i="4"/>
  <c r="D197" i="4"/>
  <c r="E16" i="3"/>
  <c r="E28" i="3"/>
  <c r="E40" i="3"/>
  <c r="E70" i="3"/>
  <c r="E86" i="3"/>
  <c r="E101" i="3"/>
  <c r="F16" i="3"/>
  <c r="F28" i="3"/>
  <c r="F42" i="3" s="1"/>
  <c r="F43" i="3" s="1"/>
  <c r="F49" i="3" s="1"/>
  <c r="F50" i="3" s="1"/>
  <c r="F70" i="3"/>
  <c r="F101" i="3"/>
  <c r="D16" i="3"/>
  <c r="D28" i="3"/>
  <c r="D42" i="3" s="1"/>
  <c r="D70" i="3"/>
  <c r="D90" i="3" s="1"/>
  <c r="D86" i="3"/>
  <c r="D101" i="3"/>
  <c r="D110" i="3"/>
  <c r="D123" i="3"/>
  <c r="G16" i="3"/>
  <c r="G28" i="3"/>
  <c r="G40" i="3"/>
  <c r="G70" i="3"/>
  <c r="G86" i="3"/>
  <c r="G101" i="3"/>
  <c r="G113" i="3" s="1"/>
  <c r="G123" i="3"/>
  <c r="G133" i="3" s="1"/>
  <c r="H16" i="3"/>
  <c r="H28" i="3"/>
  <c r="H70" i="3"/>
  <c r="H86" i="3"/>
  <c r="H101" i="3"/>
  <c r="H123" i="3"/>
  <c r="H130" i="3"/>
  <c r="H133" i="3" s="1"/>
  <c r="I16" i="3"/>
  <c r="I28" i="3"/>
  <c r="I40" i="3"/>
  <c r="I70" i="3"/>
  <c r="I86" i="3"/>
  <c r="I101" i="3"/>
  <c r="I110" i="3"/>
  <c r="I123" i="3"/>
  <c r="I130" i="3"/>
  <c r="J16" i="3"/>
  <c r="J28" i="3"/>
  <c r="J40" i="3"/>
  <c r="J70" i="3"/>
  <c r="J86" i="3"/>
  <c r="J101" i="3"/>
  <c r="J110" i="3"/>
  <c r="J113" i="3" s="1"/>
  <c r="J123" i="3"/>
  <c r="J130" i="3"/>
  <c r="K16" i="3"/>
  <c r="K28" i="3"/>
  <c r="K40" i="3"/>
  <c r="K70" i="3"/>
  <c r="K90" i="3" s="1"/>
  <c r="K86" i="3"/>
  <c r="K101" i="3"/>
  <c r="K110" i="3"/>
  <c r="K123" i="3"/>
  <c r="K130" i="3"/>
  <c r="L16" i="3"/>
  <c r="L28" i="3"/>
  <c r="L40" i="3"/>
  <c r="L70" i="3"/>
  <c r="L86" i="3"/>
  <c r="L101" i="3"/>
  <c r="L110" i="3"/>
  <c r="L123" i="3"/>
  <c r="L130" i="3"/>
  <c r="M16" i="3"/>
  <c r="M28" i="3"/>
  <c r="M40" i="3"/>
  <c r="M70" i="3"/>
  <c r="M86" i="3"/>
  <c r="M101" i="3"/>
  <c r="M110" i="3"/>
  <c r="M123" i="3"/>
  <c r="M130" i="3"/>
  <c r="N16" i="3"/>
  <c r="N28" i="3"/>
  <c r="N40" i="3"/>
  <c r="N42" i="3" s="1"/>
  <c r="N70" i="3"/>
  <c r="N86" i="3"/>
  <c r="N101" i="3"/>
  <c r="N110" i="3"/>
  <c r="N123" i="3"/>
  <c r="Q42" i="3"/>
  <c r="Q70" i="3"/>
  <c r="Q86" i="3"/>
  <c r="Q101" i="3"/>
  <c r="Q110" i="3"/>
  <c r="Q123" i="3"/>
  <c r="Q130" i="3"/>
  <c r="R42" i="3"/>
  <c r="R70" i="3"/>
  <c r="R86" i="3"/>
  <c r="R101" i="3"/>
  <c r="R110" i="3"/>
  <c r="R113" i="3" s="1"/>
  <c r="R123" i="3"/>
  <c r="R130" i="3"/>
  <c r="S28" i="3"/>
  <c r="S40" i="3"/>
  <c r="S70" i="3"/>
  <c r="S86" i="3"/>
  <c r="S101" i="3"/>
  <c r="S110" i="3"/>
  <c r="S123" i="3"/>
  <c r="S133" i="3" s="1"/>
  <c r="S130" i="3"/>
  <c r="T16" i="3"/>
  <c r="T28" i="3"/>
  <c r="T40" i="3"/>
  <c r="T70" i="3"/>
  <c r="T86" i="3"/>
  <c r="T101" i="3"/>
  <c r="T110" i="3"/>
  <c r="T123" i="3"/>
  <c r="T130" i="3"/>
  <c r="D163" i="3"/>
  <c r="E163" i="3"/>
  <c r="F163" i="3"/>
  <c r="G163" i="3"/>
  <c r="H163" i="3"/>
  <c r="I163" i="3"/>
  <c r="J163" i="3"/>
  <c r="K163" i="3"/>
  <c r="L163" i="3"/>
  <c r="M163" i="3"/>
  <c r="N163" i="3"/>
  <c r="Q163" i="3"/>
  <c r="R163" i="3"/>
  <c r="S163" i="3"/>
  <c r="T163" i="3"/>
  <c r="X16" i="3"/>
  <c r="X40" i="3"/>
  <c r="X86" i="3"/>
  <c r="X110" i="3"/>
  <c r="X163" i="3"/>
  <c r="S16" i="1"/>
  <c r="S42" i="1"/>
  <c r="S92" i="1"/>
  <c r="M16" i="1"/>
  <c r="M42" i="1"/>
  <c r="M92" i="1"/>
  <c r="M104" i="1"/>
  <c r="N16" i="1"/>
  <c r="N42" i="1"/>
  <c r="N104" i="1"/>
  <c r="R16" i="1"/>
  <c r="R43" i="1" s="1"/>
  <c r="R45" i="1" s="1"/>
  <c r="R46" i="1" s="1"/>
  <c r="R92" i="1"/>
  <c r="R104" i="1"/>
  <c r="T16" i="1"/>
  <c r="T42" i="1"/>
  <c r="T92" i="1"/>
  <c r="T104" i="1"/>
  <c r="E16" i="1"/>
  <c r="E42" i="1"/>
  <c r="E92" i="1"/>
  <c r="E104" i="1"/>
  <c r="F16" i="1"/>
  <c r="F42" i="1"/>
  <c r="F92" i="1"/>
  <c r="F104" i="1"/>
  <c r="L16" i="1"/>
  <c r="L42" i="1"/>
  <c r="L92" i="1"/>
  <c r="L104" i="1"/>
  <c r="J16" i="1"/>
  <c r="J42" i="1"/>
  <c r="J104" i="1"/>
  <c r="D16" i="1"/>
  <c r="D104" i="1"/>
  <c r="G16" i="1"/>
  <c r="G42" i="1"/>
  <c r="G104" i="1"/>
  <c r="H16" i="1"/>
  <c r="H104" i="1"/>
  <c r="I16" i="1"/>
  <c r="I104" i="1"/>
  <c r="K16" i="1"/>
  <c r="K104" i="1"/>
  <c r="Q16" i="1"/>
  <c r="Q42" i="1"/>
  <c r="Q92" i="1"/>
  <c r="Q104" i="1"/>
  <c r="W100" i="3"/>
  <c r="Q188" i="3"/>
  <c r="Q195" i="3"/>
  <c r="R188" i="3"/>
  <c r="R195" i="3"/>
  <c r="Y16" i="4"/>
  <c r="D188" i="3"/>
  <c r="G188" i="3"/>
  <c r="G198" i="3" s="1"/>
  <c r="L195" i="3"/>
  <c r="G220" i="4"/>
  <c r="G236" i="4"/>
  <c r="G239" i="4" s="1"/>
  <c r="H220" i="4"/>
  <c r="H236" i="4"/>
  <c r="I236" i="4"/>
  <c r="K220" i="4"/>
  <c r="K239" i="4" s="1"/>
  <c r="K236" i="4"/>
  <c r="L220" i="4"/>
  <c r="L236" i="4"/>
  <c r="M220" i="4"/>
  <c r="M239" i="4" s="1"/>
  <c r="M236" i="4"/>
  <c r="N236" i="4"/>
  <c r="N239" i="4" s="1"/>
  <c r="O236" i="4"/>
  <c r="O239" i="4" s="1"/>
  <c r="P220" i="4"/>
  <c r="P236" i="4"/>
  <c r="Q220" i="4"/>
  <c r="Q236" i="4"/>
  <c r="Q239" i="4" s="1"/>
  <c r="V220" i="4"/>
  <c r="V236" i="4"/>
  <c r="W220" i="4"/>
  <c r="W239" i="4"/>
  <c r="W236" i="4"/>
  <c r="L188" i="3"/>
  <c r="L198" i="3" s="1"/>
  <c r="H188" i="3"/>
  <c r="H198" i="3" s="1"/>
  <c r="H195" i="3"/>
  <c r="I188" i="3"/>
  <c r="I195" i="3"/>
  <c r="J188" i="3"/>
  <c r="J195" i="3"/>
  <c r="K188" i="3"/>
  <c r="K195" i="3"/>
  <c r="M188" i="3"/>
  <c r="M195" i="3"/>
  <c r="N188" i="3"/>
  <c r="S188" i="3"/>
  <c r="S198" i="3" s="1"/>
  <c r="S195" i="3"/>
  <c r="T188" i="3"/>
  <c r="T195" i="3"/>
  <c r="T198" i="3" s="1"/>
  <c r="W111" i="3"/>
  <c r="I497" i="3"/>
  <c r="I405" i="1"/>
  <c r="E152" i="4"/>
  <c r="E164" i="4" s="1"/>
  <c r="N184" i="4"/>
  <c r="D152" i="4"/>
  <c r="D164" i="4" s="1"/>
  <c r="F236" i="4"/>
  <c r="N161" i="4"/>
  <c r="N164" i="4" s="1"/>
  <c r="E236" i="4"/>
  <c r="D127" i="4"/>
  <c r="D142" i="4" s="1"/>
  <c r="N146" i="2"/>
  <c r="O146" i="2"/>
  <c r="E123" i="3"/>
  <c r="N130" i="3"/>
  <c r="X188" i="3"/>
  <c r="X198" i="3" s="1"/>
  <c r="N195" i="3"/>
  <c r="E110" i="3"/>
  <c r="E195" i="3"/>
  <c r="E198" i="3" s="1"/>
  <c r="X70" i="3"/>
  <c r="X90" i="3" s="1"/>
  <c r="E188" i="3"/>
  <c r="I220" i="4"/>
  <c r="I239" i="4" s="1"/>
  <c r="F220" i="4"/>
  <c r="X173" i="2"/>
  <c r="L110" i="4"/>
  <c r="D110" i="4"/>
  <c r="R57" i="4"/>
  <c r="D69" i="4"/>
  <c r="E110" i="4"/>
  <c r="F86" i="3"/>
  <c r="R95" i="4"/>
  <c r="Y95" i="4" s="1"/>
  <c r="F110" i="4"/>
  <c r="R158" i="2"/>
  <c r="O51" i="1"/>
  <c r="K92" i="1"/>
  <c r="I92" i="1"/>
  <c r="J92" i="1"/>
  <c r="H92" i="1"/>
  <c r="D92" i="1"/>
  <c r="O50" i="1"/>
  <c r="E127" i="4"/>
  <c r="E142" i="4" s="1"/>
  <c r="W161" i="3"/>
  <c r="R166" i="2"/>
  <c r="R135" i="2"/>
  <c r="R152" i="2"/>
  <c r="R165" i="2"/>
  <c r="D146" i="2"/>
  <c r="R155" i="2"/>
  <c r="R164" i="2"/>
  <c r="R170" i="2"/>
  <c r="R159" i="2"/>
  <c r="R162" i="2"/>
  <c r="R169" i="2"/>
  <c r="R107" i="2"/>
  <c r="R188" i="2"/>
  <c r="R109" i="2"/>
  <c r="R182" i="4"/>
  <c r="Y182" i="4" s="1"/>
  <c r="F110" i="3"/>
  <c r="F113" i="3" s="1"/>
  <c r="H110" i="3"/>
  <c r="H113" i="3" s="1"/>
  <c r="X144" i="3"/>
  <c r="F130" i="3"/>
  <c r="F133" i="3" s="1"/>
  <c r="O125" i="3"/>
  <c r="W120" i="3"/>
  <c r="O147" i="3"/>
  <c r="Y181" i="4"/>
  <c r="Y120" i="4"/>
  <c r="R177" i="4"/>
  <c r="Y177" i="4" s="1"/>
  <c r="R168" i="4"/>
  <c r="Y168" i="4" s="1"/>
  <c r="R180" i="4"/>
  <c r="E161" i="4"/>
  <c r="Y158" i="4"/>
  <c r="R176" i="4"/>
  <c r="Y176" i="4" s="1"/>
  <c r="L184" i="4"/>
  <c r="Y159" i="4"/>
  <c r="Y153" i="4"/>
  <c r="Y147" i="4"/>
  <c r="S113" i="3"/>
  <c r="W157" i="3"/>
  <c r="J198" i="3"/>
  <c r="W179" i="3"/>
  <c r="W169" i="3"/>
  <c r="O105" i="3"/>
  <c r="X133" i="3"/>
  <c r="W175" i="3"/>
  <c r="L113" i="3"/>
  <c r="W128" i="3"/>
  <c r="U188" i="3"/>
  <c r="U110" i="3"/>
  <c r="Y150" i="4"/>
  <c r="W125" i="3"/>
  <c r="J90" i="3"/>
  <c r="O16" i="3"/>
  <c r="W14" i="3"/>
  <c r="W16" i="3" s="1"/>
  <c r="J133" i="3"/>
  <c r="E133" i="3"/>
  <c r="W103" i="3"/>
  <c r="W118" i="3"/>
  <c r="L187" i="4"/>
  <c r="R81" i="2"/>
  <c r="Y81" i="2" s="1"/>
  <c r="V187" i="4"/>
  <c r="D30" i="4"/>
  <c r="Y196" i="4"/>
  <c r="W176" i="3"/>
  <c r="W173" i="3"/>
  <c r="W93" i="3"/>
  <c r="W190" i="3"/>
  <c r="W72" i="3"/>
  <c r="O86" i="3"/>
  <c r="O163" i="3"/>
  <c r="J42" i="3"/>
  <c r="J43" i="3" s="1"/>
  <c r="J49" i="3" s="1"/>
  <c r="J50" i="3" s="1"/>
  <c r="O123" i="3"/>
  <c r="W116" i="3"/>
  <c r="W104" i="3"/>
  <c r="O101" i="3"/>
  <c r="W137" i="3"/>
  <c r="U163" i="3"/>
  <c r="U195" i="3"/>
  <c r="U30" i="1"/>
  <c r="W30" i="1" s="1"/>
  <c r="O25" i="1"/>
  <c r="O31" i="3"/>
  <c r="W31" i="3" s="1"/>
  <c r="N48" i="4"/>
  <c r="Y207" i="4"/>
  <c r="R66" i="4"/>
  <c r="K164" i="4"/>
  <c r="Y217" i="4"/>
  <c r="Y230" i="4"/>
  <c r="P48" i="4"/>
  <c r="K48" i="4"/>
  <c r="K52" i="4" s="1"/>
  <c r="T48" i="4"/>
  <c r="T52" i="4" s="1"/>
  <c r="T71" i="4" s="1"/>
  <c r="J142" i="4"/>
  <c r="Y112" i="4"/>
  <c r="Y130" i="4"/>
  <c r="Y200" i="4"/>
  <c r="T114" i="4"/>
  <c r="Y190" i="4"/>
  <c r="L142" i="4"/>
  <c r="R34" i="4"/>
  <c r="Y34" i="4" s="1"/>
  <c r="L69" i="4"/>
  <c r="G164" i="4"/>
  <c r="U164" i="4"/>
  <c r="X152" i="4"/>
  <c r="U239" i="4"/>
  <c r="Y74" i="4"/>
  <c r="Y32" i="4"/>
  <c r="Y80" i="4"/>
  <c r="Y81" i="4"/>
  <c r="G96" i="2"/>
  <c r="R103" i="2"/>
  <c r="R127" i="2"/>
  <c r="R22" i="2"/>
  <c r="R60" i="2"/>
  <c r="W24" i="3"/>
  <c r="W26" i="3"/>
  <c r="W19" i="3"/>
  <c r="W32" i="3"/>
  <c r="Y77" i="4"/>
  <c r="R78" i="2"/>
  <c r="J96" i="2"/>
  <c r="Y74" i="2"/>
  <c r="Y29" i="2"/>
  <c r="O19" i="1"/>
  <c r="D42" i="1"/>
  <c r="Y27" i="2"/>
  <c r="D96" i="2"/>
  <c r="K96" i="2"/>
  <c r="R117" i="2"/>
  <c r="R21" i="2"/>
  <c r="R18" i="2"/>
  <c r="J146" i="2"/>
  <c r="R76" i="2"/>
  <c r="F96" i="2"/>
  <c r="R85" i="2"/>
  <c r="F146" i="2"/>
  <c r="L96" i="2"/>
  <c r="Z96" i="2"/>
  <c r="O114" i="4" l="1"/>
  <c r="P114" i="4"/>
  <c r="K114" i="4"/>
  <c r="X92" i="4"/>
  <c r="D114" i="4"/>
  <c r="M114" i="4"/>
  <c r="E114" i="4"/>
  <c r="S90" i="3"/>
  <c r="N90" i="3"/>
  <c r="E90" i="3"/>
  <c r="Y107" i="2"/>
  <c r="W40" i="1"/>
  <c r="W74" i="1"/>
  <c r="W78" i="1"/>
  <c r="W50" i="1"/>
  <c r="W80" i="1"/>
  <c r="W90" i="1"/>
  <c r="D43" i="1"/>
  <c r="D45" i="1" s="1"/>
  <c r="D46" i="1" s="1"/>
  <c r="D105" i="1" s="1"/>
  <c r="Y103" i="4"/>
  <c r="W54" i="3"/>
  <c r="W58" i="3"/>
  <c r="W62" i="3"/>
  <c r="W66" i="3"/>
  <c r="T113" i="3"/>
  <c r="T153" i="3"/>
  <c r="W23" i="3"/>
  <c r="W163" i="3"/>
  <c r="I198" i="3"/>
  <c r="M133" i="3"/>
  <c r="K113" i="3"/>
  <c r="I90" i="3"/>
  <c r="I91" i="3" s="1"/>
  <c r="I92" i="3" s="1"/>
  <c r="O130" i="3"/>
  <c r="W94" i="3"/>
  <c r="W165" i="3"/>
  <c r="X113" i="3"/>
  <c r="T90" i="3"/>
  <c r="Q133" i="3"/>
  <c r="Q90" i="3"/>
  <c r="Q91" i="3" s="1"/>
  <c r="Q92" i="3" s="1"/>
  <c r="N113" i="3"/>
  <c r="M113" i="3"/>
  <c r="K133" i="3"/>
  <c r="U28" i="3"/>
  <c r="W22" i="3"/>
  <c r="W60" i="3"/>
  <c r="M90" i="3"/>
  <c r="H90" i="3"/>
  <c r="W52" i="1"/>
  <c r="W57" i="1"/>
  <c r="W63" i="1"/>
  <c r="W94" i="1"/>
  <c r="W98" i="1"/>
  <c r="W102" i="1"/>
  <c r="W76" i="1"/>
  <c r="Y133" i="2"/>
  <c r="U70" i="3"/>
  <c r="F90" i="3"/>
  <c r="F91" i="3" s="1"/>
  <c r="F92" i="3" s="1"/>
  <c r="Y192" i="2"/>
  <c r="Y204" i="2"/>
  <c r="Y214" i="2"/>
  <c r="Y229" i="2"/>
  <c r="L90" i="3"/>
  <c r="W18" i="3"/>
  <c r="O28" i="3"/>
  <c r="W28" i="3" s="1"/>
  <c r="W55" i="3"/>
  <c r="W59" i="3"/>
  <c r="W63" i="3"/>
  <c r="W56" i="3"/>
  <c r="W64" i="3"/>
  <c r="R90" i="3"/>
  <c r="R91" i="3" s="1"/>
  <c r="R92" i="3" s="1"/>
  <c r="Y53" i="2"/>
  <c r="W20" i="1"/>
  <c r="W25" i="1"/>
  <c r="W28" i="1"/>
  <c r="V114" i="4"/>
  <c r="W55" i="1"/>
  <c r="W62" i="1"/>
  <c r="W66" i="1"/>
  <c r="W70" i="1"/>
  <c r="W73" i="1"/>
  <c r="W77" i="1"/>
  <c r="X274" i="2"/>
  <c r="Y188" i="2"/>
  <c r="Y170" i="2"/>
  <c r="Y178" i="2"/>
  <c r="Y59" i="2"/>
  <c r="Y160" i="2"/>
  <c r="R274" i="2"/>
  <c r="Y94" i="2"/>
  <c r="H114" i="4"/>
  <c r="Y150" i="2"/>
  <c r="Y155" i="4"/>
  <c r="R161" i="4"/>
  <c r="L239" i="4"/>
  <c r="O142" i="4"/>
  <c r="M142" i="4"/>
  <c r="K142" i="4"/>
  <c r="G142" i="4"/>
  <c r="P187" i="4"/>
  <c r="E187" i="4"/>
  <c r="Y131" i="4"/>
  <c r="J164" i="4"/>
  <c r="X127" i="4"/>
  <c r="T187" i="4"/>
  <c r="X187" i="4" s="1"/>
  <c r="X236" i="4"/>
  <c r="Y121" i="4"/>
  <c r="X174" i="4"/>
  <c r="H239" i="4"/>
  <c r="R152" i="4"/>
  <c r="Y152" i="4" s="1"/>
  <c r="P142" i="4"/>
  <c r="X140" i="4"/>
  <c r="Y215" i="4"/>
  <c r="Y219" i="4"/>
  <c r="Y224" i="4"/>
  <c r="Y228" i="4"/>
  <c r="Y232" i="4"/>
  <c r="Y134" i="4"/>
  <c r="J52" i="4"/>
  <c r="J71" i="4" s="1"/>
  <c r="J72" i="4" s="1"/>
  <c r="H48" i="4"/>
  <c r="H52" i="4" s="1"/>
  <c r="P52" i="4"/>
  <c r="P71" i="4" s="1"/>
  <c r="P72" i="4" s="1"/>
  <c r="Y64" i="4"/>
  <c r="Y37" i="4"/>
  <c r="Y39" i="4"/>
  <c r="Y35" i="4"/>
  <c r="Q48" i="4"/>
  <c r="Q52" i="4" s="1"/>
  <c r="Q71" i="4" s="1"/>
  <c r="Q72" i="4" s="1"/>
  <c r="Q115" i="4" s="1"/>
  <c r="Q116" i="4" s="1"/>
  <c r="Q143" i="4" s="1"/>
  <c r="Q144" i="4" s="1"/>
  <c r="Q165" i="4" s="1"/>
  <c r="Q166" i="4" s="1"/>
  <c r="Q188" i="4" s="1"/>
  <c r="Q201" i="4" s="1"/>
  <c r="Q202" i="4" s="1"/>
  <c r="Q240" i="4" s="1"/>
  <c r="Q246" i="4" s="1"/>
  <c r="Y56" i="4"/>
  <c r="Y67" i="4"/>
  <c r="Q187" i="4"/>
  <c r="Y96" i="4"/>
  <c r="Y132" i="4"/>
  <c r="P115" i="4"/>
  <c r="P116" i="4" s="1"/>
  <c r="F239" i="4"/>
  <c r="L164" i="4"/>
  <c r="H164" i="4"/>
  <c r="G114" i="4"/>
  <c r="X161" i="4"/>
  <c r="R184" i="4"/>
  <c r="Y184" i="4" s="1"/>
  <c r="J187" i="4"/>
  <c r="R187" i="4" s="1"/>
  <c r="O187" i="4"/>
  <c r="E239" i="4"/>
  <c r="Y146" i="4"/>
  <c r="Y206" i="4"/>
  <c r="Y210" i="4"/>
  <c r="Y75" i="4"/>
  <c r="Y100" i="4"/>
  <c r="Y235" i="4"/>
  <c r="U114" i="4"/>
  <c r="X114" i="4" s="1"/>
  <c r="P239" i="4"/>
  <c r="J115" i="4"/>
  <c r="J116" i="4" s="1"/>
  <c r="J143" i="4" s="1"/>
  <c r="J144" i="4" s="1"/>
  <c r="V164" i="4"/>
  <c r="X164" i="4" s="1"/>
  <c r="T239" i="4"/>
  <c r="Y78" i="4"/>
  <c r="Y203" i="4"/>
  <c r="Y214" i="4"/>
  <c r="Y218" i="4"/>
  <c r="Y223" i="4"/>
  <c r="Y225" i="4"/>
  <c r="Y178" i="4"/>
  <c r="Y157" i="4"/>
  <c r="M164" i="4"/>
  <c r="I142" i="4"/>
  <c r="N114" i="4"/>
  <c r="Y82" i="4"/>
  <c r="Y171" i="4"/>
  <c r="Y231" i="4"/>
  <c r="Y154" i="4"/>
  <c r="Y170" i="4"/>
  <c r="W34" i="3"/>
  <c r="Q43" i="3"/>
  <c r="Q49" i="3" s="1"/>
  <c r="Q50" i="3" s="1"/>
  <c r="W45" i="3"/>
  <c r="W38" i="3"/>
  <c r="W123" i="3"/>
  <c r="I133" i="3"/>
  <c r="W139" i="3"/>
  <c r="U123" i="3"/>
  <c r="U133" i="3" s="1"/>
  <c r="U144" i="3"/>
  <c r="O188" i="3"/>
  <c r="O198" i="3" s="1"/>
  <c r="W127" i="3"/>
  <c r="O110" i="3"/>
  <c r="U150" i="3"/>
  <c r="M198" i="3"/>
  <c r="D198" i="3"/>
  <c r="Q113" i="3"/>
  <c r="N133" i="3"/>
  <c r="D153" i="3"/>
  <c r="K153" i="3"/>
  <c r="N153" i="3"/>
  <c r="W106" i="3"/>
  <c r="O133" i="3"/>
  <c r="W144" i="3"/>
  <c r="O144" i="3"/>
  <c r="O195" i="3"/>
  <c r="T133" i="3"/>
  <c r="I113" i="3"/>
  <c r="F198" i="3"/>
  <c r="W158" i="3"/>
  <c r="W172" i="3"/>
  <c r="W180" i="3"/>
  <c r="W184" i="3"/>
  <c r="U198" i="3"/>
  <c r="N198" i="3"/>
  <c r="R133" i="3"/>
  <c r="G90" i="3"/>
  <c r="Q153" i="3"/>
  <c r="X153" i="3"/>
  <c r="W73" i="3"/>
  <c r="U101" i="3"/>
  <c r="U113" i="3" s="1"/>
  <c r="W97" i="3"/>
  <c r="W101" i="3"/>
  <c r="K198" i="3"/>
  <c r="R198" i="3"/>
  <c r="E113" i="3"/>
  <c r="D133" i="3"/>
  <c r="W191" i="3"/>
  <c r="W195" i="3" s="1"/>
  <c r="W105" i="3"/>
  <c r="W130" i="3"/>
  <c r="W160" i="3"/>
  <c r="W185" i="3"/>
  <c r="O113" i="3"/>
  <c r="L133" i="3"/>
  <c r="U153" i="3"/>
  <c r="W95" i="1"/>
  <c r="Y169" i="2"/>
  <c r="Y175" i="2"/>
  <c r="Y134" i="2"/>
  <c r="Y139" i="2"/>
  <c r="Y143" i="2"/>
  <c r="G100" i="2"/>
  <c r="G147" i="2" s="1"/>
  <c r="G148" i="2" s="1"/>
  <c r="G285" i="2" s="1"/>
  <c r="G289" i="2" s="1"/>
  <c r="Y114" i="2"/>
  <c r="Y205" i="2"/>
  <c r="W93" i="1"/>
  <c r="W100" i="1"/>
  <c r="W51" i="1"/>
  <c r="W97" i="1"/>
  <c r="W101" i="1"/>
  <c r="K100" i="2"/>
  <c r="K147" i="2" s="1"/>
  <c r="K148" i="2" s="1"/>
  <c r="K285" i="2" s="1"/>
  <c r="K289" i="2" s="1"/>
  <c r="Y93" i="2"/>
  <c r="Y65" i="2"/>
  <c r="Y111" i="2"/>
  <c r="Y41" i="2"/>
  <c r="Y116" i="2"/>
  <c r="Y121" i="2"/>
  <c r="Y110" i="2"/>
  <c r="Y140" i="2"/>
  <c r="Y144" i="2"/>
  <c r="Y58" i="4"/>
  <c r="Y66" i="4"/>
  <c r="X69" i="4"/>
  <c r="Y54" i="4"/>
  <c r="O71" i="4"/>
  <c r="O72" i="4" s="1"/>
  <c r="O115" i="4" s="1"/>
  <c r="O116" i="4" s="1"/>
  <c r="O143" i="4" s="1"/>
  <c r="O144" i="4" s="1"/>
  <c r="O165" i="4" s="1"/>
  <c r="O166" i="4" s="1"/>
  <c r="O188" i="4" s="1"/>
  <c r="O201" i="4" s="1"/>
  <c r="O202" i="4" s="1"/>
  <c r="O240" i="4" s="1"/>
  <c r="O246" i="4" s="1"/>
  <c r="K71" i="4"/>
  <c r="K72" i="4" s="1"/>
  <c r="Y62" i="4"/>
  <c r="Y115" i="2"/>
  <c r="Y120" i="2"/>
  <c r="Y129" i="2"/>
  <c r="Y84" i="4"/>
  <c r="Y88" i="4"/>
  <c r="Y25" i="4"/>
  <c r="Y38" i="4"/>
  <c r="Y65" i="4"/>
  <c r="Y33" i="4"/>
  <c r="Y87" i="4"/>
  <c r="Y57" i="4"/>
  <c r="Y61" i="4"/>
  <c r="Y19" i="4"/>
  <c r="Y21" i="4"/>
  <c r="Y23" i="4"/>
  <c r="N52" i="4"/>
  <c r="N71" i="4" s="1"/>
  <c r="N72" i="4" s="1"/>
  <c r="W33" i="3"/>
  <c r="W37" i="3"/>
  <c r="K42" i="3"/>
  <c r="W36" i="3"/>
  <c r="M42" i="3"/>
  <c r="I42" i="3"/>
  <c r="I43" i="3" s="1"/>
  <c r="I49" i="3" s="1"/>
  <c r="I50" i="3" s="1"/>
  <c r="T42" i="3"/>
  <c r="T43" i="3" s="1"/>
  <c r="T49" i="3" s="1"/>
  <c r="T50" i="3" s="1"/>
  <c r="T91" i="3" s="1"/>
  <c r="T92" i="3" s="1"/>
  <c r="K43" i="3"/>
  <c r="K49" i="3" s="1"/>
  <c r="K50" i="3" s="1"/>
  <c r="K91" i="3" s="1"/>
  <c r="K92" i="3" s="1"/>
  <c r="S42" i="3"/>
  <c r="S43" i="3" s="1"/>
  <c r="S49" i="3" s="1"/>
  <c r="S50" i="3" s="1"/>
  <c r="G42" i="3"/>
  <c r="E42" i="3"/>
  <c r="E43" i="3" s="1"/>
  <c r="E49" i="3" s="1"/>
  <c r="E50" i="3" s="1"/>
  <c r="E114" i="3" s="1"/>
  <c r="E115" i="3" s="1"/>
  <c r="E134" i="3" s="1"/>
  <c r="L42" i="3"/>
  <c r="L43" i="3" s="1"/>
  <c r="L49" i="3" s="1"/>
  <c r="L50" i="3" s="1"/>
  <c r="L91" i="3" s="1"/>
  <c r="L92" i="3" s="1"/>
  <c r="T100" i="2"/>
  <c r="T147" i="2" s="1"/>
  <c r="T148" i="2" s="1"/>
  <c r="T285" i="2" s="1"/>
  <c r="T289" i="2" s="1"/>
  <c r="Y78" i="2"/>
  <c r="Y136" i="2"/>
  <c r="Y190" i="2"/>
  <c r="Y200" i="2"/>
  <c r="Y104" i="2"/>
  <c r="Y185" i="2"/>
  <c r="Y195" i="2"/>
  <c r="Y199" i="2"/>
  <c r="Y272" i="2"/>
  <c r="Y151" i="2"/>
  <c r="Y183" i="2"/>
  <c r="Y179" i="2"/>
  <c r="W58" i="1"/>
  <c r="W68" i="1"/>
  <c r="W71" i="1"/>
  <c r="W65" i="1"/>
  <c r="W36" i="1"/>
  <c r="W29" i="1"/>
  <c r="W35" i="1"/>
  <c r="J43" i="1"/>
  <c r="J45" i="1" s="1"/>
  <c r="J46" i="1" s="1"/>
  <c r="J105" i="1" s="1"/>
  <c r="E43" i="1"/>
  <c r="E45" i="1" s="1"/>
  <c r="E46" i="1" s="1"/>
  <c r="E105" i="1" s="1"/>
  <c r="T43" i="1"/>
  <c r="T45" i="1" s="1"/>
  <c r="T46" i="1" s="1"/>
  <c r="T105" i="1" s="1"/>
  <c r="W54" i="1"/>
  <c r="O92" i="1"/>
  <c r="W49" i="1"/>
  <c r="Y164" i="2"/>
  <c r="Y187" i="2"/>
  <c r="Y156" i="2"/>
  <c r="Y70" i="2"/>
  <c r="Y158" i="2"/>
  <c r="Y177" i="2"/>
  <c r="Y157" i="2"/>
  <c r="Y55" i="2"/>
  <c r="Y72" i="2"/>
  <c r="Y83" i="2"/>
  <c r="Y162" i="2"/>
  <c r="Y166" i="2"/>
  <c r="Y196" i="2"/>
  <c r="Y167" i="2"/>
  <c r="Y32" i="2"/>
  <c r="Y61" i="2"/>
  <c r="Y206" i="2"/>
  <c r="Y276" i="2"/>
  <c r="Y216" i="2"/>
  <c r="Y223" i="2"/>
  <c r="Y227" i="2"/>
  <c r="Y231" i="2"/>
  <c r="Y112" i="2"/>
  <c r="Y168" i="2"/>
  <c r="Y176" i="2"/>
  <c r="Y31" i="2"/>
  <c r="Y118" i="2"/>
  <c r="Y34" i="2"/>
  <c r="Y89" i="2"/>
  <c r="Y88" i="2"/>
  <c r="Q43" i="1"/>
  <c r="Q45" i="1" s="1"/>
  <c r="Q46" i="1" s="1"/>
  <c r="Q105" i="1" s="1"/>
  <c r="G43" i="1"/>
  <c r="G45" i="1" s="1"/>
  <c r="G46" i="1" s="1"/>
  <c r="G105" i="1" s="1"/>
  <c r="R105" i="1"/>
  <c r="N43" i="1"/>
  <c r="N45" i="1" s="1"/>
  <c r="N46" i="1" s="1"/>
  <c r="N105" i="1" s="1"/>
  <c r="W69" i="1"/>
  <c r="W72" i="1"/>
  <c r="W75" i="1"/>
  <c r="W27" i="1"/>
  <c r="W48" i="1"/>
  <c r="K43" i="1"/>
  <c r="K45" i="1" s="1"/>
  <c r="K46" i="1" s="1"/>
  <c r="K105" i="1" s="1"/>
  <c r="W79" i="1"/>
  <c r="W39" i="1"/>
  <c r="U42" i="1"/>
  <c r="U43" i="1" s="1"/>
  <c r="U45" i="1" s="1"/>
  <c r="U46" i="1" s="1"/>
  <c r="W59" i="1"/>
  <c r="O104" i="1"/>
  <c r="U92" i="1"/>
  <c r="U104" i="1"/>
  <c r="W26" i="1"/>
  <c r="W19" i="1"/>
  <c r="W38" i="1"/>
  <c r="W22" i="1"/>
  <c r="W18" i="1"/>
  <c r="Y85" i="2"/>
  <c r="Y106" i="2"/>
  <c r="Y207" i="2"/>
  <c r="Y220" i="2"/>
  <c r="Y77" i="2"/>
  <c r="Y90" i="2"/>
  <c r="H100" i="2"/>
  <c r="H147" i="2" s="1"/>
  <c r="H148" i="2" s="1"/>
  <c r="H285" i="2" s="1"/>
  <c r="H289" i="2" s="1"/>
  <c r="Y165" i="2"/>
  <c r="Z100" i="2"/>
  <c r="Z147" i="2" s="1"/>
  <c r="Z148" i="2" s="1"/>
  <c r="Z285" i="2" s="1"/>
  <c r="Z289" i="2" s="1"/>
  <c r="P100" i="2"/>
  <c r="P147" i="2" s="1"/>
  <c r="P148" i="2" s="1"/>
  <c r="P285" i="2" s="1"/>
  <c r="P289" i="2" s="1"/>
  <c r="Y131" i="2"/>
  <c r="Y226" i="2"/>
  <c r="Y26" i="2"/>
  <c r="F100" i="2"/>
  <c r="F147" i="2" s="1"/>
  <c r="F148" i="2" s="1"/>
  <c r="F285" i="2" s="1"/>
  <c r="F289" i="2" s="1"/>
  <c r="Y155" i="2"/>
  <c r="Y127" i="2"/>
  <c r="Y123" i="2"/>
  <c r="Y67" i="2"/>
  <c r="Y39" i="2"/>
  <c r="Y132" i="2"/>
  <c r="Y180" i="2"/>
  <c r="Y181" i="2"/>
  <c r="Y30" i="2"/>
  <c r="Y152" i="2"/>
  <c r="O100" i="2"/>
  <c r="O147" i="2" s="1"/>
  <c r="O148" i="2" s="1"/>
  <c r="O285" i="2" s="1"/>
  <c r="O289" i="2" s="1"/>
  <c r="U100" i="2"/>
  <c r="U147" i="2" s="1"/>
  <c r="U148" i="2" s="1"/>
  <c r="U285" i="2" s="1"/>
  <c r="U289" i="2" s="1"/>
  <c r="Y209" i="2"/>
  <c r="Y215" i="2"/>
  <c r="Y222" i="2"/>
  <c r="Y230" i="2"/>
  <c r="Y228" i="2"/>
  <c r="Y154" i="2"/>
  <c r="R284" i="2"/>
  <c r="Y62" i="2"/>
  <c r="Y21" i="2"/>
  <c r="Y51" i="2"/>
  <c r="Y153" i="2"/>
  <c r="Y171" i="2"/>
  <c r="X146" i="2"/>
  <c r="N100" i="2"/>
  <c r="N147" i="2" s="1"/>
  <c r="N148" i="2" s="1"/>
  <c r="N285" i="2" s="1"/>
  <c r="N289" i="2" s="1"/>
  <c r="V100" i="2"/>
  <c r="V147" i="2" s="1"/>
  <c r="Y113" i="2"/>
  <c r="Y103" i="2"/>
  <c r="Y161" i="2"/>
  <c r="Y182" i="2"/>
  <c r="Y68" i="2"/>
  <c r="Y109" i="2"/>
  <c r="Y159" i="2"/>
  <c r="Y191" i="2"/>
  <c r="Y197" i="2"/>
  <c r="Y221" i="2"/>
  <c r="Y225" i="2"/>
  <c r="Y141" i="2"/>
  <c r="Y172" i="2"/>
  <c r="Y91" i="2"/>
  <c r="I100" i="2"/>
  <c r="I147" i="2" s="1"/>
  <c r="I148" i="2" s="1"/>
  <c r="I285" i="2" s="1"/>
  <c r="I289" i="2" s="1"/>
  <c r="W100" i="2"/>
  <c r="W147" i="2" s="1"/>
  <c r="W148" i="2" s="1"/>
  <c r="W285" i="2" s="1"/>
  <c r="W289" i="2" s="1"/>
  <c r="Y36" i="2"/>
  <c r="Y43" i="2"/>
  <c r="Y213" i="2"/>
  <c r="Y76" i="2"/>
  <c r="Y60" i="2"/>
  <c r="Y124" i="2"/>
  <c r="Y198" i="2"/>
  <c r="Y203" i="2"/>
  <c r="Y22" i="2"/>
  <c r="Y108" i="2"/>
  <c r="Y122" i="2"/>
  <c r="Y98" i="2"/>
  <c r="Y73" i="2"/>
  <c r="D100" i="2"/>
  <c r="D147" i="2" s="1"/>
  <c r="D148" i="2" s="1"/>
  <c r="D285" i="2" s="1"/>
  <c r="D289" i="2" s="1"/>
  <c r="Y15" i="2"/>
  <c r="Y17" i="2" s="1"/>
  <c r="Y33" i="2"/>
  <c r="Y117" i="2"/>
  <c r="Y18" i="2"/>
  <c r="Y105" i="2"/>
  <c r="Y130" i="2"/>
  <c r="Y79" i="2"/>
  <c r="Y20" i="2"/>
  <c r="W17" i="1"/>
  <c r="S91" i="3"/>
  <c r="S92" i="3" s="1"/>
  <c r="S114" i="3"/>
  <c r="S115" i="3" s="1"/>
  <c r="S134" i="3" s="1"/>
  <c r="R236" i="4"/>
  <c r="M43" i="1"/>
  <c r="M45" i="1" s="1"/>
  <c r="M46" i="1" s="1"/>
  <c r="M105" i="1" s="1"/>
  <c r="T114" i="3"/>
  <c r="T115" i="3" s="1"/>
  <c r="D113" i="3"/>
  <c r="R197" i="4"/>
  <c r="Y197" i="4" s="1"/>
  <c r="R127" i="4"/>
  <c r="Y127" i="4" s="1"/>
  <c r="W133" i="3"/>
  <c r="R92" i="4"/>
  <c r="Y92" i="4" s="1"/>
  <c r="R110" i="4"/>
  <c r="Y110" i="4" s="1"/>
  <c r="L114" i="4"/>
  <c r="V239" i="4"/>
  <c r="X239" i="4" s="1"/>
  <c r="X220" i="4"/>
  <c r="Q198" i="3"/>
  <c r="N43" i="3"/>
  <c r="N49" i="3" s="1"/>
  <c r="N50" i="3" s="1"/>
  <c r="D43" i="3"/>
  <c r="D49" i="3" s="1"/>
  <c r="D50" i="3" s="1"/>
  <c r="R140" i="4"/>
  <c r="Y140" i="4" s="1"/>
  <c r="R17" i="4"/>
  <c r="J114" i="3"/>
  <c r="J115" i="3" s="1"/>
  <c r="J134" i="3" s="1"/>
  <c r="J91" i="3"/>
  <c r="J92" i="3" s="1"/>
  <c r="W147" i="3"/>
  <c r="O150" i="3"/>
  <c r="O153" i="3" s="1"/>
  <c r="H142" i="4"/>
  <c r="R174" i="4"/>
  <c r="Y174" i="4" s="1"/>
  <c r="L43" i="1"/>
  <c r="L45" i="1" s="1"/>
  <c r="L46" i="1" s="1"/>
  <c r="L105" i="1" s="1"/>
  <c r="F43" i="1"/>
  <c r="F45" i="1" s="1"/>
  <c r="F46" i="1" s="1"/>
  <c r="F105" i="1" s="1"/>
  <c r="H71" i="4"/>
  <c r="H72" i="4" s="1"/>
  <c r="H115" i="4" s="1"/>
  <c r="H116" i="4" s="1"/>
  <c r="V142" i="4"/>
  <c r="X142" i="4" s="1"/>
  <c r="Y173" i="2"/>
  <c r="F114" i="4"/>
  <c r="W52" i="4"/>
  <c r="W71" i="4" s="1"/>
  <c r="W72" i="4" s="1"/>
  <c r="W115" i="4" s="1"/>
  <c r="W116" i="4" s="1"/>
  <c r="W143" i="4" s="1"/>
  <c r="W144" i="4" s="1"/>
  <c r="W165" i="4" s="1"/>
  <c r="W166" i="4" s="1"/>
  <c r="W188" i="4" s="1"/>
  <c r="W201" i="4" s="1"/>
  <c r="W202" i="4" s="1"/>
  <c r="W240" i="4" s="1"/>
  <c r="W246" i="4" s="1"/>
  <c r="L100" i="2"/>
  <c r="L147" i="2" s="1"/>
  <c r="L148" i="2" s="1"/>
  <c r="L285" i="2" s="1"/>
  <c r="L289" i="2" s="1"/>
  <c r="J100" i="2"/>
  <c r="J147" i="2" s="1"/>
  <c r="J148" i="2" s="1"/>
  <c r="J285" i="2" s="1"/>
  <c r="J289" i="2" s="1"/>
  <c r="R220" i="4"/>
  <c r="Y220" i="4" s="1"/>
  <c r="Y135" i="2"/>
  <c r="M43" i="3"/>
  <c r="M49" i="3" s="1"/>
  <c r="M50" i="3" s="1"/>
  <c r="V71" i="4"/>
  <c r="V72" i="4" s="1"/>
  <c r="X284" i="2"/>
  <c r="W67" i="1"/>
  <c r="W99" i="1"/>
  <c r="W61" i="3"/>
  <c r="W156" i="3"/>
  <c r="U115" i="4"/>
  <c r="U116" i="4" s="1"/>
  <c r="U143" i="4" s="1"/>
  <c r="U144" i="4" s="1"/>
  <c r="U165" i="4" s="1"/>
  <c r="U166" i="4" s="1"/>
  <c r="U188" i="4" s="1"/>
  <c r="U201" i="4" s="1"/>
  <c r="U202" i="4" s="1"/>
  <c r="U240" i="4" s="1"/>
  <c r="U246" i="4" s="1"/>
  <c r="Y208" i="2"/>
  <c r="Y224" i="2"/>
  <c r="X96" i="2"/>
  <c r="O70" i="3"/>
  <c r="S43" i="1"/>
  <c r="S45" i="1" s="1"/>
  <c r="S46" i="1" s="1"/>
  <c r="S105" i="1" s="1"/>
  <c r="M52" i="4"/>
  <c r="M71" i="4" s="1"/>
  <c r="M72" i="4" s="1"/>
  <c r="I52" i="4"/>
  <c r="I71" i="4" s="1"/>
  <c r="I72" i="4" s="1"/>
  <c r="I115" i="4" s="1"/>
  <c r="I116" i="4" s="1"/>
  <c r="I143" i="4" s="1"/>
  <c r="I144" i="4" s="1"/>
  <c r="I165" i="4" s="1"/>
  <c r="I166" i="4" s="1"/>
  <c r="I188" i="4" s="1"/>
  <c r="I201" i="4" s="1"/>
  <c r="I202" i="4" s="1"/>
  <c r="I240" i="4" s="1"/>
  <c r="I246" i="4" s="1"/>
  <c r="W64" i="1"/>
  <c r="W96" i="1"/>
  <c r="W181" i="3"/>
  <c r="U86" i="3"/>
  <c r="U40" i="3"/>
  <c r="U42" i="3" s="1"/>
  <c r="U43" i="3" s="1"/>
  <c r="Y17" i="4"/>
  <c r="Y129" i="4"/>
  <c r="Y211" i="4"/>
  <c r="Y63" i="4"/>
  <c r="H42" i="3"/>
  <c r="H43" i="3" s="1"/>
  <c r="H49" i="3" s="1"/>
  <c r="H50" i="3" s="1"/>
  <c r="R45" i="4"/>
  <c r="Y45" i="4" s="1"/>
  <c r="Y208" i="4"/>
  <c r="Y184" i="2"/>
  <c r="Y186" i="2"/>
  <c r="Y189" i="2"/>
  <c r="W146" i="3"/>
  <c r="Y24" i="4"/>
  <c r="Y35" i="2"/>
  <c r="Y142" i="2"/>
  <c r="W35" i="3"/>
  <c r="R43" i="3"/>
  <c r="R49" i="3" s="1"/>
  <c r="R50" i="3" s="1"/>
  <c r="R114" i="3" s="1"/>
  <c r="R115" i="3" s="1"/>
  <c r="R134" i="3" s="1"/>
  <c r="Y40" i="2"/>
  <c r="Y199" i="4"/>
  <c r="W47" i="1"/>
  <c r="Y163" i="2"/>
  <c r="W53" i="1"/>
  <c r="Y54" i="2"/>
  <c r="R146" i="2"/>
  <c r="Y125" i="2"/>
  <c r="Y137" i="2"/>
  <c r="Y66" i="2"/>
  <c r="Y52" i="2"/>
  <c r="W32" i="1"/>
  <c r="Y28" i="2"/>
  <c r="Y20" i="4"/>
  <c r="E100" i="2"/>
  <c r="E147" i="2" s="1"/>
  <c r="E148" i="2" s="1"/>
  <c r="E285" i="2" s="1"/>
  <c r="E289" i="2" s="1"/>
  <c r="Y126" i="2"/>
  <c r="Y138" i="2"/>
  <c r="Y56" i="2"/>
  <c r="Y57" i="2"/>
  <c r="Y86" i="2"/>
  <c r="Y71" i="2"/>
  <c r="Y87" i="2"/>
  <c r="L48" i="4"/>
  <c r="L52" i="4" s="1"/>
  <c r="L71" i="4" s="1"/>
  <c r="L72" i="4" s="1"/>
  <c r="W21" i="1"/>
  <c r="X42" i="3"/>
  <c r="X43" i="3" s="1"/>
  <c r="X49" i="3" s="1"/>
  <c r="X50" i="3" s="1"/>
  <c r="X114" i="3" s="1"/>
  <c r="Y64" i="2"/>
  <c r="Y69" i="2"/>
  <c r="Y40" i="4"/>
  <c r="Y55" i="4"/>
  <c r="Y80" i="2"/>
  <c r="W30" i="3"/>
  <c r="M100" i="2"/>
  <c r="M147" i="2" s="1"/>
  <c r="M148" i="2" s="1"/>
  <c r="M285" i="2" s="1"/>
  <c r="M289" i="2" s="1"/>
  <c r="W24" i="1"/>
  <c r="F52" i="4"/>
  <c r="F71" i="4" s="1"/>
  <c r="F72" i="4" s="1"/>
  <c r="W31" i="1"/>
  <c r="R69" i="4"/>
  <c r="Y69" i="4" s="1"/>
  <c r="D48" i="4"/>
  <c r="D52" i="4" s="1"/>
  <c r="D71" i="4" s="1"/>
  <c r="D72" i="4" s="1"/>
  <c r="T72" i="4"/>
  <c r="X52" i="4"/>
  <c r="X30" i="4"/>
  <c r="X48" i="4"/>
  <c r="R30" i="4"/>
  <c r="E52" i="4"/>
  <c r="E71" i="4" s="1"/>
  <c r="G52" i="4"/>
  <c r="G71" i="4" s="1"/>
  <c r="G72" i="4" s="1"/>
  <c r="G115" i="4" s="1"/>
  <c r="G116" i="4" s="1"/>
  <c r="G43" i="3"/>
  <c r="G49" i="3" s="1"/>
  <c r="G50" i="3" s="1"/>
  <c r="O40" i="3"/>
  <c r="Y101" i="2"/>
  <c r="Y102" i="2"/>
  <c r="R96" i="2"/>
  <c r="Q100" i="2"/>
  <c r="Q147" i="2" s="1"/>
  <c r="Q148" i="2" s="1"/>
  <c r="Q285" i="2" s="1"/>
  <c r="Q289" i="2" s="1"/>
  <c r="I43" i="1"/>
  <c r="I45" i="1" s="1"/>
  <c r="I46" i="1" s="1"/>
  <c r="I105" i="1" s="1"/>
  <c r="O42" i="1"/>
  <c r="H43" i="1"/>
  <c r="H45" i="1" s="1"/>
  <c r="H46" i="1" s="1"/>
  <c r="H105" i="1" s="1"/>
  <c r="W14" i="1"/>
  <c r="W16" i="1" s="1"/>
  <c r="O16" i="1"/>
  <c r="K115" i="4" l="1"/>
  <c r="K116" i="4" s="1"/>
  <c r="K143" i="4" s="1"/>
  <c r="K144" i="4" s="1"/>
  <c r="K165" i="4" s="1"/>
  <c r="K166" i="4" s="1"/>
  <c r="K188" i="4" s="1"/>
  <c r="K201" i="4" s="1"/>
  <c r="K202" i="4" s="1"/>
  <c r="K240" i="4" s="1"/>
  <c r="K246" i="4" s="1"/>
  <c r="D115" i="4"/>
  <c r="M115" i="4"/>
  <c r="M116" i="4" s="1"/>
  <c r="M143" i="4" s="1"/>
  <c r="M144" i="4" s="1"/>
  <c r="M165" i="4" s="1"/>
  <c r="M166" i="4" s="1"/>
  <c r="M188" i="4" s="1"/>
  <c r="M201" i="4" s="1"/>
  <c r="M202" i="4" s="1"/>
  <c r="M240" i="4" s="1"/>
  <c r="M246" i="4" s="1"/>
  <c r="V115" i="4"/>
  <c r="V116" i="4" s="1"/>
  <c r="V143" i="4" s="1"/>
  <c r="V144" i="4" s="1"/>
  <c r="V165" i="4" s="1"/>
  <c r="V166" i="4" s="1"/>
  <c r="V188" i="4" s="1"/>
  <c r="V201" i="4" s="1"/>
  <c r="V202" i="4" s="1"/>
  <c r="V240" i="4" s="1"/>
  <c r="V246" i="4" s="1"/>
  <c r="I114" i="3"/>
  <c r="I115" i="3" s="1"/>
  <c r="Q114" i="3"/>
  <c r="Q115" i="3" s="1"/>
  <c r="Q134" i="3" s="1"/>
  <c r="Q135" i="3" s="1"/>
  <c r="Q154" i="3" s="1"/>
  <c r="Q204" i="3" s="1"/>
  <c r="M114" i="3"/>
  <c r="M115" i="3" s="1"/>
  <c r="M134" i="3" s="1"/>
  <c r="M135" i="3" s="1"/>
  <c r="M154" i="3" s="1"/>
  <c r="M204" i="3" s="1"/>
  <c r="G114" i="3"/>
  <c r="G115" i="3" s="1"/>
  <c r="G134" i="3" s="1"/>
  <c r="G135" i="3" s="1"/>
  <c r="G154" i="3" s="1"/>
  <c r="G204" i="3" s="1"/>
  <c r="F114" i="3"/>
  <c r="F115" i="3" s="1"/>
  <c r="F134" i="3" s="1"/>
  <c r="F167" i="3" s="1"/>
  <c r="F168" i="3" s="1"/>
  <c r="F199" i="3" s="1"/>
  <c r="L115" i="4"/>
  <c r="L116" i="4" s="1"/>
  <c r="L143" i="4" s="1"/>
  <c r="L144" i="4" s="1"/>
  <c r="L165" i="4" s="1"/>
  <c r="L166" i="4" s="1"/>
  <c r="L188" i="4" s="1"/>
  <c r="L201" i="4" s="1"/>
  <c r="L202" i="4" s="1"/>
  <c r="L240" i="4" s="1"/>
  <c r="L246" i="4" s="1"/>
  <c r="G91" i="3"/>
  <c r="G92" i="3" s="1"/>
  <c r="Q167" i="3"/>
  <c r="Q168" i="3" s="1"/>
  <c r="Q199" i="3" s="1"/>
  <c r="Y274" i="2"/>
  <c r="F115" i="4"/>
  <c r="F116" i="4" s="1"/>
  <c r="F143" i="4" s="1"/>
  <c r="F144" i="4" s="1"/>
  <c r="F165" i="4" s="1"/>
  <c r="F166" i="4" s="1"/>
  <c r="F188" i="4" s="1"/>
  <c r="F201" i="4" s="1"/>
  <c r="F202" i="4" s="1"/>
  <c r="F240" i="4" s="1"/>
  <c r="F246" i="4" s="1"/>
  <c r="Y187" i="4"/>
  <c r="R142" i="4"/>
  <c r="Y236" i="4"/>
  <c r="Y161" i="4"/>
  <c r="J165" i="4"/>
  <c r="J166" i="4" s="1"/>
  <c r="J188" i="4" s="1"/>
  <c r="J201" i="4" s="1"/>
  <c r="J202" i="4" s="1"/>
  <c r="J240" i="4" s="1"/>
  <c r="J246" i="4" s="1"/>
  <c r="G143" i="4"/>
  <c r="G144" i="4" s="1"/>
  <c r="G165" i="4" s="1"/>
  <c r="G166" i="4" s="1"/>
  <c r="G188" i="4" s="1"/>
  <c r="G201" i="4" s="1"/>
  <c r="G202" i="4" s="1"/>
  <c r="G240" i="4" s="1"/>
  <c r="G246" i="4" s="1"/>
  <c r="P143" i="4"/>
  <c r="P144" i="4" s="1"/>
  <c r="P165" i="4" s="1"/>
  <c r="P166" i="4" s="1"/>
  <c r="P188" i="4" s="1"/>
  <c r="P201" i="4" s="1"/>
  <c r="P202" i="4" s="1"/>
  <c r="P240" i="4" s="1"/>
  <c r="P246" i="4" s="1"/>
  <c r="Y164" i="4"/>
  <c r="H143" i="4"/>
  <c r="H144" i="4" s="1"/>
  <c r="H165" i="4" s="1"/>
  <c r="H166" i="4" s="1"/>
  <c r="H188" i="4" s="1"/>
  <c r="H201" i="4" s="1"/>
  <c r="H202" i="4" s="1"/>
  <c r="H240" i="4" s="1"/>
  <c r="H246" i="4" s="1"/>
  <c r="R114" i="4"/>
  <c r="Y114" i="4" s="1"/>
  <c r="R164" i="4"/>
  <c r="R239" i="4"/>
  <c r="Y239" i="4" s="1"/>
  <c r="N115" i="4"/>
  <c r="N116" i="4" s="1"/>
  <c r="N143" i="4" s="1"/>
  <c r="N144" i="4" s="1"/>
  <c r="N165" i="4" s="1"/>
  <c r="N166" i="4" s="1"/>
  <c r="N188" i="4" s="1"/>
  <c r="N201" i="4" s="1"/>
  <c r="N202" i="4" s="1"/>
  <c r="N240" i="4" s="1"/>
  <c r="N246" i="4" s="1"/>
  <c r="K114" i="3"/>
  <c r="K115" i="3" s="1"/>
  <c r="K134" i="3" s="1"/>
  <c r="K167" i="3" s="1"/>
  <c r="K168" i="3" s="1"/>
  <c r="K199" i="3" s="1"/>
  <c r="W150" i="3"/>
  <c r="W153" i="3" s="1"/>
  <c r="W110" i="3"/>
  <c r="I134" i="3"/>
  <c r="I135" i="3" s="1"/>
  <c r="I154" i="3" s="1"/>
  <c r="I204" i="3" s="1"/>
  <c r="W113" i="3"/>
  <c r="W188" i="3"/>
  <c r="W198" i="3" s="1"/>
  <c r="T134" i="3"/>
  <c r="T167" i="3" s="1"/>
  <c r="T168" i="3" s="1"/>
  <c r="T199" i="3" s="1"/>
  <c r="W104" i="1"/>
  <c r="R135" i="3"/>
  <c r="R154" i="3" s="1"/>
  <c r="R204" i="3" s="1"/>
  <c r="R167" i="3"/>
  <c r="R168" i="3" s="1"/>
  <c r="R199" i="3" s="1"/>
  <c r="Y146" i="2"/>
  <c r="M91" i="3"/>
  <c r="M92" i="3" s="1"/>
  <c r="E91" i="3"/>
  <c r="E92" i="3" s="1"/>
  <c r="U105" i="1"/>
  <c r="Y284" i="2"/>
  <c r="X100" i="2"/>
  <c r="W92" i="1"/>
  <c r="H114" i="3"/>
  <c r="H115" i="3" s="1"/>
  <c r="H134" i="3" s="1"/>
  <c r="H167" i="3" s="1"/>
  <c r="H168" i="3" s="1"/>
  <c r="H199" i="3" s="1"/>
  <c r="H91" i="3"/>
  <c r="H92" i="3" s="1"/>
  <c r="W42" i="1"/>
  <c r="Y96" i="2"/>
  <c r="R100" i="2"/>
  <c r="D114" i="3"/>
  <c r="D115" i="3" s="1"/>
  <c r="D134" i="3" s="1"/>
  <c r="D91" i="3"/>
  <c r="D92" i="3" s="1"/>
  <c r="Y142" i="4"/>
  <c r="U90" i="3"/>
  <c r="W86" i="3"/>
  <c r="O90" i="3"/>
  <c r="W70" i="3"/>
  <c r="N91" i="3"/>
  <c r="N92" i="3" s="1"/>
  <c r="N114" i="3"/>
  <c r="N115" i="3" s="1"/>
  <c r="N134" i="3" s="1"/>
  <c r="X91" i="3"/>
  <c r="X92" i="3" s="1"/>
  <c r="R48" i="4"/>
  <c r="Y48" i="4" s="1"/>
  <c r="X71" i="4"/>
  <c r="J135" i="3"/>
  <c r="J154" i="3" s="1"/>
  <c r="J204" i="3" s="1"/>
  <c r="J167" i="3"/>
  <c r="J168" i="3" s="1"/>
  <c r="J199" i="3" s="1"/>
  <c r="S167" i="3"/>
  <c r="S168" i="3" s="1"/>
  <c r="S199" i="3" s="1"/>
  <c r="S135" i="3"/>
  <c r="S154" i="3" s="1"/>
  <c r="S204" i="3" s="1"/>
  <c r="E167" i="3"/>
  <c r="E168" i="3" s="1"/>
  <c r="E199" i="3" s="1"/>
  <c r="E135" i="3"/>
  <c r="E154" i="3" s="1"/>
  <c r="E204" i="3" s="1"/>
  <c r="R52" i="4"/>
  <c r="Y52" i="4" s="1"/>
  <c r="E72" i="4"/>
  <c r="R71" i="4"/>
  <c r="Y30" i="4"/>
  <c r="X72" i="4"/>
  <c r="T115" i="4"/>
  <c r="D116" i="4"/>
  <c r="M167" i="3"/>
  <c r="M168" i="3" s="1"/>
  <c r="M199" i="3" s="1"/>
  <c r="L114" i="3"/>
  <c r="L115" i="3" s="1"/>
  <c r="L134" i="3" s="1"/>
  <c r="L135" i="3" s="1"/>
  <c r="L154" i="3" s="1"/>
  <c r="L204" i="3" s="1"/>
  <c r="W40" i="3"/>
  <c r="W42" i="3" s="1"/>
  <c r="O42" i="3"/>
  <c r="O43" i="3" s="1"/>
  <c r="O49" i="3" s="1"/>
  <c r="O50" i="3" s="1"/>
  <c r="X134" i="3"/>
  <c r="X115" i="3"/>
  <c r="U49" i="3"/>
  <c r="U50" i="3" s="1"/>
  <c r="R285" i="2"/>
  <c r="R289" i="2" s="1"/>
  <c r="R148" i="2"/>
  <c r="R147" i="2"/>
  <c r="X147" i="2"/>
  <c r="V148" i="2"/>
  <c r="O43" i="1"/>
  <c r="O45" i="1" s="1"/>
  <c r="G167" i="3" l="1"/>
  <c r="G168" i="3" s="1"/>
  <c r="G199" i="3" s="1"/>
  <c r="F135" i="3"/>
  <c r="F154" i="3" s="1"/>
  <c r="F204" i="3" s="1"/>
  <c r="I167" i="3"/>
  <c r="I168" i="3" s="1"/>
  <c r="I199" i="3" s="1"/>
  <c r="K135" i="3"/>
  <c r="K154" i="3" s="1"/>
  <c r="K204" i="3" s="1"/>
  <c r="T135" i="3"/>
  <c r="T154" i="3" s="1"/>
  <c r="T204" i="3" s="1"/>
  <c r="H135" i="3"/>
  <c r="H154" i="3" s="1"/>
  <c r="H204" i="3" s="1"/>
  <c r="W43" i="3"/>
  <c r="W49" i="3" s="1"/>
  <c r="Y71" i="4"/>
  <c r="Y100" i="2"/>
  <c r="AB100" i="2" s="1"/>
  <c r="L167" i="3"/>
  <c r="L168" i="3" s="1"/>
  <c r="L199" i="3" s="1"/>
  <c r="N135" i="3"/>
  <c r="N154" i="3" s="1"/>
  <c r="N204" i="3" s="1"/>
  <c r="N167" i="3"/>
  <c r="N168" i="3" s="1"/>
  <c r="N199" i="3" s="1"/>
  <c r="D167" i="3"/>
  <c r="D168" i="3" s="1"/>
  <c r="D199" i="3" s="1"/>
  <c r="D135" i="3"/>
  <c r="D154" i="3" s="1"/>
  <c r="D204" i="3" s="1"/>
  <c r="Y147" i="2"/>
  <c r="AB147" i="2" s="1"/>
  <c r="W90" i="3"/>
  <c r="T116" i="4"/>
  <c r="X115" i="4"/>
  <c r="E115" i="4"/>
  <c r="R72" i="4"/>
  <c r="Y72" i="4" s="1"/>
  <c r="D143" i="4"/>
  <c r="O114" i="3"/>
  <c r="O115" i="3" s="1"/>
  <c r="O134" i="3" s="1"/>
  <c r="O91" i="3"/>
  <c r="O92" i="3" s="1"/>
  <c r="X135" i="3"/>
  <c r="X154" i="3"/>
  <c r="W50" i="3"/>
  <c r="U114" i="3"/>
  <c r="U115" i="3" s="1"/>
  <c r="U91" i="3"/>
  <c r="U92" i="3" s="1"/>
  <c r="V285" i="2"/>
  <c r="V289" i="2" s="1"/>
  <c r="X148" i="2"/>
  <c r="Y148" i="2" s="1"/>
  <c r="W43" i="1"/>
  <c r="W45" i="1"/>
  <c r="O46" i="1"/>
  <c r="E116" i="4" l="1"/>
  <c r="R115" i="4"/>
  <c r="Y115" i="4" s="1"/>
  <c r="T143" i="4"/>
  <c r="X116" i="4"/>
  <c r="D144" i="4"/>
  <c r="W92" i="3"/>
  <c r="O135" i="3"/>
  <c r="O154" i="3" s="1"/>
  <c r="O204" i="3" s="1"/>
  <c r="O167" i="3"/>
  <c r="O168" i="3" s="1"/>
  <c r="O199" i="3" s="1"/>
  <c r="X204" i="3"/>
  <c r="X167" i="3"/>
  <c r="U134" i="3"/>
  <c r="W115" i="3"/>
  <c r="W114" i="3"/>
  <c r="W91" i="3"/>
  <c r="X285" i="2"/>
  <c r="W46" i="1"/>
  <c r="W105" i="1" s="1"/>
  <c r="O105" i="1"/>
  <c r="Y285" i="2" l="1"/>
  <c r="AB285" i="2" s="1"/>
  <c r="X289" i="2"/>
  <c r="T144" i="4"/>
  <c r="X143" i="4"/>
  <c r="E143" i="4"/>
  <c r="R116" i="4"/>
  <c r="Y116" i="4" s="1"/>
  <c r="D165" i="4"/>
  <c r="X168" i="3"/>
  <c r="X199" i="3"/>
  <c r="U167" i="3"/>
  <c r="U168" i="3" s="1"/>
  <c r="U135" i="3"/>
  <c r="W134" i="3"/>
  <c r="W167" i="3" s="1"/>
  <c r="Y289" i="2" l="1"/>
  <c r="E144" i="4"/>
  <c r="R143" i="4"/>
  <c r="Y143" i="4" s="1"/>
  <c r="T165" i="4"/>
  <c r="X144" i="4"/>
  <c r="D166" i="4"/>
  <c r="U154" i="3"/>
  <c r="W135" i="3"/>
  <c r="U199" i="3"/>
  <c r="W199" i="3" s="1"/>
  <c r="W168" i="3"/>
  <c r="T166" i="4" l="1"/>
  <c r="X165" i="4"/>
  <c r="E165" i="4"/>
  <c r="R144" i="4"/>
  <c r="Y144" i="4" s="1"/>
  <c r="D188" i="4"/>
  <c r="W154" i="3"/>
  <c r="W204" i="3" s="1"/>
  <c r="U204" i="3"/>
  <c r="E166" i="4" l="1"/>
  <c r="R165" i="4"/>
  <c r="Y165" i="4" s="1"/>
  <c r="Z165" i="4" s="1"/>
  <c r="T188" i="4"/>
  <c r="X166" i="4"/>
  <c r="D201" i="4"/>
  <c r="T201" i="4" l="1"/>
  <c r="X188" i="4"/>
  <c r="E188" i="4"/>
  <c r="R166" i="4"/>
  <c r="Y166" i="4" s="1"/>
  <c r="D202" i="4"/>
  <c r="E201" i="4" l="1"/>
  <c r="R188" i="4"/>
  <c r="Y188" i="4" s="1"/>
  <c r="T202" i="4"/>
  <c r="X201" i="4"/>
  <c r="D240" i="4"/>
  <c r="T240" i="4" l="1"/>
  <c r="X202" i="4"/>
  <c r="E202" i="4"/>
  <c r="R201" i="4"/>
  <c r="Y201" i="4" s="1"/>
  <c r="D246" i="4"/>
  <c r="E240" i="4" l="1"/>
  <c r="R202" i="4"/>
  <c r="Y202" i="4" s="1"/>
  <c r="T246" i="4"/>
  <c r="X240" i="4"/>
  <c r="X246" i="4" s="1"/>
  <c r="E246" i="4" l="1"/>
  <c r="R240" i="4"/>
  <c r="Y240" i="4" l="1"/>
  <c r="Y246" i="4" s="1"/>
  <c r="R246" i="4"/>
</calcChain>
</file>

<file path=xl/sharedStrings.xml><?xml version="1.0" encoding="utf-8"?>
<sst xmlns="http://schemas.openxmlformats.org/spreadsheetml/2006/main" count="1243" uniqueCount="582">
  <si>
    <t>K I M U T A T Á S</t>
  </si>
  <si>
    <t>ezer Ft-ban</t>
  </si>
  <si>
    <t xml:space="preserve"> </t>
  </si>
  <si>
    <t>Szöveges indoklás a</t>
  </si>
  <si>
    <t>Egyéb</t>
  </si>
  <si>
    <t>Működési</t>
  </si>
  <si>
    <t>Felhalmozási</t>
  </si>
  <si>
    <t>Bevételek</t>
  </si>
  <si>
    <t>Ssz.</t>
  </si>
  <si>
    <t>forrás származására és a kiadás</t>
  </si>
  <si>
    <t>bevételek</t>
  </si>
  <si>
    <t>célú</t>
  </si>
  <si>
    <t>összesen</t>
  </si>
  <si>
    <t>felhasználási  jogcimére</t>
  </si>
  <si>
    <t>visszatérül.</t>
  </si>
  <si>
    <t>működési</t>
  </si>
  <si>
    <t>bevételei</t>
  </si>
  <si>
    <t>pénzeszköz</t>
  </si>
  <si>
    <t>Érvényes előirányzatok:</t>
  </si>
  <si>
    <t>Módosítás</t>
  </si>
  <si>
    <t>Módosított előirányzat</t>
  </si>
  <si>
    <t>000</t>
  </si>
  <si>
    <t>Felülvizsgálat</t>
  </si>
  <si>
    <t>010</t>
  </si>
  <si>
    <t>030</t>
  </si>
  <si>
    <t>080</t>
  </si>
  <si>
    <t>090</t>
  </si>
  <si>
    <t>Felülvizsgálati módosítások összesen:</t>
  </si>
  <si>
    <t>K I A D Á S O K</t>
  </si>
  <si>
    <t>Ellátottak</t>
  </si>
  <si>
    <t>Intézmény-</t>
  </si>
  <si>
    <t>Kiadások</t>
  </si>
  <si>
    <t>Személyi</t>
  </si>
  <si>
    <t>Munkaadót</t>
  </si>
  <si>
    <t xml:space="preserve">Dologi </t>
  </si>
  <si>
    <t>pénzbeli</t>
  </si>
  <si>
    <t>kiadások</t>
  </si>
  <si>
    <t>kölcsönök</t>
  </si>
  <si>
    <t>Tartalékok</t>
  </si>
  <si>
    <t>finan-</t>
  </si>
  <si>
    <t>juttatás</t>
  </si>
  <si>
    <t>juttatásai</t>
  </si>
  <si>
    <t>nyújtása</t>
  </si>
  <si>
    <t>kiadásai</t>
  </si>
  <si>
    <t>szírozás</t>
  </si>
  <si>
    <t>járulékok</t>
  </si>
  <si>
    <t>támogatás</t>
  </si>
  <si>
    <t>020</t>
  </si>
  <si>
    <t>021</t>
  </si>
  <si>
    <t>025</t>
  </si>
  <si>
    <t>026</t>
  </si>
  <si>
    <t>028</t>
  </si>
  <si>
    <t>032</t>
  </si>
  <si>
    <t>034</t>
  </si>
  <si>
    <t>051</t>
  </si>
  <si>
    <t>052</t>
  </si>
  <si>
    <t>060</t>
  </si>
  <si>
    <t>101</t>
  </si>
  <si>
    <t>Vonal alattiak</t>
  </si>
  <si>
    <t>019</t>
  </si>
  <si>
    <t>1</t>
  </si>
  <si>
    <t>001</t>
  </si>
  <si>
    <t>022</t>
  </si>
  <si>
    <t>Eredeti előirányzatok:</t>
  </si>
  <si>
    <t>Kerekítés miatt</t>
  </si>
  <si>
    <t>002</t>
  </si>
  <si>
    <t>013</t>
  </si>
  <si>
    <t>085</t>
  </si>
  <si>
    <t>102</t>
  </si>
  <si>
    <t>105</t>
  </si>
  <si>
    <t>terhelő</t>
  </si>
  <si>
    <t>Szociális adó</t>
  </si>
  <si>
    <t>támogatások</t>
  </si>
  <si>
    <t>024</t>
  </si>
  <si>
    <t>054</t>
  </si>
  <si>
    <t>1/H-1</t>
  </si>
  <si>
    <t>003</t>
  </si>
  <si>
    <t>H010</t>
  </si>
  <si>
    <t>Előző évi maradvány átvétel</t>
  </si>
  <si>
    <t>FELÜGYELETI HATÁSKÖRŰ MÓDOSÍTÁSOK</t>
  </si>
  <si>
    <t>SAJÁT HATÁSKÖRŰ MÓDOSÍTÁSOK</t>
  </si>
  <si>
    <t>A</t>
  </si>
  <si>
    <t>B</t>
  </si>
  <si>
    <t>Módosítások összesen (A+B)</t>
  </si>
  <si>
    <t>H151</t>
  </si>
  <si>
    <t>1. sz. melléklet</t>
  </si>
  <si>
    <t>2. sz. melléklet</t>
  </si>
  <si>
    <t>3. sz. melléklet</t>
  </si>
  <si>
    <t>4. sz. melléklet</t>
  </si>
  <si>
    <t>Rendelet 4. sz. tábla</t>
  </si>
  <si>
    <t>Eltérés rendelethez:</t>
  </si>
  <si>
    <t>Felülvizs.</t>
  </si>
  <si>
    <t>Rendelet 5. sz. tábla</t>
  </si>
  <si>
    <t>Rendelet 4 sz. tábla</t>
  </si>
  <si>
    <t>belülről</t>
  </si>
  <si>
    <t>átvett</t>
  </si>
  <si>
    <t>Felhal-</t>
  </si>
  <si>
    <t>mozási</t>
  </si>
  <si>
    <t>felhalm.</t>
  </si>
  <si>
    <t>első</t>
  </si>
  <si>
    <t>Csak szöveges módosítás volt</t>
  </si>
  <si>
    <t>Csak szöveges módosítás volt!</t>
  </si>
  <si>
    <t xml:space="preserve">Irányító </t>
  </si>
  <si>
    <t>szervtől</t>
  </si>
  <si>
    <t>kapott</t>
  </si>
  <si>
    <t>H090</t>
  </si>
  <si>
    <t>H105</t>
  </si>
  <si>
    <t>H180</t>
  </si>
  <si>
    <t>…</t>
  </si>
  <si>
    <t>nyolcadik</t>
  </si>
  <si>
    <t>Műk. célú támogatások áht-n belülről</t>
  </si>
  <si>
    <t>Önkorm.</t>
  </si>
  <si>
    <t>Elvonások</t>
  </si>
  <si>
    <t>Egyéb műk.c.</t>
  </si>
  <si>
    <t xml:space="preserve">és </t>
  </si>
  <si>
    <t>támogatása</t>
  </si>
  <si>
    <t>befizetések</t>
  </si>
  <si>
    <t>áht-n</t>
  </si>
  <si>
    <t>Felh.c.tám.áht-n belülről</t>
  </si>
  <si>
    <t>Felh.c.átvett pénzeszközök</t>
  </si>
  <si>
    <t>Közhatalmi</t>
  </si>
  <si>
    <t>Egyéb felh.c.</t>
  </si>
  <si>
    <t>Felh.c.</t>
  </si>
  <si>
    <t>támogatások,</t>
  </si>
  <si>
    <t>önk-i</t>
  </si>
  <si>
    <t>célú átvett</t>
  </si>
  <si>
    <t>Költség-</t>
  </si>
  <si>
    <t>vetési</t>
  </si>
  <si>
    <t>Finanszírozási bevételek</t>
  </si>
  <si>
    <t xml:space="preserve">Belföldi </t>
  </si>
  <si>
    <t>Előző év</t>
  </si>
  <si>
    <t>érték-</t>
  </si>
  <si>
    <t>költségv-i</t>
  </si>
  <si>
    <t>papírok</t>
  </si>
  <si>
    <t>maradvány</t>
  </si>
  <si>
    <t>igénybevét.</t>
  </si>
  <si>
    <t>(3+…+13)</t>
  </si>
  <si>
    <t>Finan-</t>
  </si>
  <si>
    <t>szírozási</t>
  </si>
  <si>
    <t>(15+18)</t>
  </si>
  <si>
    <t>(14 + 19)</t>
  </si>
  <si>
    <t>Módosított előirányzatok</t>
  </si>
  <si>
    <t>Felh.c.vtérít.</t>
  </si>
  <si>
    <t>Lakás-</t>
  </si>
  <si>
    <t>Hosszú lej.</t>
  </si>
  <si>
    <t>Belföldi</t>
  </si>
  <si>
    <t>Beruházások</t>
  </si>
  <si>
    <t>Felújítások</t>
  </si>
  <si>
    <t>felhalm.célú</t>
  </si>
  <si>
    <t>tám.,kölcsön</t>
  </si>
  <si>
    <t>hitelek,</t>
  </si>
  <si>
    <t xml:space="preserve"> kölcsönök</t>
  </si>
  <si>
    <t>belülre</t>
  </si>
  <si>
    <t>kívülre</t>
  </si>
  <si>
    <t>áht-n belülre</t>
  </si>
  <si>
    <t>áht-n kívülre</t>
  </si>
  <si>
    <t>törlesztése</t>
  </si>
  <si>
    <t>Működési költségvetési kiadások</t>
  </si>
  <si>
    <t>Felhalmozási költségvetési kiadások</t>
  </si>
  <si>
    <t>Finanszírozási kiadások</t>
  </si>
  <si>
    <t>Első</t>
  </si>
  <si>
    <t>(3+16)</t>
  </si>
  <si>
    <t>(18+21)</t>
  </si>
  <si>
    <t>(17+22)</t>
  </si>
  <si>
    <t>Szoc. adó</t>
  </si>
  <si>
    <t>harmadik</t>
  </si>
  <si>
    <t>Harmadik</t>
  </si>
  <si>
    <t>Szept. 30.</t>
  </si>
  <si>
    <t>negyedik</t>
  </si>
  <si>
    <t>nov.30.</t>
  </si>
  <si>
    <t>Okt. 31.</t>
  </si>
  <si>
    <t>dec.31.</t>
  </si>
  <si>
    <t>ötödik</t>
  </si>
  <si>
    <t>finanszí-</t>
  </si>
  <si>
    <t>rozási</t>
  </si>
  <si>
    <t>035</t>
  </si>
  <si>
    <t>..</t>
  </si>
  <si>
    <t>EIM-2</t>
  </si>
  <si>
    <t>EIM-1</t>
  </si>
  <si>
    <t>K1</t>
  </si>
  <si>
    <t>K2</t>
  </si>
  <si>
    <t>K3</t>
  </si>
  <si>
    <t>K4</t>
  </si>
  <si>
    <t>K502</t>
  </si>
  <si>
    <t>K506</t>
  </si>
  <si>
    <t>K512</t>
  </si>
  <si>
    <t>K513</t>
  </si>
  <si>
    <t>K6</t>
  </si>
  <si>
    <t>K7</t>
  </si>
  <si>
    <t>K84</t>
  </si>
  <si>
    <t>K86</t>
  </si>
  <si>
    <t>K87</t>
  </si>
  <si>
    <t>K89</t>
  </si>
  <si>
    <t>K9111</t>
  </si>
  <si>
    <t>K912</t>
  </si>
  <si>
    <t>K915</t>
  </si>
  <si>
    <t>K916</t>
  </si>
  <si>
    <t>B11</t>
  </si>
  <si>
    <t>B12</t>
  </si>
  <si>
    <t>B16</t>
  </si>
  <si>
    <t>B3</t>
  </si>
  <si>
    <t>B4</t>
  </si>
  <si>
    <t>B6</t>
  </si>
  <si>
    <t>B21</t>
  </si>
  <si>
    <t>B25</t>
  </si>
  <si>
    <t>B5</t>
  </si>
  <si>
    <t>B74</t>
  </si>
  <si>
    <t>B75</t>
  </si>
  <si>
    <t>B812</t>
  </si>
  <si>
    <t>B813</t>
  </si>
  <si>
    <t>B816</t>
  </si>
  <si>
    <t>B817</t>
  </si>
  <si>
    <t>055</t>
  </si>
  <si>
    <t xml:space="preserve">Maradvány </t>
  </si>
  <si>
    <t>Maradvány</t>
  </si>
  <si>
    <t>Maradvánnyal módosított előirányzatok</t>
  </si>
  <si>
    <t>ÁHT-n</t>
  </si>
  <si>
    <t>belüli meg-</t>
  </si>
  <si>
    <t>előlegezések</t>
  </si>
  <si>
    <t>kapott előleg</t>
  </si>
  <si>
    <t>előlegezés</t>
  </si>
  <si>
    <t>visszafiz.</t>
  </si>
  <si>
    <t>EIM-H-1</t>
  </si>
  <si>
    <t>Házipénztár riasztó rendszer</t>
  </si>
  <si>
    <t>Szoc.Iroda működési támogatás átcsop.</t>
  </si>
  <si>
    <t>Hangszer javítás</t>
  </si>
  <si>
    <t>EIM-3</t>
  </si>
  <si>
    <t>Geotechnikai szakértői vélemény készítés</t>
  </si>
  <si>
    <t>EIM-5</t>
  </si>
  <si>
    <t>Diákgyőztesek jutalmazása,Szülők akadémiája progr.</t>
  </si>
  <si>
    <t>EIM-6</t>
  </si>
  <si>
    <t>EIM-7</t>
  </si>
  <si>
    <t>EIM-8</t>
  </si>
  <si>
    <t>Közter.Felügy.elh.tervezési munkáira</t>
  </si>
  <si>
    <t>EIM-9</t>
  </si>
  <si>
    <t>Várakozóhely megváltás</t>
  </si>
  <si>
    <t>Int.fin.-Szászorszép Óvoda</t>
  </si>
  <si>
    <t>Int.fin.-Bölcsődék,Óvodák-2016.XII.havi bérkomp.</t>
  </si>
  <si>
    <t>EIM-7/A</t>
  </si>
  <si>
    <t>Int.fin. - Eü.Szolg. 2016.XII. havi bérkompenzáció</t>
  </si>
  <si>
    <t>EIM-7/PH</t>
  </si>
  <si>
    <t xml:space="preserve"> 2016.XII. havi bérkompenzáció</t>
  </si>
  <si>
    <t>EIM-10</t>
  </si>
  <si>
    <t>Kerületünk az otthonunk Frakciókeret</t>
  </si>
  <si>
    <t>EIM-11</t>
  </si>
  <si>
    <t>KDNP Frakciókeret</t>
  </si>
  <si>
    <t>EIM-12</t>
  </si>
  <si>
    <t>FIDESZ Frakciókeret</t>
  </si>
  <si>
    <t>EIM-13</t>
  </si>
  <si>
    <t>Uszoda - Közlekedés fejlesztése</t>
  </si>
  <si>
    <t>EIM-14</t>
  </si>
  <si>
    <t>EIM-15</t>
  </si>
  <si>
    <t>EIM-19</t>
  </si>
  <si>
    <t>Int.fin.-Bölcsődék,Óvodák, IMK felújítás</t>
  </si>
  <si>
    <t>EIM-H-2
EIM-7</t>
  </si>
  <si>
    <t>2016.XII. havi bérkompenzáció</t>
  </si>
  <si>
    <t>Int.fin.-Bölcsődék,Óvodák,Szoc.Int. Karbantartás</t>
  </si>
  <si>
    <t>EIM-H-4</t>
  </si>
  <si>
    <t>Házasságkötő-terem folyadékhűtő kialakítás</t>
  </si>
  <si>
    <t>Közfoglalkozás támogatása</t>
  </si>
  <si>
    <t xml:space="preserve">Bursa Hungarica - fel nem használt ösztöndíj </t>
  </si>
  <si>
    <t>EIM-20</t>
  </si>
  <si>
    <t>PH. Bérkompenzáció 2017. évi</t>
  </si>
  <si>
    <t>Bérkompenzáció 2017. évi</t>
  </si>
  <si>
    <t>EIM-H-3
EIM-20</t>
  </si>
  <si>
    <t>Int.fin.-Bölcsődék,Óvodák-2017. bérkompenzáció</t>
  </si>
  <si>
    <t>Int.fin. -  Eü. Szolg. 2017. bérkompenzáció</t>
  </si>
  <si>
    <t>EIM-21</t>
  </si>
  <si>
    <t>Int.fin.-Bölcsődék, Szoc. Int. Szoc.ágazati pótlék</t>
  </si>
  <si>
    <t>EIM-22</t>
  </si>
  <si>
    <t>Int.fin.Bölcsődei középfokú végz.dolgozók béremelése</t>
  </si>
  <si>
    <t>EIM-23</t>
  </si>
  <si>
    <t>Polgármesteri Keret felhasználása</t>
  </si>
  <si>
    <t>EIM-H-7</t>
  </si>
  <si>
    <t>Int.fin-Bölcsődei középf. végz.dolgozók béremelése</t>
  </si>
  <si>
    <t>Telefonközpont és készülék beszerzés régi beszámítással</t>
  </si>
  <si>
    <t>EIM-H-8</t>
  </si>
  <si>
    <t>Érmeosztályozó beszerzés régi értékesítésével</t>
  </si>
  <si>
    <t>EIM-29</t>
  </si>
  <si>
    <t>Előző évben adott, fel nem használt támogatások visszafizetése</t>
  </si>
  <si>
    <t>EIM-30</t>
  </si>
  <si>
    <t>EIM-31</t>
  </si>
  <si>
    <t>EIM-32</t>
  </si>
  <si>
    <t>Államkötvény beváltás, kicstárjegy vásárlás</t>
  </si>
  <si>
    <t>EIM-33</t>
  </si>
  <si>
    <t>Áht-n belüli megelőlegezések visszafizetése</t>
  </si>
  <si>
    <t>EIM-45</t>
  </si>
  <si>
    <t>Int.fin. - Törökvész u-i., Kolozsvár u-i Óvodák</t>
  </si>
  <si>
    <t>EIM-35</t>
  </si>
  <si>
    <t>Parkolóban kijelző csere</t>
  </si>
  <si>
    <t>EIM-36</t>
  </si>
  <si>
    <t>EIM-37</t>
  </si>
  <si>
    <t>Völgy u-i Óvodában fűtéskorszerűsítés</t>
  </si>
  <si>
    <t>EIM-38</t>
  </si>
  <si>
    <t>Polg. Hiv. - Illegális hulladék elszállítása</t>
  </si>
  <si>
    <t>Illegális hulladék elszállítása</t>
  </si>
  <si>
    <t>EIM-H-11
EIM-38</t>
  </si>
  <si>
    <t>EIM-39</t>
  </si>
  <si>
    <t>Testvérvárosi kapcsolatok -  Mosbachi látogatás</t>
  </si>
  <si>
    <t>EIM-41</t>
  </si>
  <si>
    <t>TÉR_KÖZ II.pály. Fonódó vill.kapcs.támogatás</t>
  </si>
  <si>
    <t>EIM-43</t>
  </si>
  <si>
    <t>EIM-47</t>
  </si>
  <si>
    <t>Musica Sacra közreműködőinek vendéglátása</t>
  </si>
  <si>
    <t>EIM-48</t>
  </si>
  <si>
    <t>EIM-49</t>
  </si>
  <si>
    <t>Int.fin. -  Eü. Szolg. Személygépkocsi beszerzés</t>
  </si>
  <si>
    <t>EIM-H-13</t>
  </si>
  <si>
    <t>Főv.parkoláshoz adatátviteli c.távk.díj</t>
  </si>
  <si>
    <t>EIM-51</t>
  </si>
  <si>
    <t>EIM-52</t>
  </si>
  <si>
    <t>Alpolgármesteri Keret felhasználása</t>
  </si>
  <si>
    <t>EIM-53</t>
  </si>
  <si>
    <t>Aprónép alapítvány támogatása</t>
  </si>
  <si>
    <t>Uszoda - tájépítészeti koncepcióterv</t>
  </si>
  <si>
    <t>EIM-H-14</t>
  </si>
  <si>
    <t>EIM-55</t>
  </si>
  <si>
    <t>Felhévízi út 19.lakóingatlan bontási kivitelezési terv</t>
  </si>
  <si>
    <t>EIM-56</t>
  </si>
  <si>
    <t>Bíró László József emléktábla készítés</t>
  </si>
  <si>
    <t>EIM-57</t>
  </si>
  <si>
    <t>ő101</t>
  </si>
  <si>
    <t>EIM-61</t>
  </si>
  <si>
    <t>EIM-62</t>
  </si>
  <si>
    <t>EIM-63</t>
  </si>
  <si>
    <t>EIM-64</t>
  </si>
  <si>
    <t>Int.fin. - sporttevékenység támogatása</t>
  </si>
  <si>
    <t>Int.fin. - II.Gondozási Kp. Kulturális program tám.</t>
  </si>
  <si>
    <t>Int.fin. - Óvodák napitorlái</t>
  </si>
  <si>
    <t>Int.fin. - Eü. Szolg.Egészségnapi szűrővizsálatok</t>
  </si>
  <si>
    <t>Elektromos töltőállomás beszerzése, telepitése</t>
  </si>
  <si>
    <t>EIM-H-18</t>
  </si>
  <si>
    <t>Maradvány korrekciója</t>
  </si>
  <si>
    <t>EIM-H-19</t>
  </si>
  <si>
    <t>EIM-60</t>
  </si>
  <si>
    <t>EIM-65</t>
  </si>
  <si>
    <t>EIM-66</t>
  </si>
  <si>
    <t>EIM-69</t>
  </si>
  <si>
    <t>Internet Kortalanul tanfolyam</t>
  </si>
  <si>
    <t>EIM-70</t>
  </si>
  <si>
    <t>KEHOP-5.2.9 Épületenergetikai pály.tám.</t>
  </si>
  <si>
    <t>EIM-71</t>
  </si>
  <si>
    <t>Meghiúsult 2016. évi telekértékesítés</t>
  </si>
  <si>
    <t>EIM-72</t>
  </si>
  <si>
    <t>EIM-74</t>
  </si>
  <si>
    <t>EIM-75</t>
  </si>
  <si>
    <t>Nemzetiségeink tám. - Kerület Napján való részvétel</t>
  </si>
  <si>
    <t>EIM-77</t>
  </si>
  <si>
    <t>Lakás bérleti jogviszony megváltás</t>
  </si>
  <si>
    <t>EIM-78</t>
  </si>
  <si>
    <t>Uszoda - sugárzás vizsgálat díja</t>
  </si>
  <si>
    <t>EIM-79</t>
  </si>
  <si>
    <t>Internet Kortalanul tanfolyam lebonyolítása</t>
  </si>
  <si>
    <t>Községház u.4.óvoda belső korsz.tervdok. elkészítése</t>
  </si>
  <si>
    <t>EIM-80</t>
  </si>
  <si>
    <t>Energetikai pályázatok fedezete KEHOP-5.2.9</t>
  </si>
  <si>
    <t>EIM-81</t>
  </si>
  <si>
    <t>Előző évi műk.c.pénzmaradvány igénybevétel</t>
  </si>
  <si>
    <t>Polg.Hiv. fel nem használt maradvány befiz.</t>
  </si>
  <si>
    <t>EIM-82</t>
  </si>
  <si>
    <t>EIM-83</t>
  </si>
  <si>
    <t>EIM-84</t>
  </si>
  <si>
    <t>HungaroControll Zrt-től támogatás</t>
  </si>
  <si>
    <t>EIM-85</t>
  </si>
  <si>
    <t>Int.fin. - Eü.Szolg. - BEMER készülék</t>
  </si>
  <si>
    <t>EIM-86</t>
  </si>
  <si>
    <t>Int.fin. - Szászorszép Óvoda</t>
  </si>
  <si>
    <t>EIM-88</t>
  </si>
  <si>
    <t>Int.fin.-Bölcsődék,Óvodák, Szoc.inzézm., IMK-2017. bérkomp.</t>
  </si>
  <si>
    <t>EIM-88/A</t>
  </si>
  <si>
    <t>Int.fin. - Eü.Szolg. - 2017. évi bérkompenzáció</t>
  </si>
  <si>
    <t>EIM-89</t>
  </si>
  <si>
    <t>Int.fin.-Bölcsődék,Óvodák, Szoc.intézm., IMK-2017. bérkomp.</t>
  </si>
  <si>
    <t>Int.fin. - Bölcsődék, Szoc.Intézm. - szoc.ágazati pótlék</t>
  </si>
  <si>
    <t>EIM-90</t>
  </si>
  <si>
    <t>Int.fin.-Bölcsődék - Középfokú végzettségüek pótléka</t>
  </si>
  <si>
    <t>EIM-91</t>
  </si>
  <si>
    <t>Int.fin.-Szoc.Intézmények program támogatások</t>
  </si>
  <si>
    <t>Int.fin.- Bölcsődék,Óvodák tisztasági festése</t>
  </si>
  <si>
    <t>EIM-92</t>
  </si>
  <si>
    <t>EIM-88/PH</t>
  </si>
  <si>
    <t>EIM-H-21
EIM-88/PH</t>
  </si>
  <si>
    <t>EIM-93</t>
  </si>
  <si>
    <t>Kimagasló eredményt elérő tanulók jutalmazása</t>
  </si>
  <si>
    <t>EIM-94</t>
  </si>
  <si>
    <t>Bfenyvesi üdülőtábor -műsz.ell.,művez.</t>
  </si>
  <si>
    <t>EIM-95</t>
  </si>
  <si>
    <t>EIM-96</t>
  </si>
  <si>
    <t>EIM-97</t>
  </si>
  <si>
    <t xml:space="preserve">HAVARIA Keret </t>
  </si>
  <si>
    <t>EIM-98</t>
  </si>
  <si>
    <t>Uszoda - hálózatfejl.,FŐKÉTÜSZ vizsg.díj</t>
  </si>
  <si>
    <t>EIM-99</t>
  </si>
  <si>
    <t>Polgármesteri Hivatal bútorcsere</t>
  </si>
  <si>
    <t>EIM-100</t>
  </si>
  <si>
    <t>PH-ban karbantartási munkákra</t>
  </si>
  <si>
    <t>EIM-H-23
EIM-99/PH</t>
  </si>
  <si>
    <t>EIM-H-24
EIM-100/PH</t>
  </si>
  <si>
    <t>EIM-101</t>
  </si>
  <si>
    <t>Int.fin - Bölcsődék-Óvodák: dicséret</t>
  </si>
  <si>
    <t>EIM-102</t>
  </si>
  <si>
    <t>Int.fin - Bölcsődék-Óvodák: Pedagógus nap</t>
  </si>
  <si>
    <t>EIM-103</t>
  </si>
  <si>
    <t>Int.fin. - Eü. Szolg: Pm dicséret</t>
  </si>
  <si>
    <t>EIM-104</t>
  </si>
  <si>
    <t>Int.fin. - Szoc.Intézmények: Jutalom</t>
  </si>
  <si>
    <t>EIM-105</t>
  </si>
  <si>
    <t>EIM-106</t>
  </si>
  <si>
    <t>Int.fin. - Eü.Szolg.:Olympos videoendoszkóp</t>
  </si>
  <si>
    <t>EIM-110</t>
  </si>
  <si>
    <t>Int.fin - Bölcsődék-Óvodák: Differ kimeneti mérés</t>
  </si>
  <si>
    <t>EIM-111</t>
  </si>
  <si>
    <t>Int.fin. - Szemlőhegy Óvoda: napvitorlák</t>
  </si>
  <si>
    <t>Int.fin. - IMK: Bolyai Óvoda festés</t>
  </si>
  <si>
    <t>EIM-H-20</t>
  </si>
  <si>
    <t>Klimaberendezés cseréje 409. irodában</t>
  </si>
  <si>
    <t>Közter.Felügy.elh.műszaki ellenőrzése</t>
  </si>
  <si>
    <t>EIM-107</t>
  </si>
  <si>
    <t>EIM-108</t>
  </si>
  <si>
    <t>Kház u.4.Óvoda belső felúj.műszaki ellenőrzése</t>
  </si>
  <si>
    <t>EIM-112</t>
  </si>
  <si>
    <t>EIM-114</t>
  </si>
  <si>
    <t>Hidegkúti út 244. kerítés építés</t>
  </si>
  <si>
    <t>EIM-115</t>
  </si>
  <si>
    <t>EIM-116</t>
  </si>
  <si>
    <t>EIM-H-25</t>
  </si>
  <si>
    <t>Közcélú foglalkoztatás</t>
  </si>
  <si>
    <t>EIM-120</t>
  </si>
  <si>
    <t>IGI - Biztosítási díj</t>
  </si>
  <si>
    <t>Intézményekben elvégzendő munkákra</t>
  </si>
  <si>
    <t>EIM-H-26</t>
  </si>
  <si>
    <t>Bevételek átcsoportosítása</t>
  </si>
  <si>
    <t>Intézmények fel nem használt maradvány befiz.</t>
  </si>
  <si>
    <t>EIM-118</t>
  </si>
  <si>
    <t>EIM-119</t>
  </si>
  <si>
    <t>Előző évben adott, fel nem haszn.tám.visszafizetése</t>
  </si>
  <si>
    <t>Előző évben adott, fel nem haszn.tám.visszafiz.</t>
  </si>
  <si>
    <t>EIM-122</t>
  </si>
  <si>
    <t>Reprezentációból áfá-ra átcsoportosítás</t>
  </si>
  <si>
    <t>EIM-124</t>
  </si>
  <si>
    <t>Részesedés megszűnéséhez kapcsolódó bev.</t>
  </si>
  <si>
    <t>EIM-125</t>
  </si>
  <si>
    <t>Többletbevételek beemelése</t>
  </si>
  <si>
    <t>Bérfeszültség enyhítésére kapott tám.</t>
  </si>
  <si>
    <t>EIM-128</t>
  </si>
  <si>
    <t>Iparűzési adó költségtérítése Főváros felé</t>
  </si>
  <si>
    <t>EIM-131</t>
  </si>
  <si>
    <t>EIM-132</t>
  </si>
  <si>
    <t>Kincstárjegy vásárláshoz kapcs.kamatkiadás</t>
  </si>
  <si>
    <t>EIM-H-27</t>
  </si>
  <si>
    <t>Tervezési munkák PH főépületben</t>
  </si>
  <si>
    <t>EIM-136</t>
  </si>
  <si>
    <t>Int.fin. - Ptypang Óvoda csapadékvíz elvezetés</t>
  </si>
  <si>
    <t>EIM-137</t>
  </si>
  <si>
    <t>Int.fin. - Egyesített Bölcsődék csapadékvíz elvezetés</t>
  </si>
  <si>
    <t>EIM-138</t>
  </si>
  <si>
    <t>Int.fin. - Szászorszép Óvoda csapadékvíz elvezetés</t>
  </si>
  <si>
    <t>EIM-139</t>
  </si>
  <si>
    <t>Int.fin. - IMK udvari szennyvízgyűjtő csatornák jav.</t>
  </si>
  <si>
    <t>EIM-135</t>
  </si>
  <si>
    <t>EIM-134</t>
  </si>
  <si>
    <t>Int.fin.-Eü.Szolg.Egészségnap- szűrővizsgálatok</t>
  </si>
  <si>
    <t>Int.fin. - Szászorszép Óvoda jogi tanácsadás</t>
  </si>
  <si>
    <t>EIM-145</t>
  </si>
  <si>
    <t>Int.fin. - Szászorszép Óvoda Difer feld.,Fejlesztők</t>
  </si>
  <si>
    <t>EIM-133</t>
  </si>
  <si>
    <t>Bfenyvesi üdülőtábor -kiviteli ktg.fed-hez</t>
  </si>
  <si>
    <t>EIM-140</t>
  </si>
  <si>
    <t>Kulturális Közh.Np.Kft.műk.tám.-megnöv.feladatok</t>
  </si>
  <si>
    <t>EIM-142</t>
  </si>
  <si>
    <t>EIM-144</t>
  </si>
  <si>
    <t>Uszoda - Gázelosztó vezeték tervezése</t>
  </si>
  <si>
    <t>EIM-147</t>
  </si>
  <si>
    <t>NGM támogatás elektromos autó vásárláshoz</t>
  </si>
  <si>
    <t>EIM-148</t>
  </si>
  <si>
    <t>Közter.Felügy. Bírság bev. Önk-ot meg nem illető rész</t>
  </si>
  <si>
    <t>Gépjármű értékesítése</t>
  </si>
  <si>
    <t>EIM-149</t>
  </si>
  <si>
    <t>EIM-150</t>
  </si>
  <si>
    <t>Lakás bérleti jogviszony megváltása</t>
  </si>
  <si>
    <t>2016.évi pótlólagos állami támogatás</t>
  </si>
  <si>
    <t>EIM-151</t>
  </si>
  <si>
    <t>EIM-152</t>
  </si>
  <si>
    <t>Uszoda beruházás lebonyolítása</t>
  </si>
  <si>
    <t>EIM-153</t>
  </si>
  <si>
    <t>Fejl-khez kapcs.szakértői,véleményezési feladatok</t>
  </si>
  <si>
    <t xml:space="preserve">Bursa Hungarica fel nem használt ösztöndíj </t>
  </si>
  <si>
    <t>EIM-154</t>
  </si>
  <si>
    <t>EIM-155</t>
  </si>
  <si>
    <t>Tematikus játszótér kialakítása a Vérhalom téren</t>
  </si>
  <si>
    <t>EIM-H-30</t>
  </si>
  <si>
    <t>Gép- és bútorbeszerzésekre átcsop.</t>
  </si>
  <si>
    <t>EIM-156</t>
  </si>
  <si>
    <t>Állategészségügyi kiadások átcsop.</t>
  </si>
  <si>
    <t>EIM-159</t>
  </si>
  <si>
    <t>Margit krt 7. szellőző rendszer kialakítás</t>
  </si>
  <si>
    <t>EIM-H-31
EIM-159</t>
  </si>
  <si>
    <t>EIM-162</t>
  </si>
  <si>
    <t>Beruházás fordított áfája</t>
  </si>
  <si>
    <t>Óvodapedagósok munkáját segítők kieg.tám.</t>
  </si>
  <si>
    <t>EIM-167</t>
  </si>
  <si>
    <t>EIM-168</t>
  </si>
  <si>
    <t>Kötelező felelősség biztositás új járműhöz</t>
  </si>
  <si>
    <t>EIM-169</t>
  </si>
  <si>
    <t>Bfenyvesi gyermektábor kiviteli terve többlet pld.</t>
  </si>
  <si>
    <t>EIM-171</t>
  </si>
  <si>
    <t>EIM-174</t>
  </si>
  <si>
    <t>Ingatlanok cseréje MNV Zrt-vel</t>
  </si>
  <si>
    <t>EIM-176</t>
  </si>
  <si>
    <t>EIM-177</t>
  </si>
  <si>
    <t>Int.fin.-Községház u. Óvoda belső felújítás</t>
  </si>
  <si>
    <t>EIM-178</t>
  </si>
  <si>
    <t>EIM-179</t>
  </si>
  <si>
    <t>EIM-180</t>
  </si>
  <si>
    <t>EIM-181</t>
  </si>
  <si>
    <t>Int.fin.-Eü.Szolg. Eszközbeszerzések</t>
  </si>
  <si>
    <t>Int.fin. -  Szociális ágazati pótlék</t>
  </si>
  <si>
    <t>Int.fin.-Középfokú végzettségűek pótléka</t>
  </si>
  <si>
    <t>Int.fin.- Egy.bölcsődék, Óvodák bérkompenzációja</t>
  </si>
  <si>
    <t>Int.fin. Eü.Szolg. - bérkompenzáció</t>
  </si>
  <si>
    <t>PH. Bérkompenzáció</t>
  </si>
  <si>
    <t>EIM-H-32
EIM-181/PH</t>
  </si>
  <si>
    <t>EIM-H-33</t>
  </si>
  <si>
    <t>EIM-182</t>
  </si>
  <si>
    <t>Int.fin. - Óvodai dolgozók bértámogatása</t>
  </si>
  <si>
    <t>EIM-192</t>
  </si>
  <si>
    <t>Int.fin. - Óvodák: 5 fő vezetőképző tandíj</t>
  </si>
  <si>
    <t>EIM-H-39</t>
  </si>
  <si>
    <t>Mobiltelefon értékesítés dolgozónak</t>
  </si>
  <si>
    <t>EIM-184</t>
  </si>
  <si>
    <t>EIM-185</t>
  </si>
  <si>
    <t>Vérhalom tér és Zsigmond téri játszótér fejl.</t>
  </si>
  <si>
    <t>EIM-186</t>
  </si>
  <si>
    <t>EIM-187</t>
  </si>
  <si>
    <t>Jó adatszolgáltató önkormányzatok tám.</t>
  </si>
  <si>
    <t>EIM-H-34
EIM-187</t>
  </si>
  <si>
    <t>EIM-188</t>
  </si>
  <si>
    <t>EIM-189</t>
  </si>
  <si>
    <t>Zöldlomb u. vízbekötési díj</t>
  </si>
  <si>
    <t>EIM-191</t>
  </si>
  <si>
    <t>Klebelsberg díj elkészítésére</t>
  </si>
  <si>
    <t>EIM-193</t>
  </si>
  <si>
    <t>EIM-194</t>
  </si>
  <si>
    <t xml:space="preserve">Adójutalék - tartalék felhasználása </t>
  </si>
  <si>
    <t>EIM-H-37
EIM-194</t>
  </si>
  <si>
    <t xml:space="preserve">Adójutalék </t>
  </si>
  <si>
    <t>EIM-195</t>
  </si>
  <si>
    <t>EIM-197</t>
  </si>
  <si>
    <t>CASCO biztositás új járműhöz</t>
  </si>
  <si>
    <t>EIM-201</t>
  </si>
  <si>
    <t>Margit krt.7. klíma tervezés</t>
  </si>
  <si>
    <t>EIM-200</t>
  </si>
  <si>
    <t>Települési vízellátás igazgatás szolgáltatási díja</t>
  </si>
  <si>
    <t>Kulturális Közh.Táborszervező és színes dipl. ped-k jutalm.</t>
  </si>
  <si>
    <t>EIM-203</t>
  </si>
  <si>
    <t>EIM-H-40</t>
  </si>
  <si>
    <t>Szerverszoba antisztatikus padlóburkolata</t>
  </si>
  <si>
    <t>EIM-H-41</t>
  </si>
  <si>
    <t>EIM-205</t>
  </si>
  <si>
    <t>Személyes szabadság, kárpótlás</t>
  </si>
  <si>
    <t>EIM-209</t>
  </si>
  <si>
    <t>Isk-i közétkeztetés lebonyolítás adm.feladatra</t>
  </si>
  <si>
    <t>EIM-210</t>
  </si>
  <si>
    <t>Testvérvárosi kapcsolatok -  Mosbachi látogatók</t>
  </si>
  <si>
    <t>EIM-211</t>
  </si>
  <si>
    <t>Int.fin.-Eü.Szolg. Hunyadi J. u. 81-85. javítási munkák</t>
  </si>
  <si>
    <t>EIM-H-47</t>
  </si>
  <si>
    <t>EIM-212</t>
  </si>
  <si>
    <t>Balatonfenyvesi gyermektábor építés fordított áfa</t>
  </si>
  <si>
    <t>EIM-216</t>
  </si>
  <si>
    <t>Új jármű beszerzéshez kapcs.kiadások</t>
  </si>
  <si>
    <t>EIM-219</t>
  </si>
  <si>
    <t>EIM-221</t>
  </si>
  <si>
    <t>Bérlő által el nem végzett munkák</t>
  </si>
  <si>
    <t>EIM-222</t>
  </si>
  <si>
    <t>Államkötvény beváltás, kincstárjegy vásárlás</t>
  </si>
  <si>
    <t>Bevétel átcsoportosítás</t>
  </si>
  <si>
    <t>EIM-223</t>
  </si>
  <si>
    <t>Nem intézmények által ellátott önkormányzati feladatok bevételi előirányzatain végrehajtott saját hatáskörű változtatások kiemelt előirányzatonként 
2017. május 1 - től   2017. szeptember 30 - ig</t>
  </si>
  <si>
    <t>Nem intézmények által ellátott önkormányzati feladatok kiadási előirányzatain végrehajtott saját hatáskörű változtatások kiemelt előirányzatonként 
2017. május 1 - től   2017. szeptember 30 - ig</t>
  </si>
  <si>
    <t>A Polgármesteri Hivatal által ellátott feladatok bevételi előirányzatain végrehajtott változtatások kiemelt előirányzatonként 
2017. május 1 - től   2017. szeptember 30 - ig</t>
  </si>
  <si>
    <t>A Polgármesteri Hivatal által ellátott feladatok kiadási előirányzatain végrehajtott változtatások kiemelt előirányzatonként 
2017. május 1 - től   2017. szeptember 30 - 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</si>
</sst>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F_t_-;\-* #,##0.00\ _F_t_-;_-* &quot;-&quot;??\ _F_t_-;_-@_-"/>
    <numFmt numFmtId="165" formatCode="#,##0\ _F_t"/>
    <numFmt numFmtId="166" formatCode="#,##0.000"/>
    <numFmt numFmtId="167" formatCode="_-* #,##0.000\ _F_t_-;\-* #,##0.000\ _F_t_-;_-* &quot;-&quot;??\ _F_t_-;_-@_-"/>
    <numFmt numFmtId="168" formatCode="_-* #,##0\ _F_t_-;\-* #,##0\ _F_t_-;_-* &quot;-&quot;??\ _F_t_-;_-@_-"/>
    <numFmt numFmtId="169" formatCode="#,##0.000;[Red]#,##0.000"/>
    <numFmt numFmtId="170" formatCode="0.00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8"/>
      <name val="Arial"/>
      <family val="2"/>
      <charset val="238"/>
    </font>
    <font>
      <sz val="13"/>
      <name val="Times New Roman CE"/>
      <family val="1"/>
      <charset val="238"/>
    </font>
    <font>
      <sz val="10"/>
      <name val="Times New Roman CE"/>
      <family val="1"/>
      <charset val="238"/>
    </font>
    <font>
      <b/>
      <sz val="13"/>
      <name val="Times New Roman CE"/>
      <family val="1"/>
      <charset val="238"/>
    </font>
    <font>
      <sz val="9"/>
      <name val="Times New Roman CE"/>
      <family val="1"/>
      <charset val="238"/>
    </font>
    <font>
      <sz val="13"/>
      <name val="Times New Roman CE"/>
      <charset val="238"/>
    </font>
    <font>
      <i/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Times New Roman CE"/>
      <charset val="238"/>
    </font>
    <font>
      <sz val="12"/>
      <name val="Times New Roman CE"/>
      <family val="1"/>
      <charset val="238"/>
    </font>
    <font>
      <i/>
      <sz val="13"/>
      <name val="Times New Roman CE"/>
      <charset val="238"/>
    </font>
    <font>
      <sz val="11"/>
      <name val="Times New Roman CE"/>
      <family val="1"/>
      <charset val="238"/>
    </font>
    <font>
      <i/>
      <sz val="10"/>
      <name val="Times New Roman CE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3"/>
      <color indexed="10"/>
      <name val="Times New Roman CE"/>
      <family val="1"/>
      <charset val="238"/>
    </font>
    <font>
      <sz val="11"/>
      <name val="Times New Roman CE"/>
      <charset val="238"/>
    </font>
    <font>
      <b/>
      <i/>
      <sz val="11"/>
      <name val="Times New Roman CE"/>
      <charset val="238"/>
    </font>
    <font>
      <sz val="14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2" fillId="0" borderId="0"/>
  </cellStyleXfs>
  <cellXfs count="666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4" fillId="0" borderId="1" xfId="2" applyFont="1" applyBorder="1" applyAlignment="1">
      <alignment horizontal="right" vertical="top"/>
    </xf>
    <xf numFmtId="0" fontId="4" fillId="0" borderId="2" xfId="2" applyFont="1" applyBorder="1"/>
    <xf numFmtId="0" fontId="4" fillId="0" borderId="3" xfId="2" applyFont="1" applyBorder="1"/>
    <xf numFmtId="0" fontId="4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4" fillId="0" borderId="5" xfId="2" applyFont="1" applyBorder="1"/>
    <xf numFmtId="0" fontId="4" fillId="0" borderId="6" xfId="2" applyFont="1" applyBorder="1"/>
    <xf numFmtId="0" fontId="4" fillId="0" borderId="6" xfId="2" applyFont="1" applyBorder="1" applyAlignment="1">
      <alignment horizontal="center"/>
    </xf>
    <xf numFmtId="0" fontId="4" fillId="0" borderId="7" xfId="2" applyFont="1" applyBorder="1" applyAlignment="1"/>
    <xf numFmtId="0" fontId="6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right"/>
    </xf>
    <xf numFmtId="0" fontId="4" fillId="0" borderId="14" xfId="2" applyFont="1" applyBorder="1" applyAlignment="1">
      <alignment horizontal="right"/>
    </xf>
    <xf numFmtId="0" fontId="9" fillId="0" borderId="15" xfId="2" applyFont="1" applyBorder="1" applyAlignment="1">
      <alignment horizontal="right" vertical="center"/>
    </xf>
    <xf numFmtId="3" fontId="9" fillId="0" borderId="15" xfId="2" applyNumberFormat="1" applyFont="1" applyBorder="1" applyAlignment="1">
      <alignment horizontal="right" vertical="center" wrapText="1"/>
    </xf>
    <xf numFmtId="0" fontId="4" fillId="0" borderId="5" xfId="2" applyFont="1" applyBorder="1" applyAlignment="1">
      <alignment horizontal="center" vertical="top"/>
    </xf>
    <xf numFmtId="49" fontId="8" fillId="0" borderId="15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3" fontId="5" fillId="0" borderId="0" xfId="2" applyNumberFormat="1" applyFont="1"/>
    <xf numFmtId="1" fontId="8" fillId="0" borderId="15" xfId="2" applyNumberFormat="1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165" fontId="11" fillId="0" borderId="17" xfId="2" applyNumberFormat="1" applyFont="1" applyBorder="1" applyAlignment="1">
      <alignment vertical="center" wrapText="1"/>
    </xf>
    <xf numFmtId="165" fontId="11" fillId="0" borderId="18" xfId="2" applyNumberFormat="1" applyFont="1" applyBorder="1" applyAlignment="1">
      <alignment vertical="center" wrapText="1"/>
    </xf>
    <xf numFmtId="0" fontId="12" fillId="0" borderId="10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vertical="center" wrapText="1"/>
    </xf>
    <xf numFmtId="0" fontId="5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vertical="center"/>
    </xf>
    <xf numFmtId="1" fontId="4" fillId="0" borderId="15" xfId="2" applyNumberFormat="1" applyFont="1" applyBorder="1" applyAlignment="1">
      <alignment horizontal="center" vertical="center" wrapText="1"/>
    </xf>
    <xf numFmtId="16" fontId="5" fillId="0" borderId="16" xfId="2" quotePrefix="1" applyNumberFormat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165" fontId="8" fillId="0" borderId="10" xfId="2" applyNumberFormat="1" applyFont="1" applyBorder="1" applyAlignment="1">
      <alignment vertical="center" wrapText="1"/>
    </xf>
    <xf numFmtId="0" fontId="12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/>
    </xf>
    <xf numFmtId="3" fontId="12" fillId="0" borderId="10" xfId="2" applyNumberFormat="1" applyFont="1" applyBorder="1" applyAlignment="1">
      <alignment vertical="center" wrapText="1"/>
    </xf>
    <xf numFmtId="0" fontId="5" fillId="0" borderId="0" xfId="2" applyFont="1" applyBorder="1"/>
    <xf numFmtId="0" fontId="4" fillId="0" borderId="1" xfId="2" applyFont="1" applyBorder="1" applyAlignment="1">
      <alignment vertical="top"/>
    </xf>
    <xf numFmtId="0" fontId="4" fillId="0" borderId="2" xfId="2" applyFont="1" applyBorder="1" applyAlignment="1">
      <alignment vertical="top"/>
    </xf>
    <xf numFmtId="0" fontId="6" fillId="0" borderId="0" xfId="2" applyFont="1" applyBorder="1" applyAlignment="1">
      <alignment horizontal="center"/>
    </xf>
    <xf numFmtId="0" fontId="4" fillId="0" borderId="5" xfId="2" applyFont="1" applyBorder="1" applyAlignment="1">
      <alignment vertical="top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6" xfId="0" applyFont="1" applyFill="1" applyBorder="1" applyAlignment="1">
      <alignment horizontal="center"/>
    </xf>
    <xf numFmtId="0" fontId="13" fillId="0" borderId="13" xfId="2" applyFont="1" applyBorder="1" applyAlignment="1">
      <alignment vertical="top"/>
    </xf>
    <xf numFmtId="0" fontId="13" fillId="0" borderId="15" xfId="2" applyFont="1" applyBorder="1" applyAlignment="1">
      <alignment horizontal="right" vertical="center"/>
    </xf>
    <xf numFmtId="3" fontId="13" fillId="0" borderId="0" xfId="2" applyNumberFormat="1" applyFont="1" applyBorder="1"/>
    <xf numFmtId="3" fontId="11" fillId="0" borderId="0" xfId="2" applyNumberFormat="1" applyFont="1" applyBorder="1"/>
    <xf numFmtId="0" fontId="15" fillId="0" borderId="0" xfId="2" applyFont="1"/>
    <xf numFmtId="0" fontId="8" fillId="0" borderId="5" xfId="2" applyFont="1" applyBorder="1" applyAlignment="1">
      <alignment horizontal="center" vertical="top"/>
    </xf>
    <xf numFmtId="3" fontId="4" fillId="0" borderId="0" xfId="2" applyNumberFormat="1" applyFont="1" applyBorder="1"/>
    <xf numFmtId="3" fontId="6" fillId="0" borderId="0" xfId="2" applyNumberFormat="1" applyFont="1" applyBorder="1"/>
    <xf numFmtId="3" fontId="8" fillId="0" borderId="10" xfId="2" applyNumberFormat="1" applyFont="1" applyFill="1" applyBorder="1" applyAlignment="1">
      <alignment vertical="center" wrapText="1"/>
    </xf>
    <xf numFmtId="3" fontId="8" fillId="0" borderId="10" xfId="2" applyNumberFormat="1" applyFont="1" applyBorder="1" applyAlignment="1">
      <alignment vertical="center" wrapText="1"/>
    </xf>
    <xf numFmtId="3" fontId="8" fillId="0" borderId="19" xfId="2" applyNumberFormat="1" applyFont="1" applyBorder="1" applyAlignment="1">
      <alignment vertical="center" wrapText="1"/>
    </xf>
    <xf numFmtId="49" fontId="12" fillId="0" borderId="15" xfId="2" applyNumberFormat="1" applyFont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vertical="center" wrapText="1"/>
    </xf>
    <xf numFmtId="3" fontId="18" fillId="0" borderId="20" xfId="2" applyNumberFormat="1" applyFont="1" applyBorder="1" applyAlignment="1">
      <alignment vertical="center" wrapText="1"/>
    </xf>
    <xf numFmtId="3" fontId="8" fillId="0" borderId="20" xfId="2" applyNumberFormat="1" applyFont="1" applyBorder="1" applyAlignment="1">
      <alignment vertical="center" wrapText="1"/>
    </xf>
    <xf numFmtId="3" fontId="8" fillId="0" borderId="20" xfId="2" applyNumberFormat="1" applyFont="1" applyFill="1" applyBorder="1" applyAlignment="1">
      <alignment vertical="center" wrapText="1"/>
    </xf>
    <xf numFmtId="3" fontId="10" fillId="0" borderId="21" xfId="2" applyNumberFormat="1" applyFont="1" applyBorder="1" applyAlignment="1">
      <alignment vertical="center"/>
    </xf>
    <xf numFmtId="0" fontId="5" fillId="0" borderId="17" xfId="2" applyFont="1" applyBorder="1"/>
    <xf numFmtId="0" fontId="8" fillId="0" borderId="5" xfId="2" applyFont="1" applyBorder="1" applyAlignment="1">
      <alignment horizontal="center" vertical="center"/>
    </xf>
    <xf numFmtId="3" fontId="16" fillId="0" borderId="22" xfId="2" applyNumberFormat="1" applyFont="1" applyBorder="1" applyAlignment="1">
      <alignment vertical="center" wrapText="1"/>
    </xf>
    <xf numFmtId="0" fontId="8" fillId="0" borderId="11" xfId="2" applyFont="1" applyBorder="1" applyAlignment="1">
      <alignment horizontal="center" vertical="center" wrapText="1"/>
    </xf>
    <xf numFmtId="3" fontId="5" fillId="0" borderId="0" xfId="2" applyNumberFormat="1" applyFont="1" applyBorder="1"/>
    <xf numFmtId="3" fontId="10" fillId="0" borderId="17" xfId="2" applyNumberFormat="1" applyFont="1" applyBorder="1" applyAlignment="1">
      <alignment vertical="center"/>
    </xf>
    <xf numFmtId="3" fontId="10" fillId="0" borderId="23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vertical="center" wrapText="1"/>
    </xf>
    <xf numFmtId="0" fontId="8" fillId="0" borderId="2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/>
    </xf>
    <xf numFmtId="16" fontId="4" fillId="0" borderId="16" xfId="2" applyNumberFormat="1" applyFont="1" applyBorder="1" applyAlignment="1">
      <alignment vertical="center"/>
    </xf>
    <xf numFmtId="0" fontId="4" fillId="0" borderId="0" xfId="2" applyFont="1" applyAlignment="1">
      <alignment vertical="top"/>
    </xf>
    <xf numFmtId="0" fontId="13" fillId="0" borderId="25" xfId="2" applyFont="1" applyBorder="1" applyAlignment="1">
      <alignment vertical="center"/>
    </xf>
    <xf numFmtId="3" fontId="8" fillId="0" borderId="25" xfId="2" applyNumberFormat="1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3" fontId="8" fillId="0" borderId="20" xfId="2" applyNumberFormat="1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3" fontId="8" fillId="0" borderId="26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/>
    </xf>
    <xf numFmtId="0" fontId="6" fillId="0" borderId="28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3" fontId="17" fillId="0" borderId="29" xfId="2" applyNumberFormat="1" applyFont="1" applyBorder="1" applyAlignment="1">
      <alignment vertical="center" wrapText="1"/>
    </xf>
    <xf numFmtId="3" fontId="17" fillId="0" borderId="30" xfId="2" applyNumberFormat="1" applyFont="1" applyBorder="1" applyAlignment="1">
      <alignment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32" xfId="2" applyFont="1" applyBorder="1" applyAlignment="1">
      <alignment vertical="center" wrapText="1"/>
    </xf>
    <xf numFmtId="3" fontId="8" fillId="0" borderId="33" xfId="2" applyNumberFormat="1" applyFont="1" applyBorder="1" applyAlignment="1">
      <alignment vertical="center" wrapText="1"/>
    </xf>
    <xf numFmtId="3" fontId="8" fillId="0" borderId="34" xfId="2" applyNumberFormat="1" applyFont="1" applyBorder="1" applyAlignment="1">
      <alignment vertical="center" wrapText="1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4" fillId="0" borderId="35" xfId="2" applyFont="1" applyBorder="1"/>
    <xf numFmtId="0" fontId="4" fillId="0" borderId="36" xfId="2" applyFont="1" applyBorder="1"/>
    <xf numFmtId="0" fontId="4" fillId="0" borderId="36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36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49" fontId="8" fillId="0" borderId="11" xfId="2" applyNumberFormat="1" applyFont="1" applyBorder="1" applyAlignment="1">
      <alignment horizontal="center" vertical="center" wrapText="1"/>
    </xf>
    <xf numFmtId="0" fontId="4" fillId="0" borderId="35" xfId="2" applyFont="1" applyBorder="1" applyAlignment="1">
      <alignment vertical="top"/>
    </xf>
    <xf numFmtId="0" fontId="4" fillId="0" borderId="9" xfId="2" applyFont="1" applyFill="1" applyBorder="1" applyAlignment="1">
      <alignment horizontal="center"/>
    </xf>
    <xf numFmtId="49" fontId="4" fillId="0" borderId="36" xfId="2" applyNumberFormat="1" applyFont="1" applyBorder="1" applyAlignment="1">
      <alignment horizontal="center"/>
    </xf>
    <xf numFmtId="0" fontId="14" fillId="0" borderId="36" xfId="2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10" xfId="2" applyFont="1" applyBorder="1" applyAlignment="1">
      <alignment horizontal="center" vertical="center" wrapText="1"/>
    </xf>
    <xf numFmtId="3" fontId="10" fillId="0" borderId="17" xfId="2" applyNumberFormat="1" applyFont="1" applyFill="1" applyBorder="1" applyAlignment="1">
      <alignment vertical="center"/>
    </xf>
    <xf numFmtId="0" fontId="4" fillId="2" borderId="33" xfId="0" applyFont="1" applyFill="1" applyBorder="1" applyAlignment="1">
      <alignment horizontal="center"/>
    </xf>
    <xf numFmtId="3" fontId="8" fillId="0" borderId="39" xfId="2" applyNumberFormat="1" applyFont="1" applyBorder="1" applyAlignment="1">
      <alignment vertical="center"/>
    </xf>
    <xf numFmtId="166" fontId="5" fillId="0" borderId="0" xfId="2" applyNumberFormat="1" applyFont="1" applyBorder="1"/>
    <xf numFmtId="0" fontId="4" fillId="0" borderId="40" xfId="2" applyFont="1" applyBorder="1" applyAlignment="1">
      <alignment horizontal="center"/>
    </xf>
    <xf numFmtId="0" fontId="13" fillId="0" borderId="11" xfId="2" applyFont="1" applyBorder="1" applyAlignment="1">
      <alignment horizontal="right" vertical="center"/>
    </xf>
    <xf numFmtId="0" fontId="10" fillId="0" borderId="16" xfId="2" applyFont="1" applyBorder="1" applyAlignment="1">
      <alignment horizontal="center"/>
    </xf>
    <xf numFmtId="0" fontId="4" fillId="0" borderId="16" xfId="2" applyFont="1" applyBorder="1" applyAlignment="1">
      <alignment horizontal="center" vertical="top"/>
    </xf>
    <xf numFmtId="49" fontId="12" fillId="0" borderId="11" xfId="2" applyNumberFormat="1" applyFont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 vertical="center" wrapText="1"/>
    </xf>
    <xf numFmtId="1" fontId="8" fillId="0" borderId="10" xfId="2" applyNumberFormat="1" applyFont="1" applyBorder="1" applyAlignment="1">
      <alignment horizontal="center" vertical="center" wrapText="1"/>
    </xf>
    <xf numFmtId="3" fontId="16" fillId="0" borderId="10" xfId="2" applyNumberFormat="1" applyFont="1" applyBorder="1" applyAlignment="1">
      <alignment vertical="center" wrapText="1"/>
    </xf>
    <xf numFmtId="3" fontId="6" fillId="0" borderId="41" xfId="2" applyNumberFormat="1" applyFont="1" applyBorder="1" applyAlignment="1">
      <alignment horizontal="right" vertical="center" wrapText="1"/>
    </xf>
    <xf numFmtId="3" fontId="9" fillId="0" borderId="42" xfId="2" applyNumberFormat="1" applyFont="1" applyBorder="1" applyAlignment="1">
      <alignment horizontal="right" vertical="center" wrapText="1"/>
    </xf>
    <xf numFmtId="3" fontId="9" fillId="0" borderId="22" xfId="2" applyNumberFormat="1" applyFont="1" applyBorder="1"/>
    <xf numFmtId="3" fontId="9" fillId="0" borderId="43" xfId="2" applyNumberFormat="1" applyFont="1" applyBorder="1"/>
    <xf numFmtId="0" fontId="4" fillId="0" borderId="11" xfId="2" applyFont="1" applyBorder="1" applyAlignment="1">
      <alignment horizontal="center" vertical="center" wrapText="1"/>
    </xf>
    <xf numFmtId="0" fontId="9" fillId="0" borderId="44" xfId="2" applyFont="1" applyBorder="1" applyAlignment="1">
      <alignment vertical="center" wrapText="1"/>
    </xf>
    <xf numFmtId="3" fontId="18" fillId="0" borderId="44" xfId="2" applyNumberFormat="1" applyFont="1" applyFill="1" applyBorder="1" applyAlignment="1">
      <alignment vertical="center" wrapText="1"/>
    </xf>
    <xf numFmtId="3" fontId="8" fillId="0" borderId="44" xfId="2" applyNumberFormat="1" applyFont="1" applyFill="1" applyBorder="1" applyAlignment="1">
      <alignment vertical="center" wrapText="1"/>
    </xf>
    <xf numFmtId="3" fontId="8" fillId="0" borderId="44" xfId="2" applyNumberFormat="1" applyFont="1" applyBorder="1" applyAlignment="1">
      <alignment vertical="center" wrapText="1"/>
    </xf>
    <xf numFmtId="0" fontId="4" fillId="0" borderId="45" xfId="2" applyFont="1" applyBorder="1" applyAlignment="1">
      <alignment horizontal="center" vertical="top"/>
    </xf>
    <xf numFmtId="0" fontId="4" fillId="0" borderId="46" xfId="2" applyFont="1" applyBorder="1" applyAlignment="1">
      <alignment horizontal="center" vertical="top"/>
    </xf>
    <xf numFmtId="0" fontId="13" fillId="0" borderId="14" xfId="2" applyFont="1" applyBorder="1"/>
    <xf numFmtId="3" fontId="13" fillId="0" borderId="15" xfId="2" applyNumberFormat="1" applyFont="1" applyBorder="1" applyAlignment="1">
      <alignment vertical="center" wrapText="1"/>
    </xf>
    <xf numFmtId="3" fontId="13" fillId="0" borderId="47" xfId="2" applyNumberFormat="1" applyFont="1" applyBorder="1" applyAlignment="1">
      <alignment vertical="center" wrapText="1"/>
    </xf>
    <xf numFmtId="3" fontId="11" fillId="0" borderId="42" xfId="2" applyNumberFormat="1" applyFont="1" applyBorder="1" applyAlignment="1">
      <alignment horizontal="right" vertical="center" wrapText="1"/>
    </xf>
    <xf numFmtId="3" fontId="9" fillId="0" borderId="15" xfId="2" applyNumberFormat="1" applyFont="1" applyFill="1" applyBorder="1" applyAlignment="1">
      <alignment horizontal="right" vertical="center" wrapText="1"/>
    </xf>
    <xf numFmtId="166" fontId="8" fillId="0" borderId="10" xfId="2" applyNumberFormat="1" applyFont="1" applyBorder="1" applyAlignment="1">
      <alignment vertical="center" wrapText="1"/>
    </xf>
    <xf numFmtId="0" fontId="8" fillId="0" borderId="13" xfId="2" applyFont="1" applyBorder="1" applyAlignment="1">
      <alignment horizontal="center" vertical="top"/>
    </xf>
    <xf numFmtId="3" fontId="10" fillId="0" borderId="21" xfId="2" applyNumberFormat="1" applyFont="1" applyFill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166" fontId="8" fillId="0" borderId="10" xfId="2" applyNumberFormat="1" applyFont="1" applyFill="1" applyBorder="1" applyAlignment="1">
      <alignment vertical="center" wrapText="1"/>
    </xf>
    <xf numFmtId="166" fontId="8" fillId="0" borderId="19" xfId="2" applyNumberFormat="1" applyFont="1" applyBorder="1" applyAlignment="1">
      <alignment vertical="center" wrapText="1"/>
    </xf>
    <xf numFmtId="166" fontId="10" fillId="0" borderId="17" xfId="2" applyNumberFormat="1" applyFont="1" applyBorder="1" applyAlignment="1">
      <alignment vertical="center"/>
    </xf>
    <xf numFmtId="166" fontId="8" fillId="0" borderId="17" xfId="2" applyNumberFormat="1" applyFont="1" applyBorder="1" applyAlignment="1">
      <alignment vertical="center" wrapText="1"/>
    </xf>
    <xf numFmtId="166" fontId="10" fillId="0" borderId="23" xfId="2" applyNumberFormat="1" applyFont="1" applyBorder="1" applyAlignment="1">
      <alignment vertical="center"/>
    </xf>
    <xf numFmtId="166" fontId="12" fillId="0" borderId="10" xfId="2" applyNumberFormat="1" applyFont="1" applyBorder="1" applyAlignment="1">
      <alignment vertical="center" wrapText="1"/>
    </xf>
    <xf numFmtId="166" fontId="12" fillId="0" borderId="19" xfId="2" applyNumberFormat="1" applyFont="1" applyBorder="1" applyAlignment="1">
      <alignment vertical="center" wrapText="1"/>
    </xf>
    <xf numFmtId="166" fontId="10" fillId="0" borderId="21" xfId="2" applyNumberFormat="1" applyFont="1" applyBorder="1" applyAlignment="1">
      <alignment vertical="center" wrapText="1"/>
    </xf>
    <xf numFmtId="166" fontId="5" fillId="0" borderId="0" xfId="2" applyNumberFormat="1" applyFont="1"/>
    <xf numFmtId="166" fontId="4" fillId="0" borderId="10" xfId="2" applyNumberFormat="1" applyFont="1" applyBorder="1" applyAlignment="1">
      <alignment vertical="center" wrapText="1"/>
    </xf>
    <xf numFmtId="166" fontId="4" fillId="0" borderId="19" xfId="2" applyNumberFormat="1" applyFont="1" applyBorder="1" applyAlignment="1">
      <alignment vertical="center" wrapText="1"/>
    </xf>
    <xf numFmtId="166" fontId="6" fillId="0" borderId="8" xfId="2" applyNumberFormat="1" applyFont="1" applyBorder="1" applyAlignment="1">
      <alignment vertical="center" wrapText="1"/>
    </xf>
    <xf numFmtId="166" fontId="4" fillId="0" borderId="33" xfId="2" applyNumberFormat="1" applyFont="1" applyBorder="1" applyAlignment="1">
      <alignment vertical="center" wrapText="1"/>
    </xf>
    <xf numFmtId="166" fontId="11" fillId="0" borderId="17" xfId="2" applyNumberFormat="1" applyFont="1" applyBorder="1" applyAlignment="1">
      <alignment vertical="center" wrapText="1"/>
    </xf>
    <xf numFmtId="166" fontId="11" fillId="0" borderId="18" xfId="2" applyNumberFormat="1" applyFont="1" applyBorder="1" applyAlignment="1">
      <alignment vertical="center" wrapText="1"/>
    </xf>
    <xf numFmtId="166" fontId="6" fillId="0" borderId="18" xfId="2" applyNumberFormat="1" applyFont="1" applyBorder="1" applyAlignment="1">
      <alignment vertical="center" wrapText="1"/>
    </xf>
    <xf numFmtId="166" fontId="4" fillId="0" borderId="5" xfId="2" applyNumberFormat="1" applyFont="1" applyBorder="1" applyAlignment="1">
      <alignment vertical="center" wrapText="1"/>
    </xf>
    <xf numFmtId="166" fontId="4" fillId="0" borderId="6" xfId="2" applyNumberFormat="1" applyFont="1" applyBorder="1" applyAlignment="1">
      <alignment vertical="center" wrapText="1"/>
    </xf>
    <xf numFmtId="166" fontId="10" fillId="0" borderId="17" xfId="2" applyNumberFormat="1" applyFont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66" fontId="11" fillId="0" borderId="48" xfId="2" applyNumberFormat="1" applyFont="1" applyBorder="1" applyAlignment="1">
      <alignment vertical="center" wrapText="1"/>
    </xf>
    <xf numFmtId="0" fontId="4" fillId="0" borderId="0" xfId="2" applyFont="1" applyAlignment="1">
      <alignment horizontal="right"/>
    </xf>
    <xf numFmtId="0" fontId="4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 wrapText="1"/>
    </xf>
    <xf numFmtId="0" fontId="10" fillId="0" borderId="50" xfId="2" applyFont="1" applyBorder="1" applyAlignment="1">
      <alignment vertical="center"/>
    </xf>
    <xf numFmtId="166" fontId="10" fillId="0" borderId="51" xfId="2" applyNumberFormat="1" applyFont="1" applyBorder="1" applyAlignment="1">
      <alignment vertical="center"/>
    </xf>
    <xf numFmtId="166" fontId="10" fillId="0" borderId="52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 wrapText="1"/>
    </xf>
    <xf numFmtId="166" fontId="10" fillId="0" borderId="47" xfId="2" applyNumberFormat="1" applyFont="1" applyBorder="1" applyAlignment="1">
      <alignment vertical="center"/>
    </xf>
    <xf numFmtId="166" fontId="10" fillId="0" borderId="42" xfId="2" applyNumberFormat="1" applyFont="1" applyBorder="1" applyAlignment="1">
      <alignment vertical="center"/>
    </xf>
    <xf numFmtId="0" fontId="4" fillId="0" borderId="5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vertical="center"/>
    </xf>
    <xf numFmtId="166" fontId="10" fillId="0" borderId="54" xfId="2" applyNumberFormat="1" applyFont="1" applyBorder="1" applyAlignment="1">
      <alignment vertical="center"/>
    </xf>
    <xf numFmtId="166" fontId="10" fillId="0" borderId="55" xfId="2" applyNumberFormat="1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4" fillId="2" borderId="9" xfId="0" applyFont="1" applyFill="1" applyBorder="1" applyAlignment="1">
      <alignment horizontal="center"/>
    </xf>
    <xf numFmtId="3" fontId="16" fillId="0" borderId="19" xfId="2" applyNumberFormat="1" applyFont="1" applyBorder="1" applyAlignment="1">
      <alignment vertical="center" wrapText="1"/>
    </xf>
    <xf numFmtId="3" fontId="11" fillId="0" borderId="17" xfId="2" applyNumberFormat="1" applyFont="1" applyBorder="1" applyAlignment="1">
      <alignment vertical="center" wrapText="1"/>
    </xf>
    <xf numFmtId="166" fontId="20" fillId="0" borderId="17" xfId="2" applyNumberFormat="1" applyFont="1" applyBorder="1" applyAlignment="1">
      <alignment vertical="center" wrapText="1"/>
    </xf>
    <xf numFmtId="1" fontId="8" fillId="3" borderId="10" xfId="2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3" fontId="8" fillId="0" borderId="22" xfId="2" applyNumberFormat="1" applyFont="1" applyBorder="1" applyAlignment="1">
      <alignment vertical="center" wrapText="1"/>
    </xf>
    <xf numFmtId="165" fontId="11" fillId="0" borderId="21" xfId="2" applyNumberFormat="1" applyFont="1" applyBorder="1" applyAlignment="1">
      <alignment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vertical="center" wrapText="1"/>
    </xf>
    <xf numFmtId="0" fontId="4" fillId="0" borderId="56" xfId="2" applyFont="1" applyBorder="1" applyAlignment="1">
      <alignment horizontal="center"/>
    </xf>
    <xf numFmtId="0" fontId="4" fillId="0" borderId="57" xfId="2" applyFont="1" applyBorder="1" applyAlignment="1">
      <alignment horizontal="center"/>
    </xf>
    <xf numFmtId="0" fontId="13" fillId="0" borderId="58" xfId="2" applyFont="1" applyBorder="1" applyAlignment="1">
      <alignment horizontal="right" vertical="center"/>
    </xf>
    <xf numFmtId="0" fontId="4" fillId="0" borderId="15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vertical="center"/>
    </xf>
    <xf numFmtId="3" fontId="13" fillId="0" borderId="11" xfId="2" applyNumberFormat="1" applyFont="1" applyBorder="1" applyAlignment="1">
      <alignment vertical="center" wrapText="1"/>
    </xf>
    <xf numFmtId="0" fontId="4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vertical="center"/>
    </xf>
    <xf numFmtId="0" fontId="5" fillId="0" borderId="17" xfId="2" applyFont="1" applyBorder="1" applyAlignment="1">
      <alignment horizontal="center"/>
    </xf>
    <xf numFmtId="0" fontId="8" fillId="0" borderId="5" xfId="2" applyFont="1" applyFill="1" applyBorder="1" applyAlignment="1">
      <alignment horizontal="center" vertical="center"/>
    </xf>
    <xf numFmtId="1" fontId="8" fillId="0" borderId="10" xfId="2" applyNumberFormat="1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1" fontId="8" fillId="0" borderId="15" xfId="2" applyNumberFormat="1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1" fontId="4" fillId="0" borderId="15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Border="1" applyAlignment="1">
      <alignment vertical="center" wrapText="1"/>
    </xf>
    <xf numFmtId="3" fontId="4" fillId="0" borderId="19" xfId="2" applyNumberFormat="1" applyFont="1" applyBorder="1" applyAlignment="1">
      <alignment vertical="center" wrapText="1"/>
    </xf>
    <xf numFmtId="3" fontId="11" fillId="0" borderId="18" xfId="2" applyNumberFormat="1" applyFont="1" applyBorder="1" applyAlignment="1">
      <alignment vertical="center" wrapText="1"/>
    </xf>
    <xf numFmtId="3" fontId="16" fillId="0" borderId="59" xfId="2" applyNumberFormat="1" applyFont="1" applyBorder="1"/>
    <xf numFmtId="3" fontId="16" fillId="0" borderId="60" xfId="2" applyNumberFormat="1" applyFont="1" applyBorder="1"/>
    <xf numFmtId="166" fontId="16" fillId="0" borderId="19" xfId="2" applyNumberFormat="1" applyFont="1" applyBorder="1" applyAlignment="1">
      <alignment vertical="center" wrapText="1"/>
    </xf>
    <xf numFmtId="166" fontId="16" fillId="3" borderId="61" xfId="2" applyNumberFormat="1" applyFont="1" applyFill="1" applyBorder="1" applyAlignment="1">
      <alignment vertical="center" wrapText="1"/>
    </xf>
    <xf numFmtId="3" fontId="16" fillId="0" borderId="62" xfId="2" applyNumberFormat="1" applyFont="1" applyBorder="1"/>
    <xf numFmtId="165" fontId="11" fillId="0" borderId="63" xfId="2" applyNumberFormat="1" applyFont="1" applyBorder="1" applyAlignment="1">
      <alignment vertical="center" wrapText="1"/>
    </xf>
    <xf numFmtId="166" fontId="10" fillId="0" borderId="60" xfId="2" applyNumberFormat="1" applyFont="1" applyBorder="1" applyAlignment="1">
      <alignment horizontal="right" vertical="center" wrapText="1"/>
    </xf>
    <xf numFmtId="0" fontId="4" fillId="0" borderId="8" xfId="2" applyFont="1" applyBorder="1" applyAlignment="1">
      <alignment horizontal="center"/>
    </xf>
    <xf numFmtId="0" fontId="4" fillId="0" borderId="64" xfId="2" applyFont="1" applyBorder="1" applyAlignment="1">
      <alignment horizontal="center"/>
    </xf>
    <xf numFmtId="0" fontId="4" fillId="0" borderId="65" xfId="2" applyFont="1" applyBorder="1" applyAlignment="1">
      <alignment horizontal="center" vertical="center"/>
    </xf>
    <xf numFmtId="3" fontId="9" fillId="0" borderId="65" xfId="2" applyNumberFormat="1" applyFont="1" applyFill="1" applyBorder="1" applyAlignment="1">
      <alignment horizontal="right" vertical="center" wrapText="1"/>
    </xf>
    <xf numFmtId="3" fontId="8" fillId="0" borderId="8" xfId="2" applyNumberFormat="1" applyFont="1" applyBorder="1" applyAlignment="1">
      <alignment vertical="center" wrapText="1"/>
    </xf>
    <xf numFmtId="3" fontId="13" fillId="0" borderId="65" xfId="2" applyNumberFormat="1" applyFont="1" applyBorder="1" applyAlignment="1">
      <alignment vertical="center" wrapText="1"/>
    </xf>
    <xf numFmtId="3" fontId="9" fillId="0" borderId="65" xfId="2" applyNumberFormat="1" applyFont="1" applyBorder="1" applyAlignment="1">
      <alignment horizontal="right" vertical="center" wrapText="1"/>
    </xf>
    <xf numFmtId="3" fontId="6" fillId="0" borderId="61" xfId="2" applyNumberFormat="1" applyFont="1" applyBorder="1" applyAlignment="1">
      <alignment vertical="center" wrapText="1"/>
    </xf>
    <xf numFmtId="3" fontId="4" fillId="0" borderId="8" xfId="2" applyNumberFormat="1" applyFont="1" applyBorder="1" applyAlignment="1">
      <alignment vertical="center" wrapText="1"/>
    </xf>
    <xf numFmtId="3" fontId="16" fillId="3" borderId="61" xfId="2" applyNumberFormat="1" applyFont="1" applyFill="1" applyBorder="1" applyAlignment="1">
      <alignment vertical="center" wrapText="1"/>
    </xf>
    <xf numFmtId="3" fontId="4" fillId="0" borderId="33" xfId="2" applyNumberFormat="1" applyFont="1" applyBorder="1" applyAlignment="1">
      <alignment vertical="center" wrapText="1"/>
    </xf>
    <xf numFmtId="3" fontId="4" fillId="0" borderId="34" xfId="2" applyNumberFormat="1" applyFont="1" applyBorder="1" applyAlignment="1">
      <alignment vertical="center" wrapText="1"/>
    </xf>
    <xf numFmtId="3" fontId="6" fillId="0" borderId="66" xfId="2" applyNumberFormat="1" applyFont="1" applyBorder="1" applyAlignment="1">
      <alignment vertical="center" wrapText="1"/>
    </xf>
    <xf numFmtId="3" fontId="4" fillId="0" borderId="67" xfId="2" applyNumberFormat="1" applyFont="1" applyBorder="1" applyAlignment="1">
      <alignment vertical="center" wrapText="1"/>
    </xf>
    <xf numFmtId="3" fontId="11" fillId="0" borderId="63" xfId="2" applyNumberFormat="1" applyFont="1" applyBorder="1" applyAlignment="1">
      <alignment vertical="center" wrapText="1"/>
    </xf>
    <xf numFmtId="3" fontId="11" fillId="0" borderId="23" xfId="2" applyNumberFormat="1" applyFont="1" applyBorder="1" applyAlignment="1">
      <alignment vertical="center" wrapText="1"/>
    </xf>
    <xf numFmtId="3" fontId="16" fillId="0" borderId="61" xfId="2" applyNumberFormat="1" applyFont="1" applyBorder="1" applyAlignment="1">
      <alignment vertical="center" wrapText="1"/>
    </xf>
    <xf numFmtId="3" fontId="11" fillId="0" borderId="10" xfId="2" applyNumberFormat="1" applyFont="1" applyBorder="1" applyAlignment="1">
      <alignment vertical="center" wrapText="1"/>
    </xf>
    <xf numFmtId="3" fontId="11" fillId="0" borderId="19" xfId="2" applyNumberFormat="1" applyFont="1" applyBorder="1" applyAlignment="1">
      <alignment vertical="center" wrapText="1"/>
    </xf>
    <xf numFmtId="16" fontId="14" fillId="0" borderId="17" xfId="2" quotePrefix="1" applyNumberFormat="1" applyFont="1" applyBorder="1" applyAlignment="1">
      <alignment horizontal="center" vertical="center"/>
    </xf>
    <xf numFmtId="166" fontId="6" fillId="3" borderId="8" xfId="2" applyNumberFormat="1" applyFont="1" applyFill="1" applyBorder="1" applyAlignment="1">
      <alignment vertical="center" wrapText="1"/>
    </xf>
    <xf numFmtId="3" fontId="13" fillId="0" borderId="68" xfId="2" applyNumberFormat="1" applyFont="1" applyBorder="1" applyAlignment="1">
      <alignment vertical="center" wrapText="1"/>
    </xf>
    <xf numFmtId="3" fontId="11" fillId="0" borderId="69" xfId="2" applyNumberFormat="1" applyFont="1" applyBorder="1" applyAlignment="1">
      <alignment vertical="center" wrapText="1"/>
    </xf>
    <xf numFmtId="3" fontId="16" fillId="0" borderId="8" xfId="2" applyNumberFormat="1" applyFont="1" applyBorder="1" applyAlignment="1">
      <alignment vertical="center" wrapText="1"/>
    </xf>
    <xf numFmtId="3" fontId="16" fillId="0" borderId="67" xfId="2" applyNumberFormat="1" applyFont="1" applyBorder="1" applyAlignment="1">
      <alignment vertical="center" wrapText="1"/>
    </xf>
    <xf numFmtId="3" fontId="10" fillId="0" borderId="18" xfId="2" applyNumberFormat="1" applyFont="1" applyBorder="1" applyAlignment="1">
      <alignment vertical="center"/>
    </xf>
    <xf numFmtId="166" fontId="16" fillId="0" borderId="8" xfId="2" applyNumberFormat="1" applyFont="1" applyBorder="1" applyAlignment="1">
      <alignment vertical="center" wrapText="1"/>
    </xf>
    <xf numFmtId="166" fontId="10" fillId="0" borderId="18" xfId="2" applyNumberFormat="1" applyFont="1" applyBorder="1" applyAlignment="1">
      <alignment vertical="center"/>
    </xf>
    <xf numFmtId="166" fontId="10" fillId="0" borderId="69" xfId="2" applyNumberFormat="1" applyFont="1" applyBorder="1" applyAlignment="1">
      <alignment vertical="center"/>
    </xf>
    <xf numFmtId="166" fontId="10" fillId="0" borderId="65" xfId="2" applyNumberFormat="1" applyFont="1" applyBorder="1" applyAlignment="1">
      <alignment vertical="center"/>
    </xf>
    <xf numFmtId="166" fontId="10" fillId="0" borderId="70" xfId="2" applyNumberFormat="1" applyFont="1" applyBorder="1" applyAlignment="1">
      <alignment vertical="center"/>
    </xf>
    <xf numFmtId="0" fontId="4" fillId="0" borderId="15" xfId="2" applyFont="1" applyBorder="1" applyAlignment="1">
      <alignment horizontal="center"/>
    </xf>
    <xf numFmtId="166" fontId="8" fillId="0" borderId="21" xfId="2" applyNumberFormat="1" applyFont="1" applyBorder="1" applyAlignment="1">
      <alignment vertical="center" wrapText="1"/>
    </xf>
    <xf numFmtId="3" fontId="11" fillId="0" borderId="21" xfId="2" applyNumberFormat="1" applyFont="1" applyBorder="1" applyAlignment="1">
      <alignment vertical="center" wrapText="1"/>
    </xf>
    <xf numFmtId="49" fontId="12" fillId="0" borderId="9" xfId="2" applyNumberFormat="1" applyFont="1" applyBorder="1" applyAlignment="1">
      <alignment horizontal="center" vertical="center" wrapText="1"/>
    </xf>
    <xf numFmtId="3" fontId="4" fillId="0" borderId="5" xfId="2" applyNumberFormat="1" applyFont="1" applyBorder="1" applyAlignment="1">
      <alignment vertical="center" wrapText="1"/>
    </xf>
    <xf numFmtId="3" fontId="8" fillId="0" borderId="5" xfId="2" applyNumberFormat="1" applyFont="1" applyBorder="1" applyAlignment="1">
      <alignment vertical="center" wrapText="1"/>
    </xf>
    <xf numFmtId="166" fontId="11" fillId="0" borderId="16" xfId="2" applyNumberFormat="1" applyFont="1" applyBorder="1" applyAlignment="1">
      <alignment vertical="center" wrapText="1"/>
    </xf>
    <xf numFmtId="166" fontId="6" fillId="0" borderId="16" xfId="2" applyNumberFormat="1" applyFont="1" applyBorder="1" applyAlignment="1">
      <alignment vertical="center" wrapText="1"/>
    </xf>
    <xf numFmtId="166" fontId="10" fillId="0" borderId="49" xfId="2" applyNumberFormat="1" applyFont="1" applyBorder="1" applyAlignment="1">
      <alignment vertical="center"/>
    </xf>
    <xf numFmtId="166" fontId="10" fillId="0" borderId="13" xfId="2" applyNumberFormat="1" applyFont="1" applyBorder="1" applyAlignment="1">
      <alignment vertical="center"/>
    </xf>
    <xf numFmtId="166" fontId="10" fillId="0" borderId="53" xfId="2" applyNumberFormat="1" applyFont="1" applyBorder="1" applyAlignment="1">
      <alignment vertical="center"/>
    </xf>
    <xf numFmtId="166" fontId="20" fillId="0" borderId="16" xfId="2" applyNumberFormat="1" applyFont="1" applyBorder="1" applyAlignment="1">
      <alignment vertical="center" wrapText="1"/>
    </xf>
    <xf numFmtId="3" fontId="9" fillId="0" borderId="13" xfId="2" applyNumberFormat="1" applyFont="1" applyBorder="1" applyAlignment="1">
      <alignment horizontal="right" vertical="center" wrapText="1"/>
    </xf>
    <xf numFmtId="0" fontId="5" fillId="0" borderId="5" xfId="2" applyFont="1" applyBorder="1"/>
    <xf numFmtId="0" fontId="12" fillId="0" borderId="9" xfId="2" applyFont="1" applyBorder="1" applyAlignment="1">
      <alignment vertical="center" wrapText="1"/>
    </xf>
    <xf numFmtId="166" fontId="4" fillId="0" borderId="9" xfId="2" applyNumberFormat="1" applyFont="1" applyBorder="1" applyAlignment="1">
      <alignment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3" fontId="5" fillId="0" borderId="71" xfId="2" applyNumberFormat="1" applyFont="1" applyBorder="1"/>
    <xf numFmtId="0" fontId="5" fillId="0" borderId="71" xfId="2" applyFont="1" applyBorder="1"/>
    <xf numFmtId="0" fontId="22" fillId="0" borderId="0" xfId="2" applyFont="1"/>
    <xf numFmtId="0" fontId="22" fillId="0" borderId="0" xfId="2" applyFont="1" applyBorder="1"/>
    <xf numFmtId="166" fontId="22" fillId="0" borderId="0" xfId="2" applyNumberFormat="1" applyFont="1"/>
    <xf numFmtId="0" fontId="23" fillId="0" borderId="9" xfId="2" applyFont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/>
    </xf>
    <xf numFmtId="49" fontId="4" fillId="0" borderId="9" xfId="2" applyNumberFormat="1" applyFont="1" applyBorder="1" applyAlignment="1">
      <alignment horizontal="center" vertical="center" wrapText="1"/>
    </xf>
    <xf numFmtId="0" fontId="9" fillId="0" borderId="72" xfId="2" applyFont="1" applyBorder="1" applyAlignment="1">
      <alignment vertical="center"/>
    </xf>
    <xf numFmtId="3" fontId="8" fillId="0" borderId="72" xfId="2" applyNumberFormat="1" applyFont="1" applyBorder="1" applyAlignment="1">
      <alignment vertical="center"/>
    </xf>
    <xf numFmtId="3" fontId="8" fillId="0" borderId="73" xfId="2" applyNumberFormat="1" applyFont="1" applyBorder="1" applyAlignment="1">
      <alignment vertical="center"/>
    </xf>
    <xf numFmtId="3" fontId="17" fillId="0" borderId="74" xfId="2" applyNumberFormat="1" applyFont="1" applyBorder="1" applyAlignment="1">
      <alignment vertical="center" wrapText="1"/>
    </xf>
    <xf numFmtId="0" fontId="4" fillId="0" borderId="17" xfId="2" applyFont="1" applyBorder="1" applyAlignment="1">
      <alignment horizontal="center" vertical="center" wrapText="1"/>
    </xf>
    <xf numFmtId="0" fontId="12" fillId="0" borderId="17" xfId="2" applyFont="1" applyBorder="1" applyAlignment="1">
      <alignment vertical="center" wrapText="1"/>
    </xf>
    <xf numFmtId="3" fontId="12" fillId="0" borderId="17" xfId="2" applyNumberFormat="1" applyFont="1" applyBorder="1" applyAlignment="1">
      <alignment vertical="center" wrapText="1"/>
    </xf>
    <xf numFmtId="0" fontId="4" fillId="0" borderId="8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4" fillId="0" borderId="75" xfId="2" applyFont="1" applyBorder="1" applyAlignment="1">
      <alignment horizontal="center" vertical="center" wrapText="1"/>
    </xf>
    <xf numFmtId="0" fontId="12" fillId="0" borderId="75" xfId="2" applyFont="1" applyBorder="1" applyAlignment="1">
      <alignment vertical="center" wrapText="1"/>
    </xf>
    <xf numFmtId="3" fontId="12" fillId="0" borderId="75" xfId="2" applyNumberFormat="1" applyFont="1" applyBorder="1" applyAlignment="1">
      <alignment vertical="center" wrapText="1"/>
    </xf>
    <xf numFmtId="3" fontId="16" fillId="0" borderId="43" xfId="2" applyNumberFormat="1" applyFont="1" applyBorder="1" applyAlignment="1">
      <alignment vertical="center"/>
    </xf>
    <xf numFmtId="3" fontId="18" fillId="0" borderId="72" xfId="2" applyNumberFormat="1" applyFont="1" applyBorder="1" applyAlignment="1">
      <alignment vertical="center" wrapText="1"/>
    </xf>
    <xf numFmtId="3" fontId="8" fillId="0" borderId="72" xfId="2" applyNumberFormat="1" applyFont="1" applyBorder="1" applyAlignment="1">
      <alignment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75" xfId="2" applyFont="1" applyFill="1" applyBorder="1" applyAlignment="1">
      <alignment horizontal="center" vertical="center" wrapText="1"/>
    </xf>
    <xf numFmtId="0" fontId="4" fillId="0" borderId="76" xfId="2" applyFont="1" applyBorder="1" applyAlignment="1">
      <alignment horizontal="center" vertical="center" wrapText="1"/>
    </xf>
    <xf numFmtId="3" fontId="20" fillId="0" borderId="17" xfId="2" applyNumberFormat="1" applyFont="1" applyBorder="1" applyAlignment="1">
      <alignment vertical="center" wrapText="1"/>
    </xf>
    <xf numFmtId="3" fontId="13" fillId="0" borderId="58" xfId="2" applyNumberFormat="1" applyFont="1" applyBorder="1" applyAlignment="1">
      <alignment vertical="center" wrapText="1"/>
    </xf>
    <xf numFmtId="49" fontId="4" fillId="0" borderId="15" xfId="2" applyNumberFormat="1" applyFont="1" applyFill="1" applyBorder="1" applyAlignment="1">
      <alignment horizontal="center" vertical="center" wrapText="1"/>
    </xf>
    <xf numFmtId="49" fontId="8" fillId="0" borderId="15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Border="1" applyAlignment="1">
      <alignment horizontal="right" vertical="center" wrapText="1"/>
    </xf>
    <xf numFmtId="3" fontId="9" fillId="0" borderId="19" xfId="2" applyNumberFormat="1" applyFont="1" applyBorder="1" applyAlignment="1">
      <alignment horizontal="right" vertical="center" wrapText="1"/>
    </xf>
    <xf numFmtId="0" fontId="8" fillId="0" borderId="0" xfId="2" applyFont="1" applyBorder="1" applyAlignment="1">
      <alignment horizontal="left" vertical="center"/>
    </xf>
    <xf numFmtId="3" fontId="5" fillId="0" borderId="71" xfId="2" applyNumberFormat="1" applyFont="1" applyFill="1" applyBorder="1"/>
    <xf numFmtId="16" fontId="5" fillId="0" borderId="17" xfId="2" applyNumberFormat="1" applyFont="1" applyBorder="1" applyAlignment="1">
      <alignment horizontal="center" vertical="center"/>
    </xf>
    <xf numFmtId="3" fontId="11" fillId="0" borderId="65" xfId="2" applyNumberFormat="1" applyFont="1" applyBorder="1" applyAlignment="1">
      <alignment vertical="center" wrapText="1"/>
    </xf>
    <xf numFmtId="166" fontId="8" fillId="0" borderId="8" xfId="2" applyNumberFormat="1" applyFont="1" applyBorder="1" applyAlignment="1">
      <alignment vertical="center" wrapText="1"/>
    </xf>
    <xf numFmtId="166" fontId="16" fillId="3" borderId="8" xfId="2" applyNumberFormat="1" applyFont="1" applyFill="1" applyBorder="1" applyAlignment="1">
      <alignment vertical="center" wrapText="1"/>
    </xf>
    <xf numFmtId="166" fontId="8" fillId="3" borderId="10" xfId="2" applyNumberFormat="1" applyFont="1" applyFill="1" applyBorder="1" applyAlignment="1">
      <alignment vertical="center" wrapText="1"/>
    </xf>
    <xf numFmtId="166" fontId="8" fillId="3" borderId="8" xfId="2" applyNumberFormat="1" applyFont="1" applyFill="1" applyBorder="1" applyAlignment="1">
      <alignment vertical="center" wrapText="1"/>
    </xf>
    <xf numFmtId="49" fontId="8" fillId="0" borderId="11" xfId="2" applyNumberFormat="1" applyFont="1" applyFill="1" applyBorder="1" applyAlignment="1">
      <alignment horizontal="center" vertical="center" wrapText="1"/>
    </xf>
    <xf numFmtId="3" fontId="11" fillId="0" borderId="8" xfId="2" applyNumberFormat="1" applyFont="1" applyBorder="1" applyAlignment="1">
      <alignment vertical="center" wrapText="1"/>
    </xf>
    <xf numFmtId="166" fontId="4" fillId="0" borderId="0" xfId="2" applyNumberFormat="1" applyFont="1" applyBorder="1" applyAlignment="1">
      <alignment vertical="center" wrapText="1"/>
    </xf>
    <xf numFmtId="166" fontId="11" fillId="0" borderId="8" xfId="2" applyNumberFormat="1" applyFont="1" applyBorder="1" applyAlignment="1">
      <alignment vertical="center" wrapText="1"/>
    </xf>
    <xf numFmtId="166" fontId="11" fillId="0" borderId="5" xfId="2" applyNumberFormat="1" applyFont="1" applyBorder="1" applyAlignment="1">
      <alignment vertical="center" wrapText="1"/>
    </xf>
    <xf numFmtId="166" fontId="10" fillId="0" borderId="10" xfId="2" applyNumberFormat="1" applyFont="1" applyBorder="1" applyAlignment="1">
      <alignment vertical="center"/>
    </xf>
    <xf numFmtId="166" fontId="10" fillId="0" borderId="19" xfId="2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top"/>
    </xf>
    <xf numFmtId="0" fontId="4" fillId="0" borderId="0" xfId="2" applyFont="1" applyBorder="1" applyAlignment="1">
      <alignment horizontal="right" vertical="top"/>
    </xf>
    <xf numFmtId="0" fontId="8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3" fontId="11" fillId="0" borderId="0" xfId="2" applyNumberFormat="1" applyFont="1" applyBorder="1" applyAlignment="1">
      <alignment horizontal="right" vertical="center" wrapText="1"/>
    </xf>
    <xf numFmtId="3" fontId="16" fillId="0" borderId="0" xfId="2" applyNumberFormat="1" applyFont="1" applyBorder="1" applyAlignment="1">
      <alignment vertical="center" wrapText="1"/>
    </xf>
    <xf numFmtId="3" fontId="10" fillId="0" borderId="0" xfId="2" applyNumberFormat="1" applyFont="1" applyBorder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3" fontId="17" fillId="0" borderId="0" xfId="2" applyNumberFormat="1" applyFont="1" applyBorder="1" applyAlignment="1">
      <alignment vertical="center" wrapText="1"/>
    </xf>
    <xf numFmtId="3" fontId="19" fillId="0" borderId="0" xfId="2" applyNumberFormat="1" applyFont="1" applyFill="1" applyBorder="1" applyAlignment="1">
      <alignment vertical="center" wrapText="1"/>
    </xf>
    <xf numFmtId="3" fontId="19" fillId="0" borderId="0" xfId="2" applyNumberFormat="1" applyFont="1" applyBorder="1" applyAlignment="1">
      <alignment vertical="center" wrapText="1"/>
    </xf>
    <xf numFmtId="166" fontId="19" fillId="0" borderId="0" xfId="2" applyNumberFormat="1" applyFont="1" applyBorder="1" applyAlignment="1">
      <alignment vertical="center" wrapText="1"/>
    </xf>
    <xf numFmtId="166" fontId="11" fillId="0" borderId="0" xfId="2" applyNumberFormat="1" applyFont="1" applyBorder="1" applyAlignment="1">
      <alignment vertical="center" wrapText="1"/>
    </xf>
    <xf numFmtId="166" fontId="16" fillId="0" borderId="0" xfId="2" applyNumberFormat="1" applyFont="1" applyBorder="1" applyAlignment="1">
      <alignment vertical="center" wrapText="1"/>
    </xf>
    <xf numFmtId="166" fontId="10" fillId="0" borderId="0" xfId="2" applyNumberFormat="1" applyFont="1" applyBorder="1" applyAlignment="1">
      <alignment vertical="center"/>
    </xf>
    <xf numFmtId="166" fontId="8" fillId="0" borderId="0" xfId="2" applyNumberFormat="1" applyFont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/>
    </xf>
    <xf numFmtId="0" fontId="6" fillId="0" borderId="77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6" fillId="0" borderId="78" xfId="2" applyFont="1" applyBorder="1" applyAlignment="1">
      <alignment horizontal="center"/>
    </xf>
    <xf numFmtId="0" fontId="4" fillId="0" borderId="79" xfId="2" applyFont="1" applyBorder="1" applyAlignment="1">
      <alignment horizontal="center" vertical="center"/>
    </xf>
    <xf numFmtId="3" fontId="11" fillId="0" borderId="68" xfId="2" applyNumberFormat="1" applyFont="1" applyBorder="1" applyAlignment="1">
      <alignment horizontal="right" vertical="center" wrapText="1"/>
    </xf>
    <xf numFmtId="3" fontId="11" fillId="0" borderId="47" xfId="2" applyNumberFormat="1" applyFont="1" applyBorder="1" applyAlignment="1">
      <alignment horizontal="right" vertical="center" wrapText="1"/>
    </xf>
    <xf numFmtId="3" fontId="17" fillId="0" borderId="26" xfId="2" applyNumberFormat="1" applyFont="1" applyBorder="1" applyAlignment="1">
      <alignment vertical="center" wrapText="1"/>
    </xf>
    <xf numFmtId="3" fontId="17" fillId="0" borderId="27" xfId="2" applyNumberFormat="1" applyFont="1" applyBorder="1" applyAlignment="1">
      <alignment vertical="center" wrapText="1"/>
    </xf>
    <xf numFmtId="166" fontId="19" fillId="0" borderId="80" xfId="2" applyNumberFormat="1" applyFont="1" applyBorder="1" applyAlignment="1">
      <alignment vertical="center" wrapText="1"/>
    </xf>
    <xf numFmtId="3" fontId="10" fillId="0" borderId="81" xfId="2" applyNumberFormat="1" applyFont="1" applyBorder="1" applyAlignment="1">
      <alignment vertical="center"/>
    </xf>
    <xf numFmtId="3" fontId="16" fillId="0" borderId="34" xfId="2" applyNumberFormat="1" applyFont="1" applyBorder="1" applyAlignment="1">
      <alignment vertical="center" wrapText="1"/>
    </xf>
    <xf numFmtId="166" fontId="10" fillId="0" borderId="23" xfId="2" applyNumberFormat="1" applyFont="1" applyBorder="1" applyAlignment="1">
      <alignment vertical="center" wrapText="1"/>
    </xf>
    <xf numFmtId="0" fontId="4" fillId="0" borderId="83" xfId="2" applyFont="1" applyBorder="1" applyAlignment="1">
      <alignment horizontal="center"/>
    </xf>
    <xf numFmtId="3" fontId="8" fillId="0" borderId="84" xfId="2" applyNumberFormat="1" applyFont="1" applyBorder="1" applyAlignment="1">
      <alignment vertical="center"/>
    </xf>
    <xf numFmtId="3" fontId="8" fillId="0" borderId="85" xfId="2" applyNumberFormat="1" applyFont="1" applyBorder="1" applyAlignment="1">
      <alignment vertical="center"/>
    </xf>
    <xf numFmtId="3" fontId="8" fillId="0" borderId="86" xfId="2" applyNumberFormat="1" applyFont="1" applyBorder="1" applyAlignment="1">
      <alignment vertical="center"/>
    </xf>
    <xf numFmtId="3" fontId="8" fillId="0" borderId="86" xfId="2" applyNumberFormat="1" applyFont="1" applyBorder="1" applyAlignment="1">
      <alignment vertical="center" wrapText="1"/>
    </xf>
    <xf numFmtId="3" fontId="8" fillId="0" borderId="87" xfId="2" applyNumberFormat="1" applyFont="1" applyBorder="1" applyAlignment="1">
      <alignment vertical="center" wrapText="1"/>
    </xf>
    <xf numFmtId="3" fontId="8" fillId="0" borderId="88" xfId="2" applyNumberFormat="1" applyFont="1" applyBorder="1" applyAlignment="1">
      <alignment vertical="center" wrapText="1"/>
    </xf>
    <xf numFmtId="3" fontId="12" fillId="0" borderId="8" xfId="2" applyNumberFormat="1" applyFont="1" applyBorder="1" applyAlignment="1">
      <alignment vertical="center" wrapText="1"/>
    </xf>
    <xf numFmtId="3" fontId="13" fillId="0" borderId="89" xfId="2" applyNumberFormat="1" applyFont="1" applyBorder="1" applyAlignment="1">
      <alignment vertical="center" wrapText="1"/>
    </xf>
    <xf numFmtId="3" fontId="8" fillId="0" borderId="67" xfId="2" applyNumberFormat="1" applyFont="1" applyBorder="1" applyAlignment="1">
      <alignment vertical="center" wrapText="1"/>
    </xf>
    <xf numFmtId="166" fontId="4" fillId="0" borderId="8" xfId="2" applyNumberFormat="1" applyFont="1" applyBorder="1" applyAlignment="1">
      <alignment vertical="center" wrapText="1"/>
    </xf>
    <xf numFmtId="166" fontId="10" fillId="0" borderId="18" xfId="2" applyNumberFormat="1" applyFont="1" applyFill="1" applyBorder="1" applyAlignment="1">
      <alignment vertical="center" wrapText="1"/>
    </xf>
    <xf numFmtId="3" fontId="11" fillId="0" borderId="17" xfId="2" applyNumberFormat="1" applyFont="1" applyFill="1" applyBorder="1" applyAlignment="1">
      <alignment vertical="center" wrapText="1"/>
    </xf>
    <xf numFmtId="166" fontId="12" fillId="0" borderId="0" xfId="2" applyNumberFormat="1" applyFont="1"/>
    <xf numFmtId="0" fontId="13" fillId="0" borderId="17" xfId="2" applyFont="1" applyBorder="1" applyAlignment="1">
      <alignment horizontal="right" vertical="center"/>
    </xf>
    <xf numFmtId="166" fontId="13" fillId="0" borderId="17" xfId="2" applyNumberFormat="1" applyFont="1" applyBorder="1" applyAlignment="1">
      <alignment vertical="center"/>
    </xf>
    <xf numFmtId="49" fontId="8" fillId="4" borderId="11" xfId="2" applyNumberFormat="1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49" fontId="12" fillId="4" borderId="10" xfId="2" applyNumberFormat="1" applyFont="1" applyFill="1" applyBorder="1" applyAlignment="1">
      <alignment horizontal="center" vertical="center" wrapText="1"/>
    </xf>
    <xf numFmtId="49" fontId="12" fillId="0" borderId="9" xfId="2" applyNumberFormat="1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4" fillId="0" borderId="6" xfId="2" applyFont="1" applyBorder="1" applyAlignment="1"/>
    <xf numFmtId="0" fontId="0" fillId="0" borderId="90" xfId="0" applyBorder="1" applyAlignment="1"/>
    <xf numFmtId="0" fontId="4" fillId="0" borderId="91" xfId="2" applyFont="1" applyBorder="1" applyAlignment="1"/>
    <xf numFmtId="0" fontId="8" fillId="0" borderId="10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10" xfId="2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0" fontId="4" fillId="0" borderId="92" xfId="2" applyFont="1" applyBorder="1" applyAlignment="1"/>
    <xf numFmtId="0" fontId="4" fillId="2" borderId="92" xfId="0" applyFont="1" applyFill="1" applyBorder="1" applyAlignment="1" applyProtection="1">
      <protection hidden="1"/>
    </xf>
    <xf numFmtId="0" fontId="4" fillId="2" borderId="92" xfId="0" applyFont="1" applyFill="1" applyBorder="1" applyAlignment="1" applyProtection="1">
      <alignment horizontal="center"/>
      <protection hidden="1"/>
    </xf>
    <xf numFmtId="0" fontId="4" fillId="0" borderId="93" xfId="2" applyFont="1" applyBorder="1" applyAlignment="1"/>
    <xf numFmtId="0" fontId="4" fillId="0" borderId="94" xfId="2" applyFont="1" applyBorder="1" applyAlignment="1"/>
    <xf numFmtId="0" fontId="16" fillId="0" borderId="95" xfId="2" applyFont="1" applyBorder="1" applyAlignment="1">
      <alignment horizontal="center"/>
    </xf>
    <xf numFmtId="0" fontId="16" fillId="0" borderId="92" xfId="2" applyFont="1" applyBorder="1" applyAlignment="1">
      <alignment horizontal="center"/>
    </xf>
    <xf numFmtId="3" fontId="11" fillId="0" borderId="15" xfId="2" applyNumberFormat="1" applyFont="1" applyBorder="1" applyAlignment="1">
      <alignment horizontal="right" vertical="center" wrapText="1"/>
    </xf>
    <xf numFmtId="0" fontId="6" fillId="0" borderId="96" xfId="2" applyFont="1" applyBorder="1" applyAlignment="1">
      <alignment horizontal="center"/>
    </xf>
    <xf numFmtId="3" fontId="16" fillId="0" borderId="96" xfId="2" applyNumberFormat="1" applyFont="1" applyBorder="1"/>
    <xf numFmtId="3" fontId="16" fillId="0" borderId="41" xfId="2" applyNumberFormat="1" applyFont="1" applyBorder="1"/>
    <xf numFmtId="166" fontId="10" fillId="0" borderId="41" xfId="2" applyNumberFormat="1" applyFont="1" applyBorder="1" applyAlignment="1">
      <alignment horizontal="right" vertical="center" wrapText="1"/>
    </xf>
    <xf numFmtId="166" fontId="6" fillId="0" borderId="91" xfId="2" applyNumberFormat="1" applyFont="1" applyBorder="1" applyAlignment="1">
      <alignment vertical="center" wrapText="1"/>
    </xf>
    <xf numFmtId="166" fontId="6" fillId="0" borderId="97" xfId="2" applyNumberFormat="1" applyFont="1" applyBorder="1" applyAlignment="1">
      <alignment vertical="center" wrapText="1"/>
    </xf>
    <xf numFmtId="3" fontId="13" fillId="0" borderId="42" xfId="2" applyNumberFormat="1" applyFont="1" applyBorder="1" applyAlignment="1">
      <alignment vertical="center" wrapText="1"/>
    </xf>
    <xf numFmtId="3" fontId="20" fillId="0" borderId="21" xfId="2" applyNumberFormat="1" applyFont="1" applyBorder="1" applyAlignment="1">
      <alignment vertical="center" wrapText="1"/>
    </xf>
    <xf numFmtId="166" fontId="4" fillId="0" borderId="22" xfId="2" applyNumberFormat="1" applyFont="1" applyBorder="1" applyAlignment="1">
      <alignment vertical="center" wrapText="1"/>
    </xf>
    <xf numFmtId="166" fontId="4" fillId="0" borderId="99" xfId="2" applyNumberFormat="1" applyFont="1" applyBorder="1" applyAlignment="1">
      <alignment vertical="center" wrapText="1"/>
    </xf>
    <xf numFmtId="166" fontId="8" fillId="0" borderId="22" xfId="2" applyNumberFormat="1" applyFont="1" applyBorder="1" applyAlignment="1">
      <alignment vertical="center" wrapText="1"/>
    </xf>
    <xf numFmtId="166" fontId="10" fillId="0" borderId="50" xfId="2" applyNumberFormat="1" applyFont="1" applyBorder="1" applyAlignment="1">
      <alignment vertical="center"/>
    </xf>
    <xf numFmtId="166" fontId="10" fillId="0" borderId="15" xfId="2" applyNumberFormat="1" applyFont="1" applyBorder="1" applyAlignment="1">
      <alignment vertical="center"/>
    </xf>
    <xf numFmtId="166" fontId="10" fillId="0" borderId="24" xfId="2" applyNumberFormat="1" applyFont="1" applyBorder="1" applyAlignment="1">
      <alignment vertical="center"/>
    </xf>
    <xf numFmtId="0" fontId="5" fillId="0" borderId="10" xfId="2" applyFont="1" applyBorder="1"/>
    <xf numFmtId="3" fontId="11" fillId="0" borderId="15" xfId="2" applyNumberFormat="1" applyFont="1" applyBorder="1" applyAlignment="1">
      <alignment vertical="center" wrapText="1"/>
    </xf>
    <xf numFmtId="0" fontId="4" fillId="0" borderId="10" xfId="2" applyFont="1" applyFill="1" applyBorder="1" applyAlignment="1">
      <alignment vertical="center" wrapText="1"/>
    </xf>
    <xf numFmtId="166" fontId="4" fillId="0" borderId="10" xfId="2" applyNumberFormat="1" applyFont="1" applyFill="1" applyBorder="1" applyAlignment="1">
      <alignment vertical="center" wrapText="1"/>
    </xf>
    <xf numFmtId="166" fontId="4" fillId="0" borderId="64" xfId="2" applyNumberFormat="1" applyFont="1" applyBorder="1" applyAlignment="1">
      <alignment vertical="center" wrapText="1"/>
    </xf>
    <xf numFmtId="0" fontId="6" fillId="0" borderId="100" xfId="2" applyFont="1" applyBorder="1" applyAlignment="1"/>
    <xf numFmtId="170" fontId="8" fillId="0" borderId="10" xfId="2" applyNumberFormat="1" applyFont="1" applyBorder="1" applyAlignment="1">
      <alignment vertical="center" wrapText="1"/>
    </xf>
    <xf numFmtId="166" fontId="25" fillId="0" borderId="17" xfId="2" applyNumberFormat="1" applyFont="1" applyBorder="1" applyAlignment="1">
      <alignment vertical="center" wrapText="1"/>
    </xf>
    <xf numFmtId="166" fontId="25" fillId="0" borderId="21" xfId="2" applyNumberFormat="1" applyFont="1" applyBorder="1" applyAlignment="1">
      <alignment vertical="center" wrapText="1"/>
    </xf>
    <xf numFmtId="166" fontId="25" fillId="0" borderId="98" xfId="2" applyNumberFormat="1" applyFont="1" applyBorder="1" applyAlignment="1">
      <alignment vertical="center" wrapText="1"/>
    </xf>
    <xf numFmtId="0" fontId="26" fillId="0" borderId="0" xfId="2" applyFont="1" applyBorder="1" applyAlignment="1">
      <alignment horizontal="center"/>
    </xf>
    <xf numFmtId="0" fontId="26" fillId="0" borderId="0" xfId="2" applyFont="1" applyBorder="1" applyAlignment="1">
      <alignment horizontal="center" vertical="top"/>
    </xf>
    <xf numFmtId="0" fontId="26" fillId="0" borderId="0" xfId="2" applyFont="1" applyBorder="1" applyAlignment="1">
      <alignment horizontal="center" vertical="top" wrapText="1"/>
    </xf>
    <xf numFmtId="49" fontId="4" fillId="0" borderId="10" xfId="2" applyNumberFormat="1" applyFont="1" applyBorder="1" applyAlignment="1">
      <alignment horizontal="center" vertical="center" wrapText="1"/>
    </xf>
    <xf numFmtId="0" fontId="9" fillId="0" borderId="10" xfId="2" applyFont="1" applyBorder="1" applyAlignment="1">
      <alignment vertical="center"/>
    </xf>
    <xf numFmtId="3" fontId="8" fillId="0" borderId="10" xfId="2" applyNumberFormat="1" applyFont="1" applyBorder="1" applyAlignment="1">
      <alignment vertical="center"/>
    </xf>
    <xf numFmtId="3" fontId="8" fillId="0" borderId="19" xfId="2" applyNumberFormat="1" applyFont="1" applyBorder="1" applyAlignment="1">
      <alignment vertical="center"/>
    </xf>
    <xf numFmtId="3" fontId="17" fillId="0" borderId="22" xfId="2" applyNumberFormat="1" applyFont="1" applyBorder="1" applyAlignment="1">
      <alignment vertical="center" wrapText="1"/>
    </xf>
    <xf numFmtId="0" fontId="8" fillId="0" borderId="1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/>
    </xf>
    <xf numFmtId="3" fontId="8" fillId="0" borderId="101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 wrapText="1"/>
    </xf>
    <xf numFmtId="3" fontId="8" fillId="0" borderId="73" xfId="2" applyNumberFormat="1" applyFont="1" applyBorder="1" applyAlignment="1">
      <alignment vertical="center" wrapText="1"/>
    </xf>
    <xf numFmtId="3" fontId="8" fillId="0" borderId="80" xfId="2" applyNumberFormat="1" applyFont="1" applyBorder="1" applyAlignment="1">
      <alignment vertical="center" wrapText="1"/>
    </xf>
    <xf numFmtId="3" fontId="12" fillId="0" borderId="19" xfId="2" applyNumberFormat="1" applyFont="1" applyBorder="1" applyAlignment="1">
      <alignment vertical="center" wrapText="1"/>
    </xf>
    <xf numFmtId="3" fontId="13" fillId="0" borderId="82" xfId="2" applyNumberFormat="1" applyFont="1" applyBorder="1" applyAlignment="1">
      <alignment vertical="center" wrapText="1"/>
    </xf>
    <xf numFmtId="0" fontId="16" fillId="2" borderId="95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0" borderId="19" xfId="2" applyFont="1" applyBorder="1" applyAlignment="1">
      <alignment horizontal="center"/>
    </xf>
    <xf numFmtId="0" fontId="4" fillId="0" borderId="31" xfId="2" applyFont="1" applyBorder="1" applyAlignment="1">
      <alignment horizontal="center" vertical="center"/>
    </xf>
    <xf numFmtId="3" fontId="11" fillId="0" borderId="68" xfId="2" applyNumberFormat="1" applyFont="1" applyBorder="1" applyAlignment="1">
      <alignment vertical="center" wrapText="1"/>
    </xf>
    <xf numFmtId="0" fontId="4" fillId="0" borderId="47" xfId="2" applyFont="1" applyBorder="1" applyAlignment="1">
      <alignment horizontal="center" vertical="center"/>
    </xf>
    <xf numFmtId="3" fontId="12" fillId="0" borderId="23" xfId="2" applyNumberFormat="1" applyFont="1" applyBorder="1" applyAlignment="1">
      <alignment vertical="center" wrapText="1"/>
    </xf>
    <xf numFmtId="3" fontId="12" fillId="0" borderId="81" xfId="2" applyNumberFormat="1" applyFont="1" applyBorder="1" applyAlignment="1">
      <alignment vertical="center" wrapText="1"/>
    </xf>
    <xf numFmtId="166" fontId="13" fillId="0" borderId="23" xfId="2" applyNumberFormat="1" applyFont="1" applyBorder="1" applyAlignment="1">
      <alignment vertical="center"/>
    </xf>
    <xf numFmtId="0" fontId="4" fillId="0" borderId="95" xfId="2" applyFont="1" applyBorder="1" applyAlignment="1">
      <alignment horizontal="center"/>
    </xf>
    <xf numFmtId="1" fontId="4" fillId="0" borderId="15" xfId="2" applyNumberFormat="1" applyFont="1" applyFill="1" applyBorder="1" applyAlignment="1">
      <alignment horizontal="left" vertical="center" wrapText="1"/>
    </xf>
    <xf numFmtId="166" fontId="27" fillId="0" borderId="17" xfId="2" applyNumberFormat="1" applyFont="1" applyBorder="1" applyAlignment="1">
      <alignment vertical="center"/>
    </xf>
    <xf numFmtId="166" fontId="27" fillId="0" borderId="23" xfId="2" applyNumberFormat="1" applyFont="1" applyBorder="1" applyAlignment="1">
      <alignment vertical="center"/>
    </xf>
    <xf numFmtId="166" fontId="27" fillId="0" borderId="18" xfId="2" applyNumberFormat="1" applyFont="1" applyBorder="1" applyAlignment="1">
      <alignment vertical="center"/>
    </xf>
    <xf numFmtId="166" fontId="16" fillId="0" borderId="19" xfId="2" applyNumberFormat="1" applyFont="1" applyFill="1" applyBorder="1" applyAlignment="1">
      <alignment vertical="center" wrapText="1"/>
    </xf>
    <xf numFmtId="166" fontId="13" fillId="0" borderId="9" xfId="2" applyNumberFormat="1" applyFont="1" applyBorder="1" applyAlignment="1">
      <alignment vertical="center" wrapText="1"/>
    </xf>
    <xf numFmtId="166" fontId="8" fillId="0" borderId="9" xfId="2" applyNumberFormat="1" applyFont="1" applyBorder="1" applyAlignment="1">
      <alignment vertical="center" wrapText="1"/>
    </xf>
    <xf numFmtId="0" fontId="4" fillId="0" borderId="11" xfId="2" applyFont="1" applyBorder="1" applyAlignment="1">
      <alignment horizontal="center" vertical="center"/>
    </xf>
    <xf numFmtId="166" fontId="6" fillId="0" borderId="61" xfId="2" applyNumberFormat="1" applyFont="1" applyBorder="1" applyAlignment="1">
      <alignment vertical="center" wrapText="1"/>
    </xf>
    <xf numFmtId="0" fontId="16" fillId="2" borderId="7" xfId="0" applyFont="1" applyFill="1" applyBorder="1" applyAlignment="1">
      <alignment horizontal="center"/>
    </xf>
    <xf numFmtId="0" fontId="4" fillId="0" borderId="5" xfId="2" applyFont="1" applyBorder="1" applyAlignment="1">
      <alignment horizontal="right"/>
    </xf>
    <xf numFmtId="0" fontId="4" fillId="0" borderId="36" xfId="2" applyFont="1" applyBorder="1" applyAlignment="1">
      <alignment horizontal="right"/>
    </xf>
    <xf numFmtId="0" fontId="9" fillId="0" borderId="10" xfId="2" applyFont="1" applyBorder="1" applyAlignment="1">
      <alignment horizontal="right" vertical="center"/>
    </xf>
    <xf numFmtId="166" fontId="10" fillId="0" borderId="61" xfId="2" applyNumberFormat="1" applyFont="1" applyBorder="1" applyAlignment="1">
      <alignment horizontal="right" vertical="center" wrapText="1"/>
    </xf>
    <xf numFmtId="3" fontId="9" fillId="0" borderId="8" xfId="2" applyNumberFormat="1" applyFont="1" applyBorder="1" applyAlignment="1">
      <alignment horizontal="right" vertical="center" wrapText="1"/>
    </xf>
    <xf numFmtId="3" fontId="8" fillId="0" borderId="10" xfId="2" applyNumberFormat="1" applyFont="1" applyBorder="1" applyAlignment="1">
      <alignment horizontal="right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66" fontId="13" fillId="0" borderId="10" xfId="2" applyNumberFormat="1" applyFont="1" applyBorder="1" applyAlignment="1">
      <alignment vertical="center" wrapText="1"/>
    </xf>
    <xf numFmtId="166" fontId="13" fillId="0" borderId="22" xfId="2" applyNumberFormat="1" applyFont="1" applyBorder="1" applyAlignment="1">
      <alignment vertical="center" wrapText="1"/>
    </xf>
    <xf numFmtId="3" fontId="8" fillId="0" borderId="99" xfId="2" applyNumberFormat="1" applyFont="1" applyBorder="1" applyAlignment="1">
      <alignment vertical="center" wrapText="1"/>
    </xf>
    <xf numFmtId="3" fontId="21" fillId="0" borderId="17" xfId="2" applyNumberFormat="1" applyFont="1" applyBorder="1" applyAlignment="1">
      <alignment vertical="center"/>
    </xf>
    <xf numFmtId="3" fontId="21" fillId="0" borderId="21" xfId="2" applyNumberFormat="1" applyFont="1" applyBorder="1" applyAlignment="1">
      <alignment vertical="center"/>
    </xf>
    <xf numFmtId="16" fontId="5" fillId="0" borderId="17" xfId="2" quotePrefix="1" applyNumberFormat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166" fontId="13" fillId="0" borderId="78" xfId="2" applyNumberFormat="1" applyFont="1" applyBorder="1" applyAlignment="1">
      <alignment vertical="center" wrapText="1"/>
    </xf>
    <xf numFmtId="166" fontId="13" fillId="0" borderId="19" xfId="2" applyNumberFormat="1" applyFont="1" applyBorder="1" applyAlignment="1">
      <alignment vertical="center" wrapText="1"/>
    </xf>
    <xf numFmtId="166" fontId="8" fillId="3" borderId="19" xfId="2" applyNumberFormat="1" applyFont="1" applyFill="1" applyBorder="1" applyAlignment="1">
      <alignment vertical="center" wrapText="1"/>
    </xf>
    <xf numFmtId="166" fontId="10" fillId="0" borderId="17" xfId="2" applyNumberFormat="1" applyFont="1" applyFill="1" applyBorder="1" applyAlignment="1">
      <alignment vertical="center"/>
    </xf>
    <xf numFmtId="0" fontId="5" fillId="0" borderId="102" xfId="2" applyFont="1" applyBorder="1"/>
    <xf numFmtId="166" fontId="21" fillId="0" borderId="17" xfId="2" applyNumberFormat="1" applyFont="1" applyBorder="1" applyAlignment="1">
      <alignment vertical="center"/>
    </xf>
    <xf numFmtId="166" fontId="21" fillId="0" borderId="23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3" fontId="21" fillId="0" borderId="23" xfId="2" applyNumberFormat="1" applyFont="1" applyBorder="1" applyAlignment="1">
      <alignment vertical="center" wrapText="1"/>
    </xf>
    <xf numFmtId="3" fontId="21" fillId="0" borderId="17" xfId="2" applyNumberFormat="1" applyFont="1" applyBorder="1" applyAlignment="1">
      <alignment vertical="center" wrapText="1"/>
    </xf>
    <xf numFmtId="1" fontId="12" fillId="0" borderId="15" xfId="2" applyNumberFormat="1" applyFont="1" applyFill="1" applyBorder="1" applyAlignment="1">
      <alignment horizontal="center" vertical="center" wrapText="1"/>
    </xf>
    <xf numFmtId="166" fontId="16" fillId="0" borderId="61" xfId="2" applyNumberFormat="1" applyFont="1" applyBorder="1" applyAlignment="1">
      <alignment vertical="center" wrapText="1"/>
    </xf>
    <xf numFmtId="0" fontId="24" fillId="0" borderId="15" xfId="2" applyFont="1" applyBorder="1" applyAlignment="1">
      <alignment horizontal="center" vertical="center" wrapText="1"/>
    </xf>
    <xf numFmtId="0" fontId="24" fillId="0" borderId="15" xfId="2" applyFont="1" applyFill="1" applyBorder="1" applyAlignment="1">
      <alignment horizontal="center" vertical="center" wrapText="1"/>
    </xf>
    <xf numFmtId="3" fontId="21" fillId="0" borderId="23" xfId="2" applyNumberFormat="1" applyFont="1" applyFill="1" applyBorder="1" applyAlignment="1">
      <alignment vertical="center" wrapText="1"/>
    </xf>
    <xf numFmtId="3" fontId="13" fillId="0" borderId="11" xfId="2" applyNumberFormat="1" applyFont="1" applyFill="1" applyBorder="1" applyAlignment="1">
      <alignment vertical="center" wrapText="1"/>
    </xf>
    <xf numFmtId="166" fontId="10" fillId="0" borderId="10" xfId="2" applyNumberFormat="1" applyFont="1" applyFill="1" applyBorder="1" applyAlignment="1">
      <alignment vertical="center"/>
    </xf>
    <xf numFmtId="166" fontId="12" fillId="0" borderId="10" xfId="2" applyNumberFormat="1" applyFont="1" applyFill="1" applyBorder="1" applyAlignment="1">
      <alignment vertical="center" wrapText="1"/>
    </xf>
    <xf numFmtId="166" fontId="10" fillId="0" borderId="51" xfId="2" applyNumberFormat="1" applyFont="1" applyFill="1" applyBorder="1" applyAlignment="1">
      <alignment vertical="center"/>
    </xf>
    <xf numFmtId="166" fontId="10" fillId="0" borderId="47" xfId="2" applyNumberFormat="1" applyFont="1" applyFill="1" applyBorder="1" applyAlignment="1">
      <alignment vertical="center"/>
    </xf>
    <xf numFmtId="166" fontId="10" fillId="0" borderId="54" xfId="2" applyNumberFormat="1" applyFont="1" applyFill="1" applyBorder="1" applyAlignment="1">
      <alignment vertical="center"/>
    </xf>
    <xf numFmtId="166" fontId="10" fillId="0" borderId="21" xfId="2" applyNumberFormat="1" applyFont="1" applyFill="1" applyBorder="1" applyAlignment="1">
      <alignment vertical="center" wrapText="1"/>
    </xf>
    <xf numFmtId="166" fontId="13" fillId="0" borderId="17" xfId="2" applyNumberFormat="1" applyFont="1" applyFill="1" applyBorder="1" applyAlignment="1">
      <alignment vertical="center"/>
    </xf>
    <xf numFmtId="0" fontId="5" fillId="0" borderId="0" xfId="2" applyFont="1" applyFill="1"/>
    <xf numFmtId="3" fontId="21" fillId="0" borderId="18" xfId="2" applyNumberFormat="1" applyFont="1" applyFill="1" applyBorder="1" applyAlignment="1">
      <alignment vertical="center" wrapText="1"/>
    </xf>
    <xf numFmtId="3" fontId="13" fillId="0" borderId="48" xfId="2" applyNumberFormat="1" applyFont="1" applyFill="1" applyBorder="1" applyAlignment="1">
      <alignment vertical="center" wrapText="1"/>
    </xf>
    <xf numFmtId="166" fontId="16" fillId="0" borderId="8" xfId="2" applyNumberFormat="1" applyFont="1" applyFill="1" applyBorder="1" applyAlignment="1">
      <alignment vertical="center" wrapText="1"/>
    </xf>
    <xf numFmtId="166" fontId="10" fillId="0" borderId="18" xfId="2" applyNumberFormat="1" applyFont="1" applyFill="1" applyBorder="1" applyAlignment="1">
      <alignment vertical="center"/>
    </xf>
    <xf numFmtId="166" fontId="10" fillId="0" borderId="8" xfId="2" applyNumberFormat="1" applyFont="1" applyFill="1" applyBorder="1" applyAlignment="1">
      <alignment vertical="center"/>
    </xf>
    <xf numFmtId="166" fontId="10" fillId="0" borderId="69" xfId="2" applyNumberFormat="1" applyFont="1" applyFill="1" applyBorder="1" applyAlignment="1">
      <alignment vertical="center"/>
    </xf>
    <xf numFmtId="166" fontId="10" fillId="0" borderId="65" xfId="2" applyNumberFormat="1" applyFont="1" applyFill="1" applyBorder="1" applyAlignment="1">
      <alignment vertical="center"/>
    </xf>
    <xf numFmtId="166" fontId="10" fillId="0" borderId="70" xfId="2" applyNumberFormat="1" applyFont="1" applyFill="1" applyBorder="1" applyAlignment="1">
      <alignment vertical="center"/>
    </xf>
    <xf numFmtId="166" fontId="16" fillId="0" borderId="21" xfId="2" applyNumberFormat="1" applyFont="1" applyFill="1" applyBorder="1" applyAlignment="1">
      <alignment vertical="center" wrapText="1"/>
    </xf>
    <xf numFmtId="0" fontId="5" fillId="0" borderId="0" xfId="2" applyFont="1" applyFill="1" applyBorder="1"/>
    <xf numFmtId="3" fontId="10" fillId="0" borderId="23" xfId="2" applyNumberFormat="1" applyFont="1" applyBorder="1" applyAlignment="1">
      <alignment vertical="center" wrapText="1"/>
    </xf>
    <xf numFmtId="0" fontId="5" fillId="0" borderId="49" xfId="2" applyFont="1" applyBorder="1" applyAlignment="1">
      <alignment horizontal="center" vertical="center"/>
    </xf>
    <xf numFmtId="3" fontId="10" fillId="0" borderId="51" xfId="2" applyNumberFormat="1" applyFont="1" applyBorder="1" applyAlignment="1">
      <alignment vertical="center"/>
    </xf>
    <xf numFmtId="3" fontId="10" fillId="0" borderId="18" xfId="2" applyNumberFormat="1" applyFont="1" applyFill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 wrapText="1"/>
    </xf>
    <xf numFmtId="3" fontId="10" fillId="0" borderId="17" xfId="2" applyNumberFormat="1" applyFont="1" applyBorder="1" applyAlignment="1">
      <alignment vertical="center" wrapText="1"/>
    </xf>
    <xf numFmtId="0" fontId="4" fillId="0" borderId="103" xfId="2" applyFont="1" applyBorder="1" applyAlignment="1">
      <alignment horizontal="center"/>
    </xf>
    <xf numFmtId="0" fontId="4" fillId="0" borderId="7" xfId="2" applyFont="1" applyBorder="1" applyAlignment="1">
      <alignment horizontal="center" vertical="center"/>
    </xf>
    <xf numFmtId="1" fontId="24" fillId="0" borderId="15" xfId="2" applyNumberFormat="1" applyFont="1" applyFill="1" applyBorder="1" applyAlignment="1">
      <alignment horizontal="center" vertical="center" wrapText="1"/>
    </xf>
    <xf numFmtId="49" fontId="24" fillId="0" borderId="11" xfId="2" applyNumberFormat="1" applyFont="1" applyFill="1" applyBorder="1" applyAlignment="1">
      <alignment horizontal="center" vertical="center" wrapText="1"/>
    </xf>
    <xf numFmtId="0" fontId="5" fillId="0" borderId="104" xfId="2" applyFont="1" applyBorder="1" applyAlignment="1">
      <alignment horizontal="center" vertical="center"/>
    </xf>
    <xf numFmtId="3" fontId="9" fillId="0" borderId="64" xfId="2" applyNumberFormat="1" applyFont="1" applyBorder="1" applyAlignment="1">
      <alignment horizontal="right" vertical="center" wrapText="1"/>
    </xf>
    <xf numFmtId="0" fontId="4" fillId="0" borderId="61" xfId="2" applyFont="1" applyBorder="1" applyAlignment="1">
      <alignment horizontal="center"/>
    </xf>
    <xf numFmtId="0" fontId="13" fillId="0" borderId="10" xfId="2" applyFont="1" applyBorder="1" applyAlignment="1">
      <alignment horizontal="right" vertical="center"/>
    </xf>
    <xf numFmtId="3" fontId="13" fillId="0" borderId="10" xfId="2" applyNumberFormat="1" applyFont="1" applyBorder="1" applyAlignment="1">
      <alignment vertical="center" wrapText="1"/>
    </xf>
    <xf numFmtId="3" fontId="13" fillId="0" borderId="10" xfId="2" applyNumberFormat="1" applyFont="1" applyFill="1" applyBorder="1" applyAlignment="1">
      <alignment vertical="center" wrapText="1"/>
    </xf>
    <xf numFmtId="3" fontId="13" fillId="0" borderId="19" xfId="2" applyNumberFormat="1" applyFont="1" applyBorder="1" applyAlignment="1">
      <alignment vertical="center" wrapText="1"/>
    </xf>
    <xf numFmtId="3" fontId="13" fillId="0" borderId="8" xfId="2" applyNumberFormat="1" applyFont="1" applyFill="1" applyBorder="1" applyAlignment="1">
      <alignment vertical="center" wrapText="1"/>
    </xf>
    <xf numFmtId="0" fontId="7" fillId="0" borderId="17" xfId="2" applyFont="1" applyBorder="1" applyAlignment="1">
      <alignment horizontal="center" vertical="center"/>
    </xf>
    <xf numFmtId="0" fontId="13" fillId="0" borderId="0" xfId="2" applyFont="1" applyBorder="1" applyAlignment="1">
      <alignment horizontal="right" vertical="center"/>
    </xf>
    <xf numFmtId="166" fontId="16" fillId="0" borderId="22" xfId="2" applyNumberFormat="1" applyFont="1" applyBorder="1" applyAlignment="1">
      <alignment vertical="center" wrapText="1"/>
    </xf>
    <xf numFmtId="166" fontId="16" fillId="3" borderId="22" xfId="2" applyNumberFormat="1" applyFont="1" applyFill="1" applyBorder="1" applyAlignment="1">
      <alignment vertical="center" wrapText="1"/>
    </xf>
    <xf numFmtId="49" fontId="8" fillId="0" borderId="10" xfId="2" applyNumberFormat="1" applyFont="1" applyFill="1" applyBorder="1" applyAlignment="1">
      <alignment horizontal="center" vertical="center" wrapText="1"/>
    </xf>
    <xf numFmtId="170" fontId="5" fillId="0" borderId="0" xfId="2" applyNumberFormat="1" applyFont="1"/>
    <xf numFmtId="3" fontId="27" fillId="0" borderId="17" xfId="2" applyNumberFormat="1" applyFont="1" applyFill="1" applyBorder="1" applyAlignment="1">
      <alignment vertical="center"/>
    </xf>
    <xf numFmtId="3" fontId="27" fillId="0" borderId="23" xfId="2" applyNumberFormat="1" applyFont="1" applyFill="1" applyBorder="1" applyAlignment="1">
      <alignment vertical="center"/>
    </xf>
    <xf numFmtId="3" fontId="27" fillId="0" borderId="18" xfId="2" applyNumberFormat="1" applyFont="1" applyFill="1" applyBorder="1" applyAlignment="1">
      <alignment vertical="center"/>
    </xf>
    <xf numFmtId="166" fontId="24" fillId="0" borderId="10" xfId="2" applyNumberFormat="1" applyFont="1" applyBorder="1" applyAlignment="1">
      <alignment vertical="center" wrapText="1"/>
    </xf>
    <xf numFmtId="0" fontId="24" fillId="0" borderId="0" xfId="2" applyFont="1"/>
    <xf numFmtId="166" fontId="24" fillId="0" borderId="19" xfId="2" applyNumberFormat="1" applyFont="1" applyBorder="1" applyAlignment="1">
      <alignment vertical="center" wrapText="1"/>
    </xf>
    <xf numFmtId="3" fontId="28" fillId="0" borderId="19" xfId="2" applyNumberFormat="1" applyFont="1" applyBorder="1" applyAlignment="1">
      <alignment vertical="center" wrapText="1"/>
    </xf>
    <xf numFmtId="166" fontId="24" fillId="0" borderId="8" xfId="2" applyNumberFormat="1" applyFont="1" applyBorder="1" applyAlignment="1">
      <alignment vertical="center" wrapText="1"/>
    </xf>
    <xf numFmtId="3" fontId="24" fillId="0" borderId="10" xfId="2" applyNumberFormat="1" applyFont="1" applyBorder="1" applyAlignment="1">
      <alignment vertical="center" wrapText="1"/>
    </xf>
    <xf numFmtId="3" fontId="24" fillId="0" borderId="19" xfId="2" applyNumberFormat="1" applyFont="1" applyBorder="1" applyAlignment="1">
      <alignment vertical="center" wrapText="1"/>
    </xf>
    <xf numFmtId="3" fontId="24" fillId="0" borderId="8" xfId="2" applyNumberFormat="1" applyFont="1" applyBorder="1" applyAlignment="1">
      <alignment vertical="center" wrapText="1"/>
    </xf>
    <xf numFmtId="170" fontId="24" fillId="0" borderId="10" xfId="2" applyNumberFormat="1" applyFont="1" applyBorder="1" applyAlignment="1">
      <alignment vertical="center" wrapText="1"/>
    </xf>
    <xf numFmtId="3" fontId="28" fillId="0" borderId="10" xfId="2" applyNumberFormat="1" applyFont="1" applyBorder="1" applyAlignment="1">
      <alignment vertical="center" wrapText="1"/>
    </xf>
    <xf numFmtId="3" fontId="28" fillId="0" borderId="22" xfId="2" applyNumberFormat="1" applyFont="1" applyBorder="1" applyAlignment="1">
      <alignment vertical="center" wrapText="1"/>
    </xf>
    <xf numFmtId="166" fontId="28" fillId="0" borderId="91" xfId="2" applyNumberFormat="1" applyFont="1" applyBorder="1" applyAlignment="1">
      <alignment vertical="center" wrapText="1"/>
    </xf>
    <xf numFmtId="3" fontId="28" fillId="0" borderId="75" xfId="2" applyNumberFormat="1" applyFont="1" applyBorder="1" applyAlignment="1">
      <alignment vertical="center" wrapText="1"/>
    </xf>
    <xf numFmtId="3" fontId="28" fillId="0" borderId="43" xfId="2" applyNumberFormat="1" applyFont="1" applyBorder="1" applyAlignment="1">
      <alignment vertical="center" wrapText="1"/>
    </xf>
    <xf numFmtId="3" fontId="28" fillId="0" borderId="105" xfId="2" applyNumberFormat="1" applyFont="1" applyBorder="1"/>
    <xf numFmtId="3" fontId="25" fillId="0" borderId="17" xfId="2" applyNumberFormat="1" applyFont="1" applyBorder="1" applyAlignment="1">
      <alignment vertical="center" wrapText="1"/>
    </xf>
    <xf numFmtId="165" fontId="25" fillId="0" borderId="17" xfId="2" applyNumberFormat="1" applyFont="1" applyBorder="1" applyAlignment="1">
      <alignment vertical="center" wrapText="1"/>
    </xf>
    <xf numFmtId="165" fontId="25" fillId="0" borderId="21" xfId="2" applyNumberFormat="1" applyFont="1" applyBorder="1" applyAlignment="1">
      <alignment vertical="center" wrapText="1"/>
    </xf>
    <xf numFmtId="165" fontId="25" fillId="0" borderId="98" xfId="2" applyNumberFormat="1" applyFont="1" applyBorder="1" applyAlignment="1">
      <alignment vertical="center" wrapText="1"/>
    </xf>
    <xf numFmtId="3" fontId="25" fillId="0" borderId="21" xfId="2" applyNumberFormat="1" applyFont="1" applyBorder="1" applyAlignment="1">
      <alignment vertical="center" wrapText="1"/>
    </xf>
    <xf numFmtId="166" fontId="24" fillId="0" borderId="0" xfId="2" applyNumberFormat="1" applyFont="1" applyBorder="1" applyAlignment="1">
      <alignment vertical="center" wrapText="1"/>
    </xf>
    <xf numFmtId="1" fontId="24" fillId="0" borderId="10" xfId="2" applyNumberFormat="1" applyFont="1" applyBorder="1" applyAlignment="1">
      <alignment horizontal="center" vertical="center" wrapText="1"/>
    </xf>
    <xf numFmtId="166" fontId="28" fillId="0" borderId="19" xfId="2" applyNumberFormat="1" applyFont="1" applyBorder="1" applyAlignment="1">
      <alignment vertical="center" wrapText="1"/>
    </xf>
    <xf numFmtId="165" fontId="8" fillId="0" borderId="17" xfId="2" applyNumberFormat="1" applyFont="1" applyBorder="1" applyAlignment="1">
      <alignment vertical="center" wrapText="1"/>
    </xf>
    <xf numFmtId="0" fontId="4" fillId="0" borderId="49" xfId="2" applyFont="1" applyBorder="1" applyAlignment="1">
      <alignment horizontal="center" vertical="top"/>
    </xf>
    <xf numFmtId="166" fontId="27" fillId="0" borderId="50" xfId="2" applyNumberFormat="1" applyFont="1" applyBorder="1" applyAlignment="1">
      <alignment vertical="center"/>
    </xf>
    <xf numFmtId="166" fontId="27" fillId="0" borderId="51" xfId="2" applyNumberFormat="1" applyFont="1" applyBorder="1" applyAlignment="1">
      <alignment vertical="center"/>
    </xf>
    <xf numFmtId="166" fontId="27" fillId="0" borderId="69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top"/>
    </xf>
    <xf numFmtId="0" fontId="12" fillId="0" borderId="15" xfId="2" applyFont="1" applyBorder="1" applyAlignment="1">
      <alignment vertical="center" wrapText="1"/>
    </xf>
    <xf numFmtId="166" fontId="24" fillId="0" borderId="15" xfId="2" applyNumberFormat="1" applyFont="1" applyBorder="1" applyAlignment="1">
      <alignment vertical="center" wrapText="1"/>
    </xf>
    <xf numFmtId="166" fontId="24" fillId="0" borderId="47" xfId="2" applyNumberFormat="1" applyFont="1" applyBorder="1" applyAlignment="1">
      <alignment vertical="center" wrapText="1"/>
    </xf>
    <xf numFmtId="166" fontId="28" fillId="0" borderId="47" xfId="2" applyNumberFormat="1" applyFont="1" applyBorder="1" applyAlignment="1">
      <alignment vertical="center" wrapText="1"/>
    </xf>
    <xf numFmtId="166" fontId="24" fillId="0" borderId="65" xfId="2" applyNumberFormat="1" applyFont="1" applyBorder="1" applyAlignment="1">
      <alignment vertical="center" wrapText="1"/>
    </xf>
    <xf numFmtId="0" fontId="4" fillId="0" borderId="53" xfId="2" applyFont="1" applyBorder="1" applyAlignment="1">
      <alignment horizontal="center" vertical="top"/>
    </xf>
    <xf numFmtId="166" fontId="27" fillId="0" borderId="24" xfId="2" applyNumberFormat="1" applyFont="1" applyBorder="1" applyAlignment="1">
      <alignment vertical="center"/>
    </xf>
    <xf numFmtId="166" fontId="27" fillId="0" borderId="54" xfId="2" applyNumberFormat="1" applyFont="1" applyBorder="1" applyAlignment="1">
      <alignment vertical="center"/>
    </xf>
    <xf numFmtId="166" fontId="27" fillId="0" borderId="70" xfId="2" applyNumberFormat="1" applyFont="1" applyBorder="1" applyAlignment="1">
      <alignment vertical="center"/>
    </xf>
    <xf numFmtId="3" fontId="10" fillId="0" borderId="50" xfId="2" applyNumberFormat="1" applyFont="1" applyBorder="1" applyAlignment="1">
      <alignment vertical="center"/>
    </xf>
    <xf numFmtId="3" fontId="10" fillId="0" borderId="52" xfId="2" applyNumberFormat="1" applyFont="1" applyBorder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 wrapText="1"/>
    </xf>
    <xf numFmtId="166" fontId="8" fillId="0" borderId="15" xfId="2" applyNumberFormat="1" applyFont="1" applyBorder="1" applyAlignment="1">
      <alignment vertical="center" wrapText="1"/>
    </xf>
    <xf numFmtId="166" fontId="8" fillId="0" borderId="47" xfId="2" applyNumberFormat="1" applyFont="1" applyBorder="1" applyAlignment="1">
      <alignment vertical="center" wrapText="1"/>
    </xf>
    <xf numFmtId="166" fontId="16" fillId="0" borderId="42" xfId="2" applyNumberFormat="1" applyFont="1" applyBorder="1" applyAlignment="1">
      <alignment vertical="center" wrapText="1"/>
    </xf>
    <xf numFmtId="3" fontId="10" fillId="0" borderId="24" xfId="2" applyNumberFormat="1" applyFont="1" applyBorder="1" applyAlignment="1">
      <alignment vertical="center"/>
    </xf>
    <xf numFmtId="3" fontId="10" fillId="0" borderId="54" xfId="2" applyNumberFormat="1" applyFont="1" applyBorder="1" applyAlignment="1">
      <alignment vertical="center"/>
    </xf>
    <xf numFmtId="3" fontId="10" fillId="0" borderId="55" xfId="2" applyNumberFormat="1" applyFont="1" applyBorder="1" applyAlignment="1">
      <alignment vertical="center"/>
    </xf>
    <xf numFmtId="167" fontId="1" fillId="0" borderId="10" xfId="1" applyNumberFormat="1" applyBorder="1" applyAlignment="1">
      <alignment vertical="center" wrapText="1"/>
    </xf>
    <xf numFmtId="1" fontId="4" fillId="5" borderId="10" xfId="2" applyNumberFormat="1" applyFont="1" applyFill="1" applyBorder="1" applyAlignment="1">
      <alignment horizontal="center" vertical="center" wrapText="1"/>
    </xf>
    <xf numFmtId="49" fontId="8" fillId="5" borderId="10" xfId="2" applyNumberFormat="1" applyFont="1" applyFill="1" applyBorder="1" applyAlignment="1">
      <alignment horizontal="center" vertical="center" wrapText="1"/>
    </xf>
    <xf numFmtId="1" fontId="8" fillId="5" borderId="10" xfId="2" applyNumberFormat="1" applyFont="1" applyFill="1" applyBorder="1" applyAlignment="1">
      <alignment horizontal="center" vertical="center" wrapText="1"/>
    </xf>
    <xf numFmtId="1" fontId="4" fillId="0" borderId="10" xfId="2" applyNumberFormat="1" applyFont="1" applyFill="1" applyBorder="1" applyAlignment="1">
      <alignment horizontal="center" vertical="center" wrapText="1"/>
    </xf>
    <xf numFmtId="49" fontId="8" fillId="6" borderId="10" xfId="2" applyNumberFormat="1" applyFont="1" applyFill="1" applyBorder="1" applyAlignment="1">
      <alignment horizontal="center" vertical="center" wrapText="1"/>
    </xf>
    <xf numFmtId="1" fontId="8" fillId="6" borderId="10" xfId="2" applyNumberFormat="1" applyFont="1" applyFill="1" applyBorder="1" applyAlignment="1">
      <alignment horizontal="center" vertical="center" wrapText="1"/>
    </xf>
    <xf numFmtId="166" fontId="8" fillId="0" borderId="20" xfId="2" applyNumberFormat="1" applyFont="1" applyBorder="1" applyAlignment="1">
      <alignment vertical="center"/>
    </xf>
    <xf numFmtId="0" fontId="5" fillId="0" borderId="71" xfId="2" applyFont="1" applyBorder="1" applyAlignment="1">
      <alignment vertical="center"/>
    </xf>
    <xf numFmtId="168" fontId="22" fillId="0" borderId="71" xfId="1" applyNumberFormat="1" applyFont="1" applyBorder="1" applyAlignment="1">
      <alignment vertical="center"/>
    </xf>
    <xf numFmtId="168" fontId="22" fillId="0" borderId="71" xfId="1" applyNumberFormat="1" applyFont="1" applyFill="1" applyBorder="1" applyAlignment="1">
      <alignment horizontal="right" vertical="center"/>
    </xf>
    <xf numFmtId="168" fontId="22" fillId="0" borderId="71" xfId="1" applyNumberFormat="1" applyFont="1" applyBorder="1" applyAlignment="1">
      <alignment horizontal="right" vertical="center"/>
    </xf>
    <xf numFmtId="169" fontId="22" fillId="0" borderId="71" xfId="1" applyNumberFormat="1" applyFont="1" applyFill="1" applyBorder="1" applyAlignment="1">
      <alignment horizontal="right" vertical="center"/>
    </xf>
    <xf numFmtId="166" fontId="27" fillId="0" borderId="17" xfId="2" applyNumberFormat="1" applyFont="1" applyFill="1" applyBorder="1" applyAlignment="1">
      <alignment vertical="center"/>
    </xf>
    <xf numFmtId="0" fontId="8" fillId="0" borderId="0" xfId="2" applyFont="1" applyBorder="1" applyAlignment="1">
      <alignment horizontal="left" vertical="center" wrapText="1"/>
    </xf>
    <xf numFmtId="166" fontId="20" fillId="0" borderId="21" xfId="2" applyNumberFormat="1" applyFont="1" applyBorder="1" applyAlignment="1">
      <alignment vertical="center" wrapText="1"/>
    </xf>
    <xf numFmtId="166" fontId="20" fillId="0" borderId="98" xfId="2" applyNumberFormat="1" applyFont="1" applyBorder="1" applyAlignment="1">
      <alignment vertical="center" wrapText="1"/>
    </xf>
    <xf numFmtId="166" fontId="18" fillId="0" borderId="10" xfId="2" applyNumberFormat="1" applyFont="1" applyBorder="1" applyAlignment="1">
      <alignment vertical="center" wrapText="1"/>
    </xf>
    <xf numFmtId="166" fontId="18" fillId="0" borderId="22" xfId="2" applyNumberFormat="1" applyFont="1" applyBorder="1" applyAlignment="1">
      <alignment vertical="center" wrapText="1"/>
    </xf>
    <xf numFmtId="166" fontId="19" fillId="0" borderId="91" xfId="2" applyNumberFormat="1" applyFont="1" applyBorder="1" applyAlignment="1">
      <alignment vertical="center" wrapText="1"/>
    </xf>
    <xf numFmtId="1" fontId="12" fillId="0" borderId="15" xfId="2" applyNumberFormat="1" applyFont="1" applyFill="1" applyBorder="1" applyAlignment="1">
      <alignment horizontal="left" vertical="center" wrapText="1"/>
    </xf>
    <xf numFmtId="0" fontId="12" fillId="0" borderId="15" xfId="2" applyFont="1" applyFill="1" applyBorder="1" applyAlignment="1">
      <alignment horizontal="left" vertical="center" wrapText="1"/>
    </xf>
    <xf numFmtId="0" fontId="12" fillId="0" borderId="15" xfId="2" applyFont="1" applyBorder="1" applyAlignment="1">
      <alignment horizontal="left" vertical="center" wrapText="1"/>
    </xf>
    <xf numFmtId="0" fontId="12" fillId="0" borderId="6" xfId="2" applyFont="1" applyBorder="1" applyAlignment="1">
      <alignment horizontal="left" vertical="center"/>
    </xf>
    <xf numFmtId="49" fontId="12" fillId="0" borderId="11" xfId="2" applyNumberFormat="1" applyFont="1" applyFill="1" applyBorder="1" applyAlignment="1">
      <alignment horizontal="left" vertical="center" wrapText="1"/>
    </xf>
    <xf numFmtId="49" fontId="12" fillId="0" borderId="15" xfId="2" applyNumberFormat="1" applyFont="1" applyFill="1" applyBorder="1" applyAlignment="1">
      <alignment horizontal="left" vertical="center" wrapText="1"/>
    </xf>
    <xf numFmtId="1" fontId="12" fillId="0" borderId="15" xfId="2" applyNumberFormat="1" applyFont="1" applyBorder="1" applyAlignment="1">
      <alignment horizontal="left" vertical="center" wrapText="1"/>
    </xf>
    <xf numFmtId="1" fontId="12" fillId="0" borderId="15" xfId="2" applyNumberFormat="1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1" fontId="18" fillId="0" borderId="10" xfId="2" applyNumberFormat="1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7" borderId="15" xfId="2" applyFont="1" applyFill="1" applyBorder="1" applyAlignment="1">
      <alignment horizontal="center" vertical="center" wrapText="1"/>
    </xf>
    <xf numFmtId="1" fontId="12" fillId="7" borderId="15" xfId="2" applyNumberFormat="1" applyFont="1" applyFill="1" applyBorder="1" applyAlignment="1">
      <alignment horizontal="center" vertical="center" wrapText="1"/>
    </xf>
    <xf numFmtId="1" fontId="8" fillId="7" borderId="10" xfId="2" applyNumberFormat="1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1" fontId="18" fillId="7" borderId="10" xfId="2" applyNumberFormat="1" applyFont="1" applyFill="1" applyBorder="1" applyAlignment="1">
      <alignment horizontal="center" vertical="center" wrapText="1"/>
    </xf>
    <xf numFmtId="1" fontId="8" fillId="7" borderId="15" xfId="2" applyNumberFormat="1" applyFont="1" applyFill="1" applyBorder="1" applyAlignment="1">
      <alignment horizontal="center" vertical="center" wrapText="1"/>
    </xf>
    <xf numFmtId="166" fontId="5" fillId="0" borderId="71" xfId="2" applyNumberFormat="1" applyFont="1" applyBorder="1"/>
    <xf numFmtId="0" fontId="8" fillId="6" borderId="9" xfId="2" applyFont="1" applyFill="1" applyBorder="1" applyAlignment="1">
      <alignment horizontal="center" vertical="center" wrapText="1"/>
    </xf>
    <xf numFmtId="1" fontId="8" fillId="8" borderId="10" xfId="2" applyNumberFormat="1" applyFont="1" applyFill="1" applyBorder="1" applyAlignment="1">
      <alignment horizontal="center" vertical="center" wrapText="1"/>
    </xf>
    <xf numFmtId="0" fontId="8" fillId="8" borderId="9" xfId="2" applyFont="1" applyFill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vertical="center"/>
    </xf>
    <xf numFmtId="1" fontId="18" fillId="8" borderId="10" xfId="2" applyNumberFormat="1" applyFont="1" applyFill="1" applyBorder="1" applyAlignment="1">
      <alignment horizontal="center" vertical="center" wrapText="1"/>
    </xf>
    <xf numFmtId="1" fontId="12" fillId="8" borderId="15" xfId="2" applyNumberFormat="1" applyFont="1" applyFill="1" applyBorder="1" applyAlignment="1">
      <alignment horizontal="center" vertical="center" wrapText="1"/>
    </xf>
    <xf numFmtId="3" fontId="11" fillId="0" borderId="23" xfId="2" applyNumberFormat="1" applyFont="1" applyFill="1" applyBorder="1" applyAlignment="1">
      <alignment vertical="center" wrapText="1"/>
    </xf>
    <xf numFmtId="0" fontId="4" fillId="6" borderId="15" xfId="2" applyFont="1" applyFill="1" applyBorder="1" applyAlignment="1">
      <alignment horizontal="center" vertical="center" wrapText="1"/>
    </xf>
    <xf numFmtId="1" fontId="12" fillId="6" borderId="15" xfId="2" applyNumberFormat="1" applyFont="1" applyFill="1" applyBorder="1" applyAlignment="1">
      <alignment horizontal="center" vertical="center" wrapText="1"/>
    </xf>
    <xf numFmtId="3" fontId="11" fillId="0" borderId="82" xfId="2" applyNumberFormat="1" applyFont="1" applyBorder="1" applyAlignment="1">
      <alignment vertical="center" wrapText="1"/>
    </xf>
    <xf numFmtId="166" fontId="27" fillId="0" borderId="21" xfId="2" applyNumberFormat="1" applyFont="1" applyBorder="1" applyAlignment="1">
      <alignment vertical="center"/>
    </xf>
    <xf numFmtId="166" fontId="27" fillId="0" borderId="16" xfId="2" applyNumberFormat="1" applyFont="1" applyBorder="1" applyAlignment="1">
      <alignment vertical="center"/>
    </xf>
    <xf numFmtId="0" fontId="5" fillId="0" borderId="112" xfId="2" applyFont="1" applyBorder="1" applyAlignment="1">
      <alignment horizontal="center" vertical="center"/>
    </xf>
    <xf numFmtId="0" fontId="4" fillId="0" borderId="106" xfId="2" applyFont="1" applyBorder="1" applyAlignment="1">
      <alignment horizontal="center"/>
    </xf>
    <xf numFmtId="0" fontId="4" fillId="0" borderId="107" xfId="2" applyFont="1" applyBorder="1" applyAlignment="1">
      <alignment horizontal="center"/>
    </xf>
    <xf numFmtId="0" fontId="4" fillId="0" borderId="108" xfId="2" applyFont="1" applyBorder="1" applyAlignment="1">
      <alignment horizontal="center"/>
    </xf>
    <xf numFmtId="0" fontId="4" fillId="2" borderId="106" xfId="0" applyFont="1" applyFill="1" applyBorder="1" applyAlignment="1" applyProtection="1">
      <alignment horizontal="center"/>
      <protection hidden="1"/>
    </xf>
    <xf numFmtId="0" fontId="4" fillId="2" borderId="108" xfId="0" applyFont="1" applyFill="1" applyBorder="1" applyAlignment="1" applyProtection="1">
      <alignment horizontal="center"/>
      <protection hidden="1"/>
    </xf>
    <xf numFmtId="0" fontId="4" fillId="0" borderId="109" xfId="2" applyFont="1" applyBorder="1" applyAlignment="1">
      <alignment horizontal="center"/>
    </xf>
    <xf numFmtId="0" fontId="4" fillId="0" borderId="93" xfId="2" applyFont="1" applyBorder="1" applyAlignment="1">
      <alignment horizontal="center"/>
    </xf>
    <xf numFmtId="0" fontId="4" fillId="0" borderId="94" xfId="2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0" fontId="26" fillId="0" borderId="0" xfId="2" applyFont="1" applyBorder="1" applyAlignment="1">
      <alignment horizontal="center" vertical="center" wrapText="1"/>
    </xf>
    <xf numFmtId="0" fontId="26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26" fillId="0" borderId="0" xfId="2" applyFont="1" applyBorder="1" applyAlignment="1">
      <alignment horizontal="center" vertical="top"/>
    </xf>
    <xf numFmtId="0" fontId="26" fillId="0" borderId="0" xfId="2" applyFont="1" applyBorder="1" applyAlignment="1">
      <alignment horizontal="center" vertical="top" wrapText="1"/>
    </xf>
    <xf numFmtId="0" fontId="6" fillId="0" borderId="100" xfId="2" applyFont="1" applyBorder="1" applyAlignment="1">
      <alignment horizontal="center"/>
    </xf>
    <xf numFmtId="0" fontId="4" fillId="2" borderId="106" xfId="0" applyFont="1" applyFill="1" applyBorder="1" applyAlignment="1">
      <alignment horizontal="center"/>
    </xf>
    <xf numFmtId="0" fontId="4" fillId="2" borderId="10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09" xfId="0" applyFont="1" applyFill="1" applyBorder="1" applyAlignment="1">
      <alignment horizontal="center"/>
    </xf>
    <xf numFmtId="0" fontId="4" fillId="2" borderId="93" xfId="0" applyFont="1" applyFill="1" applyBorder="1" applyAlignment="1">
      <alignment horizontal="center"/>
    </xf>
    <xf numFmtId="0" fontId="4" fillId="2" borderId="94" xfId="0" applyFont="1" applyFill="1" applyBorder="1" applyAlignment="1">
      <alignment horizontal="center"/>
    </xf>
    <xf numFmtId="0" fontId="26" fillId="0" borderId="0" xfId="2" applyFont="1" applyBorder="1" applyAlignment="1">
      <alignment horizontal="center" wrapText="1"/>
    </xf>
    <xf numFmtId="0" fontId="6" fillId="0" borderId="110" xfId="2" applyFont="1" applyBorder="1" applyAlignment="1">
      <alignment horizontal="center"/>
    </xf>
    <xf numFmtId="0" fontId="6" fillId="0" borderId="111" xfId="2" applyFont="1" applyBorder="1" applyAlignment="1">
      <alignment horizontal="center"/>
    </xf>
  </cellXfs>
  <cellStyles count="3">
    <cellStyle name="Ezres" xfId="1" builtinId="3"/>
    <cellStyle name="Normál" xfId="0" builtinId="0"/>
    <cellStyle name="Normál_SajatHK2005_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5"/>
  <sheetViews>
    <sheetView tabSelected="1" zoomScale="75" zoomScaleNormal="75" workbookViewId="0"/>
  </sheetViews>
  <sheetFormatPr defaultRowHeight="16.5" x14ac:dyDescent="0.25"/>
  <cols>
    <col min="1" max="1" width="5.5703125" style="1" customWidth="1"/>
    <col min="2" max="2" width="10.5703125" style="1" hidden="1" customWidth="1"/>
    <col min="3" max="3" width="48.7109375" style="2" customWidth="1"/>
    <col min="4" max="4" width="15" style="2" customWidth="1"/>
    <col min="5" max="5" width="13.28515625" style="2" customWidth="1"/>
    <col min="6" max="6" width="14.7109375" style="2" customWidth="1"/>
    <col min="7" max="7" width="14.28515625" style="2" customWidth="1"/>
    <col min="8" max="8" width="15.42578125" style="2" customWidth="1"/>
    <col min="9" max="11" width="13.7109375" style="2" customWidth="1"/>
    <col min="12" max="12" width="16.7109375" style="2" customWidth="1"/>
    <col min="13" max="13" width="14.42578125" style="2" customWidth="1"/>
    <col min="14" max="14" width="13.7109375" style="2" customWidth="1"/>
    <col min="15" max="15" width="15.7109375" style="2" customWidth="1"/>
    <col min="16" max="16" width="0.85546875" style="2" customWidth="1"/>
    <col min="17" max="17" width="15.85546875" style="2" customWidth="1"/>
    <col min="18" max="20" width="13.7109375" style="2" customWidth="1"/>
    <col min="21" max="21" width="15.7109375" style="2" customWidth="1"/>
    <col min="22" max="22" width="1.85546875" style="2" customWidth="1"/>
    <col min="23" max="23" width="17.7109375" style="2" customWidth="1"/>
    <col min="24" max="29" width="9.140625" style="2"/>
    <col min="30" max="31" width="10.7109375" style="2" customWidth="1"/>
    <col min="32" max="32" width="10.28515625" style="2" customWidth="1"/>
    <col min="33" max="33" width="10" style="2" customWidth="1"/>
    <col min="34" max="34" width="10.28515625" style="2" customWidth="1"/>
    <col min="35" max="35" width="10.7109375" style="2" customWidth="1"/>
    <col min="36" max="36" width="10.5703125" style="2" customWidth="1"/>
    <col min="37" max="40" width="9.140625" style="2"/>
    <col min="41" max="41" width="11" style="2" customWidth="1"/>
    <col min="42" max="16384" width="9.140625" style="2"/>
  </cols>
  <sheetData>
    <row r="1" spans="1:35" ht="20.25" customHeight="1" x14ac:dyDescent="0.25">
      <c r="W1" s="186" t="s">
        <v>85</v>
      </c>
    </row>
    <row r="2" spans="1:35" ht="30" customHeight="1" x14ac:dyDescent="0.3">
      <c r="A2" s="650" t="s">
        <v>0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0"/>
      <c r="U2" s="650"/>
      <c r="V2" s="650"/>
      <c r="W2" s="650"/>
    </row>
    <row r="3" spans="1:35" ht="2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5" ht="50.1" customHeight="1" x14ac:dyDescent="0.2">
      <c r="A4" s="651" t="s">
        <v>578</v>
      </c>
      <c r="B4" s="652"/>
      <c r="C4" s="652"/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  <c r="W4" s="652"/>
    </row>
    <row r="5" spans="1:35" ht="15.7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5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1</v>
      </c>
    </row>
    <row r="7" spans="1:35" ht="18" customHeight="1" x14ac:dyDescent="0.25">
      <c r="A7" s="7"/>
      <c r="B7" s="8"/>
      <c r="C7" s="9"/>
      <c r="D7" s="642" t="s">
        <v>110</v>
      </c>
      <c r="E7" s="643"/>
      <c r="F7" s="644"/>
      <c r="G7" s="395"/>
      <c r="H7" s="396"/>
      <c r="I7" s="397" t="s">
        <v>4</v>
      </c>
      <c r="J7" s="645" t="s">
        <v>118</v>
      </c>
      <c r="K7" s="646"/>
      <c r="L7" s="395"/>
      <c r="M7" s="398" t="s">
        <v>119</v>
      </c>
      <c r="N7" s="399"/>
      <c r="O7" s="400" t="s">
        <v>126</v>
      </c>
      <c r="P7" s="401"/>
      <c r="Q7" s="647" t="s">
        <v>128</v>
      </c>
      <c r="R7" s="648"/>
      <c r="S7" s="648"/>
      <c r="T7" s="649"/>
      <c r="U7" s="401" t="s">
        <v>137</v>
      </c>
      <c r="V7" s="400"/>
      <c r="W7" s="10" t="s">
        <v>2</v>
      </c>
    </row>
    <row r="8" spans="1:35" x14ac:dyDescent="0.25">
      <c r="A8" s="11"/>
      <c r="B8" s="12"/>
      <c r="C8" s="13" t="s">
        <v>3</v>
      </c>
      <c r="D8" s="16" t="s">
        <v>111</v>
      </c>
      <c r="E8" s="13" t="s">
        <v>112</v>
      </c>
      <c r="F8" s="4" t="s">
        <v>113</v>
      </c>
      <c r="G8" s="17" t="s">
        <v>120</v>
      </c>
      <c r="H8" s="17" t="s">
        <v>5</v>
      </c>
      <c r="I8" s="17" t="s">
        <v>15</v>
      </c>
      <c r="J8" s="13" t="s">
        <v>6</v>
      </c>
      <c r="K8" s="13" t="s">
        <v>121</v>
      </c>
      <c r="L8" s="391" t="s">
        <v>96</v>
      </c>
      <c r="M8" s="13" t="s">
        <v>122</v>
      </c>
      <c r="N8" s="17" t="s">
        <v>4</v>
      </c>
      <c r="O8" s="392" t="s">
        <v>127</v>
      </c>
      <c r="P8" s="393"/>
      <c r="Q8" s="17" t="s">
        <v>129</v>
      </c>
      <c r="R8" s="17" t="s">
        <v>130</v>
      </c>
      <c r="S8" s="17" t="s">
        <v>216</v>
      </c>
      <c r="T8" s="17" t="s">
        <v>4</v>
      </c>
      <c r="U8" s="393" t="s">
        <v>138</v>
      </c>
      <c r="V8" s="392"/>
      <c r="W8" s="15" t="s">
        <v>7</v>
      </c>
    </row>
    <row r="9" spans="1:35" x14ac:dyDescent="0.25">
      <c r="A9" s="18" t="s">
        <v>8</v>
      </c>
      <c r="B9" s="13"/>
      <c r="C9" s="13" t="s">
        <v>9</v>
      </c>
      <c r="D9" s="17" t="s">
        <v>15</v>
      </c>
      <c r="E9" s="13" t="s">
        <v>114</v>
      </c>
      <c r="F9" s="4" t="s">
        <v>72</v>
      </c>
      <c r="G9" s="17" t="s">
        <v>10</v>
      </c>
      <c r="H9" s="13" t="s">
        <v>10</v>
      </c>
      <c r="I9" s="13" t="s">
        <v>11</v>
      </c>
      <c r="J9" s="13" t="s">
        <v>11</v>
      </c>
      <c r="K9" s="13" t="s">
        <v>72</v>
      </c>
      <c r="L9" s="296" t="s">
        <v>97</v>
      </c>
      <c r="M9" s="17" t="s">
        <v>123</v>
      </c>
      <c r="N9" s="17" t="s">
        <v>98</v>
      </c>
      <c r="O9" s="392" t="s">
        <v>10</v>
      </c>
      <c r="P9" s="393"/>
      <c r="Q9" s="17" t="s">
        <v>131</v>
      </c>
      <c r="R9" s="17" t="s">
        <v>132</v>
      </c>
      <c r="S9" s="17" t="s">
        <v>217</v>
      </c>
      <c r="T9" s="17" t="s">
        <v>173</v>
      </c>
      <c r="U9" s="393" t="s">
        <v>10</v>
      </c>
      <c r="V9" s="392"/>
      <c r="W9" s="15" t="s">
        <v>12</v>
      </c>
    </row>
    <row r="10" spans="1:35" x14ac:dyDescent="0.25">
      <c r="A10" s="11"/>
      <c r="B10" s="12"/>
      <c r="C10" s="13" t="s">
        <v>13</v>
      </c>
      <c r="D10" s="17" t="s">
        <v>115</v>
      </c>
      <c r="E10" s="13" t="s">
        <v>116</v>
      </c>
      <c r="F10" s="4" t="s">
        <v>117</v>
      </c>
      <c r="G10" s="17"/>
      <c r="H10" s="13"/>
      <c r="I10" s="13" t="s">
        <v>95</v>
      </c>
      <c r="J10" s="13" t="s">
        <v>124</v>
      </c>
      <c r="K10" s="13" t="s">
        <v>117</v>
      </c>
      <c r="L10" s="13" t="s">
        <v>10</v>
      </c>
      <c r="M10" s="17" t="s">
        <v>37</v>
      </c>
      <c r="N10" s="17" t="s">
        <v>125</v>
      </c>
      <c r="O10" s="392" t="s">
        <v>12</v>
      </c>
      <c r="P10" s="393"/>
      <c r="Q10" s="17" t="s">
        <v>133</v>
      </c>
      <c r="R10" s="17" t="s">
        <v>134</v>
      </c>
      <c r="S10" s="17" t="s">
        <v>218</v>
      </c>
      <c r="T10" s="17" t="s">
        <v>174</v>
      </c>
      <c r="U10" s="393" t="s">
        <v>12</v>
      </c>
      <c r="V10" s="392"/>
      <c r="W10" s="19" t="s">
        <v>140</v>
      </c>
    </row>
    <row r="11" spans="1:35" x14ac:dyDescent="0.25">
      <c r="A11" s="11"/>
      <c r="B11" s="12"/>
      <c r="C11" s="13"/>
      <c r="D11" s="17"/>
      <c r="E11" s="13" t="s">
        <v>16</v>
      </c>
      <c r="F11" s="4" t="s">
        <v>94</v>
      </c>
      <c r="G11" s="17"/>
      <c r="H11" s="13"/>
      <c r="I11" s="13" t="s">
        <v>17</v>
      </c>
      <c r="J11" s="13" t="s">
        <v>46</v>
      </c>
      <c r="K11" s="13" t="s">
        <v>94</v>
      </c>
      <c r="L11" s="13"/>
      <c r="M11" s="20" t="s">
        <v>14</v>
      </c>
      <c r="N11" s="20" t="s">
        <v>17</v>
      </c>
      <c r="O11" s="4" t="s">
        <v>136</v>
      </c>
      <c r="P11" s="394"/>
      <c r="Q11" s="17" t="s">
        <v>16</v>
      </c>
      <c r="R11" s="20" t="s">
        <v>135</v>
      </c>
      <c r="S11" s="20" t="s">
        <v>219</v>
      </c>
      <c r="T11" s="20" t="s">
        <v>10</v>
      </c>
      <c r="U11" s="20" t="s">
        <v>139</v>
      </c>
      <c r="V11" s="4"/>
      <c r="W11" s="15"/>
    </row>
    <row r="12" spans="1:35" hidden="1" x14ac:dyDescent="0.25">
      <c r="A12" s="113"/>
      <c r="B12" s="114"/>
      <c r="C12" s="115"/>
      <c r="D12" s="16" t="s">
        <v>197</v>
      </c>
      <c r="E12" s="115" t="s">
        <v>198</v>
      </c>
      <c r="F12" s="116" t="s">
        <v>199</v>
      </c>
      <c r="G12" s="16" t="s">
        <v>200</v>
      </c>
      <c r="H12" s="115" t="s">
        <v>201</v>
      </c>
      <c r="I12" s="115" t="s">
        <v>202</v>
      </c>
      <c r="J12" s="115" t="s">
        <v>203</v>
      </c>
      <c r="K12" s="124" t="s">
        <v>204</v>
      </c>
      <c r="L12" s="115" t="s">
        <v>205</v>
      </c>
      <c r="M12" s="117" t="s">
        <v>206</v>
      </c>
      <c r="N12" s="118" t="s">
        <v>207</v>
      </c>
      <c r="O12" s="116"/>
      <c r="P12" s="20"/>
      <c r="Q12" s="16" t="s">
        <v>208</v>
      </c>
      <c r="R12" s="118" t="s">
        <v>209</v>
      </c>
      <c r="S12" s="118" t="s">
        <v>210</v>
      </c>
      <c r="T12" s="115" t="s">
        <v>211</v>
      </c>
      <c r="U12" s="16"/>
      <c r="V12" s="119"/>
      <c r="W12" s="403"/>
    </row>
    <row r="13" spans="1:35" ht="20.25" customHeight="1" x14ac:dyDescent="0.2">
      <c r="A13" s="192">
        <v>1</v>
      </c>
      <c r="B13" s="215"/>
      <c r="C13" s="215">
        <v>2</v>
      </c>
      <c r="D13" s="215">
        <v>3</v>
      </c>
      <c r="E13" s="215">
        <v>4</v>
      </c>
      <c r="F13" s="215">
        <v>5</v>
      </c>
      <c r="G13" s="215">
        <v>6</v>
      </c>
      <c r="H13" s="215">
        <v>7</v>
      </c>
      <c r="I13" s="215">
        <v>8</v>
      </c>
      <c r="J13" s="215">
        <v>9</v>
      </c>
      <c r="K13" s="215">
        <v>10</v>
      </c>
      <c r="L13" s="215">
        <v>11</v>
      </c>
      <c r="M13" s="215">
        <v>12</v>
      </c>
      <c r="N13" s="215">
        <v>13</v>
      </c>
      <c r="O13" s="215">
        <v>14</v>
      </c>
      <c r="P13" s="215"/>
      <c r="Q13" s="215">
        <v>15</v>
      </c>
      <c r="R13" s="215">
        <v>16</v>
      </c>
      <c r="S13" s="215">
        <v>17</v>
      </c>
      <c r="T13" s="215">
        <v>18</v>
      </c>
      <c r="U13" s="215">
        <v>19</v>
      </c>
      <c r="V13" s="216"/>
      <c r="W13" s="217">
        <v>20</v>
      </c>
    </row>
    <row r="14" spans="1:35" ht="22.5" hidden="1" customHeight="1" x14ac:dyDescent="0.25">
      <c r="A14" s="22"/>
      <c r="B14" s="23"/>
      <c r="C14" s="24" t="s">
        <v>63</v>
      </c>
      <c r="D14" s="25">
        <v>2201180.682</v>
      </c>
      <c r="E14" s="25">
        <v>0</v>
      </c>
      <c r="F14" s="25">
        <v>52185</v>
      </c>
      <c r="G14" s="25">
        <v>8490006</v>
      </c>
      <c r="H14" s="25">
        <v>2489742.318</v>
      </c>
      <c r="I14" s="156">
        <v>0</v>
      </c>
      <c r="J14" s="25">
        <v>200000</v>
      </c>
      <c r="K14" s="25">
        <v>0</v>
      </c>
      <c r="L14" s="156">
        <v>1355000</v>
      </c>
      <c r="M14" s="25">
        <v>17800</v>
      </c>
      <c r="N14" s="25">
        <v>0</v>
      </c>
      <c r="O14" s="402">
        <f>SUM(D14:N14)</f>
        <v>14805914</v>
      </c>
      <c r="P14" s="25"/>
      <c r="Q14" s="25">
        <v>650000</v>
      </c>
      <c r="R14" s="25">
        <v>1173053</v>
      </c>
      <c r="S14" s="25">
        <v>0</v>
      </c>
      <c r="T14" s="25">
        <v>0</v>
      </c>
      <c r="U14" s="402">
        <f>SUM(Q14:T14)</f>
        <v>1823053</v>
      </c>
      <c r="V14" s="155"/>
      <c r="W14" s="141">
        <f>O14+U14</f>
        <v>16628967</v>
      </c>
    </row>
    <row r="15" spans="1:35" ht="20.100000000000001" hidden="1" customHeight="1" x14ac:dyDescent="0.25">
      <c r="A15" s="158"/>
      <c r="B15" s="27" t="s">
        <v>60</v>
      </c>
      <c r="C15" s="28" t="s">
        <v>100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140"/>
      <c r="V15" s="83"/>
      <c r="W15" s="404">
        <f>O15+U15</f>
        <v>0</v>
      </c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1:35" ht="20.100000000000001" hidden="1" customHeight="1" x14ac:dyDescent="0.25">
      <c r="A16" s="158"/>
      <c r="B16" s="27"/>
      <c r="C16" s="24" t="s">
        <v>18</v>
      </c>
      <c r="D16" s="153">
        <f>SUM(D14:D15)</f>
        <v>2201180.682</v>
      </c>
      <c r="E16" s="153">
        <f t="shared" ref="E16:U16" si="0">SUM(E14:E15)</f>
        <v>0</v>
      </c>
      <c r="F16" s="153">
        <f t="shared" si="0"/>
        <v>52185</v>
      </c>
      <c r="G16" s="153">
        <f t="shared" si="0"/>
        <v>8490006</v>
      </c>
      <c r="H16" s="153">
        <f t="shared" si="0"/>
        <v>2489742.318</v>
      </c>
      <c r="I16" s="153">
        <f t="shared" si="0"/>
        <v>0</v>
      </c>
      <c r="J16" s="153">
        <f t="shared" si="0"/>
        <v>200000</v>
      </c>
      <c r="K16" s="153">
        <f t="shared" si="0"/>
        <v>0</v>
      </c>
      <c r="L16" s="153">
        <f t="shared" si="0"/>
        <v>1355000</v>
      </c>
      <c r="M16" s="153">
        <f t="shared" si="0"/>
        <v>17800</v>
      </c>
      <c r="N16" s="153">
        <f t="shared" si="0"/>
        <v>0</v>
      </c>
      <c r="O16" s="153">
        <f t="shared" si="0"/>
        <v>14805914</v>
      </c>
      <c r="P16" s="153"/>
      <c r="Q16" s="153">
        <f t="shared" si="0"/>
        <v>650000</v>
      </c>
      <c r="R16" s="153">
        <f t="shared" si="0"/>
        <v>1173053</v>
      </c>
      <c r="S16" s="153">
        <f t="shared" si="0"/>
        <v>0</v>
      </c>
      <c r="T16" s="153">
        <f t="shared" si="0"/>
        <v>0</v>
      </c>
      <c r="U16" s="153">
        <f t="shared" si="0"/>
        <v>1823053</v>
      </c>
      <c r="V16" s="409"/>
      <c r="W16" s="405">
        <f>SUM(W14:W15)</f>
        <v>16628967</v>
      </c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70"/>
    </row>
    <row r="17" spans="1:35" ht="35.1" hidden="1" customHeight="1" x14ac:dyDescent="0.25">
      <c r="A17" s="82">
        <v>1</v>
      </c>
      <c r="B17" s="138" t="s">
        <v>178</v>
      </c>
      <c r="C17" s="28" t="s">
        <v>224</v>
      </c>
      <c r="D17" s="542">
        <f>-200-500</f>
        <v>-700</v>
      </c>
      <c r="E17" s="542"/>
      <c r="F17" s="542"/>
      <c r="G17" s="542"/>
      <c r="H17" s="542">
        <f>700</f>
        <v>700</v>
      </c>
      <c r="I17" s="542"/>
      <c r="J17" s="543"/>
      <c r="K17" s="542"/>
      <c r="L17" s="542"/>
      <c r="M17" s="542"/>
      <c r="N17" s="542"/>
      <c r="O17" s="542">
        <f t="shared" ref="O17:O28" si="1">SUM(D17:N17)</f>
        <v>0</v>
      </c>
      <c r="P17" s="547"/>
      <c r="Q17" s="550"/>
      <c r="R17" s="550"/>
      <c r="S17" s="550"/>
      <c r="T17" s="550"/>
      <c r="U17" s="551">
        <f t="shared" ref="U17:U28" si="2">SUM(Q17:T17)</f>
        <v>0</v>
      </c>
      <c r="V17" s="552"/>
      <c r="W17" s="553">
        <f t="shared" ref="W17:W28" si="3">O17+U17</f>
        <v>0</v>
      </c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70"/>
    </row>
    <row r="18" spans="1:35" ht="35.1" hidden="1" customHeight="1" x14ac:dyDescent="0.25">
      <c r="A18" s="82">
        <v>2</v>
      </c>
      <c r="B18" s="138" t="s">
        <v>234</v>
      </c>
      <c r="C18" s="28" t="s">
        <v>235</v>
      </c>
      <c r="D18" s="542"/>
      <c r="E18" s="542"/>
      <c r="F18" s="542"/>
      <c r="G18" s="542"/>
      <c r="H18" s="542">
        <f>1200+324</f>
        <v>1524</v>
      </c>
      <c r="I18" s="542"/>
      <c r="J18" s="543"/>
      <c r="K18" s="542"/>
      <c r="L18" s="542"/>
      <c r="M18" s="542"/>
      <c r="N18" s="542"/>
      <c r="O18" s="542">
        <f t="shared" si="1"/>
        <v>1524</v>
      </c>
      <c r="P18" s="547"/>
      <c r="Q18" s="550"/>
      <c r="R18" s="550"/>
      <c r="S18" s="550"/>
      <c r="T18" s="550"/>
      <c r="U18" s="551">
        <f t="shared" si="2"/>
        <v>0</v>
      </c>
      <c r="V18" s="552"/>
      <c r="W18" s="553">
        <f t="shared" si="3"/>
        <v>1524</v>
      </c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70"/>
    </row>
    <row r="19" spans="1:35" ht="35.1" hidden="1" customHeight="1" x14ac:dyDescent="0.25">
      <c r="A19" s="82">
        <v>3</v>
      </c>
      <c r="B19" s="138" t="s">
        <v>251</v>
      </c>
      <c r="C19" s="28" t="s">
        <v>260</v>
      </c>
      <c r="D19" s="542"/>
      <c r="E19" s="542"/>
      <c r="F19" s="562"/>
      <c r="G19" s="542"/>
      <c r="H19" s="542"/>
      <c r="I19" s="542">
        <f>500</f>
        <v>500</v>
      </c>
      <c r="J19" s="543"/>
      <c r="K19" s="542"/>
      <c r="L19" s="542"/>
      <c r="M19" s="542"/>
      <c r="N19" s="542"/>
      <c r="O19" s="542">
        <f t="shared" si="1"/>
        <v>500</v>
      </c>
      <c r="P19" s="547"/>
      <c r="Q19" s="550"/>
      <c r="R19" s="550"/>
      <c r="S19" s="550"/>
      <c r="T19" s="550"/>
      <c r="U19" s="551">
        <f t="shared" si="2"/>
        <v>0</v>
      </c>
      <c r="V19" s="552"/>
      <c r="W19" s="553">
        <f t="shared" si="3"/>
        <v>500</v>
      </c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70"/>
    </row>
    <row r="20" spans="1:35" ht="35.1" hidden="1" customHeight="1" x14ac:dyDescent="0.25">
      <c r="A20" s="82">
        <v>4</v>
      </c>
      <c r="B20" s="138" t="s">
        <v>261</v>
      </c>
      <c r="C20" s="28" t="s">
        <v>262</v>
      </c>
      <c r="D20" s="542">
        <f>1712.309</f>
        <v>1712.309</v>
      </c>
      <c r="E20" s="542"/>
      <c r="F20" s="562"/>
      <c r="G20" s="542"/>
      <c r="H20" s="542"/>
      <c r="I20" s="542"/>
      <c r="J20" s="543"/>
      <c r="K20" s="542"/>
      <c r="L20" s="542"/>
      <c r="M20" s="542"/>
      <c r="N20" s="542"/>
      <c r="O20" s="542">
        <f t="shared" si="1"/>
        <v>1712.309</v>
      </c>
      <c r="P20" s="547"/>
      <c r="Q20" s="550"/>
      <c r="R20" s="550"/>
      <c r="S20" s="550"/>
      <c r="T20" s="550"/>
      <c r="U20" s="551">
        <f t="shared" si="2"/>
        <v>0</v>
      </c>
      <c r="V20" s="552"/>
      <c r="W20" s="553">
        <f t="shared" si="3"/>
        <v>1712.309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</row>
    <row r="21" spans="1:35" ht="35.1" hidden="1" customHeight="1" x14ac:dyDescent="0.25">
      <c r="A21" s="82">
        <v>5</v>
      </c>
      <c r="B21" s="138" t="s">
        <v>261</v>
      </c>
      <c r="C21" s="28" t="s">
        <v>265</v>
      </c>
      <c r="D21" s="542">
        <f>4438.98</f>
        <v>4438.9799999999996</v>
      </c>
      <c r="E21" s="542"/>
      <c r="F21" s="562"/>
      <c r="G21" s="542"/>
      <c r="H21" s="542"/>
      <c r="I21" s="542"/>
      <c r="J21" s="543"/>
      <c r="K21" s="542"/>
      <c r="L21" s="542"/>
      <c r="M21" s="542"/>
      <c r="N21" s="542"/>
      <c r="O21" s="542">
        <f t="shared" si="1"/>
        <v>4438.9799999999996</v>
      </c>
      <c r="P21" s="547"/>
      <c r="Q21" s="550"/>
      <c r="R21" s="550"/>
      <c r="S21" s="550"/>
      <c r="T21" s="550"/>
      <c r="U21" s="551">
        <f t="shared" si="2"/>
        <v>0</v>
      </c>
      <c r="V21" s="552"/>
      <c r="W21" s="553">
        <f t="shared" si="3"/>
        <v>4438.9799999999996</v>
      </c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70"/>
    </row>
    <row r="22" spans="1:35" ht="35.1" hidden="1" customHeight="1" x14ac:dyDescent="0.25">
      <c r="A22" s="82">
        <v>6</v>
      </c>
      <c r="B22" s="138" t="s">
        <v>261</v>
      </c>
      <c r="C22" s="28" t="s">
        <v>266</v>
      </c>
      <c r="D22" s="542">
        <v>4156.817</v>
      </c>
      <c r="E22" s="542"/>
      <c r="F22" s="562"/>
      <c r="G22" s="542"/>
      <c r="H22" s="542"/>
      <c r="I22" s="542"/>
      <c r="J22" s="543"/>
      <c r="K22" s="542"/>
      <c r="L22" s="542"/>
      <c r="M22" s="542"/>
      <c r="N22" s="542"/>
      <c r="O22" s="542">
        <f t="shared" si="1"/>
        <v>4156.817</v>
      </c>
      <c r="P22" s="547"/>
      <c r="Q22" s="550"/>
      <c r="R22" s="550"/>
      <c r="S22" s="550"/>
      <c r="T22" s="550"/>
      <c r="U22" s="551">
        <f t="shared" si="2"/>
        <v>0</v>
      </c>
      <c r="V22" s="552"/>
      <c r="W22" s="553">
        <f t="shared" si="3"/>
        <v>4156.817</v>
      </c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</row>
    <row r="23" spans="1:35" ht="35.1" hidden="1" customHeight="1" x14ac:dyDescent="0.25">
      <c r="A23" s="82">
        <v>7</v>
      </c>
      <c r="B23" s="138" t="s">
        <v>267</v>
      </c>
      <c r="C23" s="28" t="s">
        <v>268</v>
      </c>
      <c r="D23" s="542">
        <f>21666.502</f>
        <v>21666.502</v>
      </c>
      <c r="E23" s="542"/>
      <c r="F23" s="562"/>
      <c r="G23" s="542"/>
      <c r="H23" s="542"/>
      <c r="I23" s="542"/>
      <c r="J23" s="543"/>
      <c r="K23" s="542"/>
      <c r="M23" s="542"/>
      <c r="N23" s="542"/>
      <c r="O23" s="542">
        <f t="shared" si="1"/>
        <v>21666.502</v>
      </c>
      <c r="P23" s="547"/>
      <c r="Q23" s="550"/>
      <c r="R23" s="550"/>
      <c r="S23" s="550"/>
      <c r="T23" s="550"/>
      <c r="U23" s="551">
        <f t="shared" si="2"/>
        <v>0</v>
      </c>
      <c r="V23" s="552"/>
      <c r="W23" s="553">
        <f t="shared" si="3"/>
        <v>21666.502</v>
      </c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</row>
    <row r="24" spans="1:35" ht="35.1" hidden="1" customHeight="1" x14ac:dyDescent="0.25">
      <c r="A24" s="82">
        <v>8</v>
      </c>
      <c r="B24" s="537" t="s">
        <v>269</v>
      </c>
      <c r="C24" s="28" t="s">
        <v>270</v>
      </c>
      <c r="D24" s="542">
        <f>4597.889</f>
        <v>4597.8890000000001</v>
      </c>
      <c r="E24" s="542"/>
      <c r="F24" s="543"/>
      <c r="G24" s="542"/>
      <c r="H24" s="542"/>
      <c r="I24" s="542"/>
      <c r="J24" s="543"/>
      <c r="K24" s="542"/>
      <c r="L24" s="542"/>
      <c r="M24" s="542"/>
      <c r="N24" s="542"/>
      <c r="O24" s="542">
        <f t="shared" si="1"/>
        <v>4597.8890000000001</v>
      </c>
      <c r="P24" s="547"/>
      <c r="Q24" s="550"/>
      <c r="R24" s="550"/>
      <c r="S24" s="550"/>
      <c r="T24" s="550"/>
      <c r="U24" s="551">
        <f t="shared" si="2"/>
        <v>0</v>
      </c>
      <c r="V24" s="552"/>
      <c r="W24" s="553">
        <f t="shared" si="3"/>
        <v>4597.8890000000001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</row>
    <row r="25" spans="1:35" ht="35.1" hidden="1" customHeight="1" x14ac:dyDescent="0.25">
      <c r="A25" s="82">
        <v>9</v>
      </c>
      <c r="B25" s="138" t="s">
        <v>278</v>
      </c>
      <c r="C25" s="28" t="s">
        <v>277</v>
      </c>
      <c r="D25" s="542"/>
      <c r="E25" s="542"/>
      <c r="F25" s="543"/>
      <c r="G25" s="542"/>
      <c r="H25" s="542">
        <f>44</f>
        <v>44</v>
      </c>
      <c r="I25" s="542"/>
      <c r="J25" s="543"/>
      <c r="K25" s="542"/>
      <c r="L25" s="542">
        <f>162</f>
        <v>162</v>
      </c>
      <c r="M25" s="542"/>
      <c r="N25" s="542"/>
      <c r="O25" s="542">
        <f t="shared" si="1"/>
        <v>206</v>
      </c>
      <c r="P25" s="547"/>
      <c r="Q25" s="550"/>
      <c r="R25" s="550"/>
      <c r="S25" s="550"/>
      <c r="T25" s="550"/>
      <c r="U25" s="551">
        <f t="shared" si="2"/>
        <v>0</v>
      </c>
      <c r="V25" s="552"/>
      <c r="W25" s="553">
        <f t="shared" si="3"/>
        <v>206</v>
      </c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70"/>
    </row>
    <row r="26" spans="1:35" ht="35.1" hidden="1" customHeight="1" x14ac:dyDescent="0.25">
      <c r="A26" s="82">
        <v>10</v>
      </c>
      <c r="B26" s="537" t="s">
        <v>280</v>
      </c>
      <c r="C26" s="28" t="s">
        <v>279</v>
      </c>
      <c r="D26" s="542"/>
      <c r="E26" s="542"/>
      <c r="F26" s="543">
        <f>136+1051</f>
        <v>1187</v>
      </c>
      <c r="G26" s="542"/>
      <c r="H26" s="542"/>
      <c r="I26" s="542"/>
      <c r="J26" s="543"/>
      <c r="K26" s="542"/>
      <c r="L26" s="542"/>
      <c r="M26" s="542"/>
      <c r="N26" s="542"/>
      <c r="O26" s="542">
        <f t="shared" si="1"/>
        <v>1187</v>
      </c>
      <c r="P26" s="547"/>
      <c r="Q26" s="550"/>
      <c r="R26" s="550"/>
      <c r="S26" s="550"/>
      <c r="T26" s="550"/>
      <c r="U26" s="551">
        <f t="shared" si="2"/>
        <v>0</v>
      </c>
      <c r="V26" s="552"/>
      <c r="W26" s="553">
        <f t="shared" si="3"/>
        <v>1187</v>
      </c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</row>
    <row r="27" spans="1:35" ht="35.1" hidden="1" customHeight="1" x14ac:dyDescent="0.25">
      <c r="A27" s="82">
        <v>11</v>
      </c>
      <c r="B27" s="592" t="s">
        <v>282</v>
      </c>
      <c r="C27" s="28" t="s">
        <v>283</v>
      </c>
      <c r="D27" s="542"/>
      <c r="E27" s="542"/>
      <c r="F27" s="543"/>
      <c r="G27" s="542"/>
      <c r="H27" s="542"/>
      <c r="I27" s="542"/>
      <c r="J27" s="543"/>
      <c r="K27" s="542"/>
      <c r="L27" s="542"/>
      <c r="M27" s="542"/>
      <c r="N27" s="542"/>
      <c r="O27" s="542">
        <f t="shared" si="1"/>
        <v>0</v>
      </c>
      <c r="P27" s="547"/>
      <c r="Q27" s="542">
        <f>2960000+780000</f>
        <v>3740000</v>
      </c>
      <c r="R27" s="550"/>
      <c r="S27" s="550"/>
      <c r="T27" s="550"/>
      <c r="U27" s="551">
        <f t="shared" si="2"/>
        <v>3740000</v>
      </c>
      <c r="V27" s="552"/>
      <c r="W27" s="553">
        <f t="shared" si="3"/>
        <v>3740000</v>
      </c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70"/>
    </row>
    <row r="28" spans="1:35" ht="30" hidden="1" customHeight="1" x14ac:dyDescent="0.25">
      <c r="A28" s="82">
        <v>12</v>
      </c>
      <c r="B28" s="595" t="s">
        <v>299</v>
      </c>
      <c r="C28" s="51" t="s">
        <v>300</v>
      </c>
      <c r="D28" s="542"/>
      <c r="E28" s="542"/>
      <c r="F28" s="542"/>
      <c r="G28" s="542"/>
      <c r="H28" s="542"/>
      <c r="I28" s="542"/>
      <c r="J28" s="542"/>
      <c r="K28" s="542">
        <f>15184.594</f>
        <v>15184.593999999999</v>
      </c>
      <c r="L28" s="542"/>
      <c r="M28" s="542"/>
      <c r="N28" s="542"/>
      <c r="O28" s="542">
        <f t="shared" si="1"/>
        <v>15184.593999999999</v>
      </c>
      <c r="P28" s="547"/>
      <c r="Q28" s="550"/>
      <c r="R28" s="550"/>
      <c r="S28" s="550"/>
      <c r="T28" s="550"/>
      <c r="U28" s="551">
        <f t="shared" si="2"/>
        <v>0</v>
      </c>
      <c r="V28" s="552"/>
      <c r="W28" s="553">
        <f t="shared" si="3"/>
        <v>15184.593999999999</v>
      </c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</row>
    <row r="29" spans="1:35" ht="30" hidden="1" customHeight="1" x14ac:dyDescent="0.25">
      <c r="A29" s="82"/>
      <c r="B29" s="138"/>
      <c r="C29" s="28"/>
      <c r="D29" s="542"/>
      <c r="E29" s="542"/>
      <c r="F29" s="542"/>
      <c r="G29" s="542"/>
      <c r="H29" s="542"/>
      <c r="I29" s="542"/>
      <c r="J29" s="542"/>
      <c r="K29" s="542"/>
      <c r="L29" s="542"/>
      <c r="M29" s="542"/>
      <c r="N29" s="542"/>
      <c r="O29" s="542">
        <f t="shared" ref="O29:O39" si="4">SUM(D29:N29)</f>
        <v>0</v>
      </c>
      <c r="P29" s="547"/>
      <c r="Q29" s="542"/>
      <c r="R29" s="550"/>
      <c r="S29" s="550"/>
      <c r="T29" s="550"/>
      <c r="U29" s="551">
        <f t="shared" ref="U29:U39" si="5">SUM(Q29:T29)</f>
        <v>0</v>
      </c>
      <c r="V29" s="552"/>
      <c r="W29" s="553">
        <f t="shared" ref="W29:W39" si="6">O29+U29</f>
        <v>0</v>
      </c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</row>
    <row r="30" spans="1:35" ht="30" hidden="1" customHeight="1" x14ac:dyDescent="0.25">
      <c r="A30" s="82"/>
      <c r="B30" s="138"/>
      <c r="C30" s="28"/>
      <c r="D30" s="542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2">
        <f t="shared" si="4"/>
        <v>0</v>
      </c>
      <c r="P30" s="547"/>
      <c r="Q30" s="550"/>
      <c r="R30" s="542"/>
      <c r="S30" s="550"/>
      <c r="T30" s="550"/>
      <c r="U30" s="551">
        <f t="shared" si="5"/>
        <v>0</v>
      </c>
      <c r="V30" s="552"/>
      <c r="W30" s="553">
        <f t="shared" si="6"/>
        <v>0</v>
      </c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</row>
    <row r="31" spans="1:35" ht="30" hidden="1" customHeight="1" x14ac:dyDescent="0.25">
      <c r="A31" s="82"/>
      <c r="B31" s="537"/>
      <c r="C31" s="28"/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2">
        <f t="shared" si="4"/>
        <v>0</v>
      </c>
      <c r="P31" s="547"/>
      <c r="Q31" s="550"/>
      <c r="R31" s="550"/>
      <c r="S31" s="550"/>
      <c r="T31" s="550"/>
      <c r="U31" s="551">
        <f t="shared" si="5"/>
        <v>0</v>
      </c>
      <c r="V31" s="552"/>
      <c r="W31" s="553">
        <f t="shared" si="6"/>
        <v>0</v>
      </c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</row>
    <row r="32" spans="1:35" ht="30" hidden="1" customHeight="1" x14ac:dyDescent="0.25">
      <c r="A32" s="82"/>
      <c r="B32" s="138"/>
      <c r="C32" s="28"/>
      <c r="D32" s="542"/>
      <c r="E32" s="542"/>
      <c r="F32" s="542"/>
      <c r="G32" s="542"/>
      <c r="H32" s="542"/>
      <c r="I32" s="542"/>
      <c r="J32" s="542"/>
      <c r="K32" s="542"/>
      <c r="L32" s="542"/>
      <c r="M32" s="542"/>
      <c r="N32" s="542"/>
      <c r="O32" s="542">
        <f t="shared" si="4"/>
        <v>0</v>
      </c>
      <c r="P32" s="547"/>
      <c r="Q32" s="550"/>
      <c r="R32" s="550"/>
      <c r="S32" s="550"/>
      <c r="T32" s="550"/>
      <c r="U32" s="551">
        <f t="shared" si="5"/>
        <v>0</v>
      </c>
      <c r="V32" s="552"/>
      <c r="W32" s="553">
        <f t="shared" si="6"/>
        <v>0</v>
      </c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</row>
    <row r="33" spans="1:35" ht="30" hidden="1" customHeight="1" x14ac:dyDescent="0.25">
      <c r="A33" s="82"/>
      <c r="B33" s="138"/>
      <c r="C33" s="28"/>
      <c r="D33" s="542"/>
      <c r="E33" s="542"/>
      <c r="F33" s="542"/>
      <c r="G33" s="542"/>
      <c r="H33" s="542"/>
      <c r="I33" s="542"/>
      <c r="J33" s="542"/>
      <c r="K33" s="542"/>
      <c r="L33" s="542"/>
      <c r="M33" s="542"/>
      <c r="N33" s="542"/>
      <c r="O33" s="542">
        <f t="shared" si="4"/>
        <v>0</v>
      </c>
      <c r="P33" s="547"/>
      <c r="Q33" s="550"/>
      <c r="R33" s="550"/>
      <c r="S33" s="550"/>
      <c r="T33" s="550"/>
      <c r="U33" s="551">
        <f t="shared" si="5"/>
        <v>0</v>
      </c>
      <c r="V33" s="552"/>
      <c r="W33" s="553">
        <f t="shared" si="6"/>
        <v>0</v>
      </c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5" ht="30" hidden="1" customHeight="1" x14ac:dyDescent="0.25">
      <c r="A34" s="82"/>
      <c r="B34" s="138"/>
      <c r="C34" s="28"/>
      <c r="D34" s="542"/>
      <c r="E34" s="542"/>
      <c r="F34" s="542"/>
      <c r="G34" s="542"/>
      <c r="H34" s="542"/>
      <c r="I34" s="542"/>
      <c r="J34" s="542"/>
      <c r="K34" s="542"/>
      <c r="L34" s="542"/>
      <c r="M34" s="542"/>
      <c r="N34" s="542"/>
      <c r="O34" s="542">
        <f>SUM(D34:N34)</f>
        <v>0</v>
      </c>
      <c r="P34" s="547"/>
      <c r="Q34" s="550"/>
      <c r="R34" s="550"/>
      <c r="S34" s="550"/>
      <c r="T34" s="550"/>
      <c r="U34" s="551">
        <f>SUM(Q34:T34)</f>
        <v>0</v>
      </c>
      <c r="V34" s="552"/>
      <c r="W34" s="553">
        <f>O34+U34</f>
        <v>0</v>
      </c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</row>
    <row r="35" spans="1:35" ht="30" hidden="1" customHeight="1" x14ac:dyDescent="0.25">
      <c r="A35" s="82"/>
      <c r="B35" s="138"/>
      <c r="C35" s="28"/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2">
        <f t="shared" si="4"/>
        <v>0</v>
      </c>
      <c r="P35" s="547"/>
      <c r="Q35" s="550"/>
      <c r="R35" s="550"/>
      <c r="S35" s="550"/>
      <c r="T35" s="550"/>
      <c r="U35" s="551">
        <f t="shared" si="5"/>
        <v>0</v>
      </c>
      <c r="V35" s="552"/>
      <c r="W35" s="553">
        <f t="shared" si="6"/>
        <v>0</v>
      </c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</row>
    <row r="36" spans="1:35" ht="30" hidden="1" customHeight="1" x14ac:dyDescent="0.25">
      <c r="A36" s="82"/>
      <c r="B36" s="138"/>
      <c r="C36" s="28"/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>
        <f t="shared" si="4"/>
        <v>0</v>
      </c>
      <c r="P36" s="547"/>
      <c r="Q36" s="550"/>
      <c r="R36" s="550"/>
      <c r="S36" s="550"/>
      <c r="T36" s="550"/>
      <c r="U36" s="551">
        <f t="shared" si="5"/>
        <v>0</v>
      </c>
      <c r="V36" s="552"/>
      <c r="W36" s="553">
        <f t="shared" si="6"/>
        <v>0</v>
      </c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</row>
    <row r="37" spans="1:35" ht="30" hidden="1" customHeight="1" x14ac:dyDescent="0.25">
      <c r="A37" s="82"/>
      <c r="B37" s="138"/>
      <c r="C37" s="28"/>
      <c r="D37" s="542"/>
      <c r="E37" s="542"/>
      <c r="F37" s="542"/>
      <c r="G37" s="542"/>
      <c r="H37" s="542"/>
      <c r="I37" s="542"/>
      <c r="J37" s="542"/>
      <c r="K37" s="542"/>
      <c r="L37" s="542"/>
      <c r="M37" s="542"/>
      <c r="N37" s="542"/>
      <c r="O37" s="542">
        <f t="shared" si="4"/>
        <v>0</v>
      </c>
      <c r="P37" s="547"/>
      <c r="Q37" s="550"/>
      <c r="R37" s="550"/>
      <c r="S37" s="550"/>
      <c r="T37" s="550"/>
      <c r="U37" s="551">
        <f t="shared" si="5"/>
        <v>0</v>
      </c>
      <c r="V37" s="552"/>
      <c r="W37" s="553">
        <f t="shared" si="6"/>
        <v>0</v>
      </c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</row>
    <row r="38" spans="1:35" ht="30" hidden="1" customHeight="1" x14ac:dyDescent="0.25">
      <c r="A38" s="82"/>
      <c r="B38" s="138"/>
      <c r="C38" s="28"/>
      <c r="D38" s="542"/>
      <c r="E38" s="542"/>
      <c r="F38" s="542"/>
      <c r="G38" s="542"/>
      <c r="H38" s="542"/>
      <c r="I38" s="542"/>
      <c r="J38" s="542"/>
      <c r="K38" s="542"/>
      <c r="L38" s="542"/>
      <c r="M38" s="542"/>
      <c r="N38" s="542"/>
      <c r="O38" s="542">
        <f t="shared" si="4"/>
        <v>0</v>
      </c>
      <c r="P38" s="547"/>
      <c r="Q38" s="550"/>
      <c r="R38" s="550"/>
      <c r="S38" s="550"/>
      <c r="T38" s="550"/>
      <c r="U38" s="551">
        <f t="shared" si="5"/>
        <v>0</v>
      </c>
      <c r="V38" s="552"/>
      <c r="W38" s="553">
        <f t="shared" si="6"/>
        <v>0</v>
      </c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</row>
    <row r="39" spans="1:35" ht="30" hidden="1" customHeight="1" x14ac:dyDescent="0.25">
      <c r="A39" s="82"/>
      <c r="B39" s="138"/>
      <c r="C39" s="28"/>
      <c r="D39" s="542"/>
      <c r="E39" s="542"/>
      <c r="F39" s="542"/>
      <c r="G39" s="542"/>
      <c r="H39" s="542"/>
      <c r="I39" s="542"/>
      <c r="J39" s="542"/>
      <c r="K39" s="542"/>
      <c r="L39" s="542"/>
      <c r="M39" s="542"/>
      <c r="N39" s="542"/>
      <c r="O39" s="542">
        <f t="shared" si="4"/>
        <v>0</v>
      </c>
      <c r="P39" s="547"/>
      <c r="Q39" s="550"/>
      <c r="R39" s="550"/>
      <c r="S39" s="550"/>
      <c r="T39" s="550"/>
      <c r="U39" s="551">
        <f t="shared" si="5"/>
        <v>0</v>
      </c>
      <c r="V39" s="552"/>
      <c r="W39" s="553">
        <f t="shared" si="6"/>
        <v>0</v>
      </c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70"/>
    </row>
    <row r="40" spans="1:35" ht="30" hidden="1" customHeight="1" x14ac:dyDescent="0.25">
      <c r="A40" s="82"/>
      <c r="B40" s="138"/>
      <c r="C40" s="39"/>
      <c r="D40" s="542"/>
      <c r="E40" s="542"/>
      <c r="F40" s="542"/>
      <c r="G40" s="542"/>
      <c r="H40" s="542"/>
      <c r="I40" s="542"/>
      <c r="J40" s="542"/>
      <c r="K40" s="542"/>
      <c r="L40" s="542"/>
      <c r="M40" s="542"/>
      <c r="N40" s="542"/>
      <c r="O40" s="542">
        <f>SUM(D40:N40)</f>
        <v>0</v>
      </c>
      <c r="P40" s="547"/>
      <c r="Q40" s="550"/>
      <c r="R40" s="550"/>
      <c r="S40" s="550"/>
      <c r="T40" s="550"/>
      <c r="U40" s="551">
        <f>SUM(Q40:T40)</f>
        <v>0</v>
      </c>
      <c r="V40" s="552"/>
      <c r="W40" s="553">
        <f>O40+U40</f>
        <v>0</v>
      </c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70"/>
    </row>
    <row r="41" spans="1:35" ht="35.1" hidden="1" customHeight="1" thickBot="1" x14ac:dyDescent="0.3">
      <c r="A41" s="68"/>
      <c r="B41" s="120"/>
      <c r="C41" s="28"/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2"/>
      <c r="P41" s="547"/>
      <c r="Q41" s="547"/>
      <c r="R41" s="547"/>
      <c r="S41" s="547"/>
      <c r="T41" s="547"/>
      <c r="U41" s="554"/>
      <c r="V41" s="555"/>
      <c r="W41" s="556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70"/>
    </row>
    <row r="42" spans="1:35" ht="35.1" hidden="1" customHeight="1" thickTop="1" thickBot="1" x14ac:dyDescent="0.3">
      <c r="A42" s="35"/>
      <c r="B42" s="36"/>
      <c r="C42" s="44" t="s">
        <v>19</v>
      </c>
      <c r="D42" s="424">
        <f t="shared" ref="D42:O42" si="7">SUM(D17:D41)</f>
        <v>35872.497000000003</v>
      </c>
      <c r="E42" s="424">
        <f t="shared" si="7"/>
        <v>0</v>
      </c>
      <c r="F42" s="424">
        <f t="shared" si="7"/>
        <v>1187</v>
      </c>
      <c r="G42" s="424">
        <f t="shared" si="7"/>
        <v>0</v>
      </c>
      <c r="H42" s="424">
        <f t="shared" si="7"/>
        <v>2268</v>
      </c>
      <c r="I42" s="424">
        <f t="shared" si="7"/>
        <v>500</v>
      </c>
      <c r="J42" s="424">
        <f t="shared" si="7"/>
        <v>0</v>
      </c>
      <c r="K42" s="424">
        <f t="shared" si="7"/>
        <v>15184.593999999999</v>
      </c>
      <c r="L42" s="424">
        <f t="shared" si="7"/>
        <v>162</v>
      </c>
      <c r="M42" s="424">
        <f t="shared" si="7"/>
        <v>0</v>
      </c>
      <c r="N42" s="424">
        <f t="shared" si="7"/>
        <v>0</v>
      </c>
      <c r="O42" s="424">
        <f t="shared" si="7"/>
        <v>55174.091</v>
      </c>
      <c r="P42" s="424"/>
      <c r="Q42" s="424">
        <f>SUM(Q17:Q41)</f>
        <v>3740000</v>
      </c>
      <c r="R42" s="424">
        <f>SUM(R17:R41)</f>
        <v>0</v>
      </c>
      <c r="S42" s="424">
        <f>SUM(S17:S41)</f>
        <v>0</v>
      </c>
      <c r="T42" s="424">
        <f>SUM(T17:T41)</f>
        <v>0</v>
      </c>
      <c r="U42" s="424">
        <f>SUM(U17:U41)</f>
        <v>3740000</v>
      </c>
      <c r="V42" s="425"/>
      <c r="W42" s="426">
        <f>SUM(W17:W41)</f>
        <v>3795174.091</v>
      </c>
    </row>
    <row r="43" spans="1:35" ht="35.1" hidden="1" customHeight="1" thickTop="1" thickBot="1" x14ac:dyDescent="0.3">
      <c r="A43" s="35"/>
      <c r="B43" s="36"/>
      <c r="C43" s="44" t="s">
        <v>141</v>
      </c>
      <c r="D43" s="557">
        <f t="shared" ref="D43:O43" si="8">D16+D42</f>
        <v>2237053.179</v>
      </c>
      <c r="E43" s="557">
        <f t="shared" si="8"/>
        <v>0</v>
      </c>
      <c r="F43" s="557">
        <f t="shared" si="8"/>
        <v>53372</v>
      </c>
      <c r="G43" s="557">
        <f t="shared" si="8"/>
        <v>8490006</v>
      </c>
      <c r="H43" s="557">
        <f t="shared" si="8"/>
        <v>2492010.318</v>
      </c>
      <c r="I43" s="557">
        <f t="shared" si="8"/>
        <v>500</v>
      </c>
      <c r="J43" s="557">
        <f t="shared" si="8"/>
        <v>200000</v>
      </c>
      <c r="K43" s="557">
        <f t="shared" si="8"/>
        <v>15184.593999999999</v>
      </c>
      <c r="L43" s="557">
        <f t="shared" si="8"/>
        <v>1355162</v>
      </c>
      <c r="M43" s="557">
        <f t="shared" si="8"/>
        <v>17800</v>
      </c>
      <c r="N43" s="557">
        <f t="shared" si="8"/>
        <v>0</v>
      </c>
      <c r="O43" s="558">
        <f t="shared" si="8"/>
        <v>14861088.091</v>
      </c>
      <c r="P43" s="558"/>
      <c r="Q43" s="558">
        <f>Q16+Q42</f>
        <v>4390000</v>
      </c>
      <c r="R43" s="558">
        <f>R16+R42</f>
        <v>1173053</v>
      </c>
      <c r="S43" s="558">
        <f>S16+S42</f>
        <v>0</v>
      </c>
      <c r="T43" s="558">
        <f>T16+T42</f>
        <v>0</v>
      </c>
      <c r="U43" s="558">
        <f>U16+U42</f>
        <v>5563053</v>
      </c>
      <c r="V43" s="559"/>
      <c r="W43" s="560">
        <f t="shared" ref="W43:W90" si="9">O43+U43</f>
        <v>20424141.090999998</v>
      </c>
    </row>
    <row r="44" spans="1:35" ht="35.1" hidden="1" customHeight="1" thickTop="1" thickBot="1" x14ac:dyDescent="0.3">
      <c r="A44" s="35"/>
      <c r="B44" s="36"/>
      <c r="C44" s="39" t="s">
        <v>214</v>
      </c>
      <c r="D44" s="557"/>
      <c r="E44" s="557"/>
      <c r="F44" s="557"/>
      <c r="G44" s="557"/>
      <c r="H44" s="557"/>
      <c r="I44" s="557"/>
      <c r="J44" s="557"/>
      <c r="K44" s="557"/>
      <c r="L44" s="557"/>
      <c r="M44" s="557"/>
      <c r="N44" s="558"/>
      <c r="O44" s="558"/>
      <c r="P44" s="558"/>
      <c r="Q44" s="558"/>
      <c r="R44" s="558">
        <v>2359751.4679999999</v>
      </c>
      <c r="S44" s="558"/>
      <c r="T44" s="558"/>
      <c r="U44" s="557">
        <f>SUM(Q44:T44)</f>
        <v>2359751.4679999999</v>
      </c>
      <c r="V44" s="561"/>
      <c r="W44" s="560">
        <f t="shared" si="9"/>
        <v>2359751.4679999999</v>
      </c>
    </row>
    <row r="45" spans="1:35" ht="35.1" hidden="1" customHeight="1" thickTop="1" thickBot="1" x14ac:dyDescent="0.3">
      <c r="A45" s="35"/>
      <c r="B45" s="533" t="s">
        <v>160</v>
      </c>
      <c r="C45" s="44" t="s">
        <v>215</v>
      </c>
      <c r="D45" s="557">
        <f t="shared" ref="D45:O45" si="10">D43+D44</f>
        <v>2237053.179</v>
      </c>
      <c r="E45" s="557">
        <f t="shared" si="10"/>
        <v>0</v>
      </c>
      <c r="F45" s="557">
        <f t="shared" si="10"/>
        <v>53372</v>
      </c>
      <c r="G45" s="557">
        <f t="shared" si="10"/>
        <v>8490006</v>
      </c>
      <c r="H45" s="557">
        <f t="shared" si="10"/>
        <v>2492010.318</v>
      </c>
      <c r="I45" s="557">
        <f t="shared" si="10"/>
        <v>500</v>
      </c>
      <c r="J45" s="557">
        <f t="shared" si="10"/>
        <v>200000</v>
      </c>
      <c r="K45" s="557">
        <f t="shared" si="10"/>
        <v>15184.593999999999</v>
      </c>
      <c r="L45" s="557">
        <f t="shared" si="10"/>
        <v>1355162</v>
      </c>
      <c r="M45" s="557">
        <f t="shared" si="10"/>
        <v>17800</v>
      </c>
      <c r="N45" s="557">
        <f t="shared" si="10"/>
        <v>0</v>
      </c>
      <c r="O45" s="558">
        <f t="shared" si="10"/>
        <v>14861088.091</v>
      </c>
      <c r="P45" s="558"/>
      <c r="Q45" s="558">
        <f>Q43+Q44</f>
        <v>4390000</v>
      </c>
      <c r="R45" s="558">
        <f>R43+R44</f>
        <v>3532804.4679999999</v>
      </c>
      <c r="S45" s="558">
        <f>S43+S44</f>
        <v>0</v>
      </c>
      <c r="T45" s="558">
        <f>T43+T44</f>
        <v>0</v>
      </c>
      <c r="U45" s="557">
        <f>U43+U44</f>
        <v>7922804.4680000003</v>
      </c>
      <c r="V45" s="561"/>
      <c r="W45" s="560">
        <f t="shared" si="9"/>
        <v>22783892.559</v>
      </c>
    </row>
    <row r="46" spans="1:35" ht="24.95" customHeight="1" x14ac:dyDescent="0.25">
      <c r="A46" s="22"/>
      <c r="B46" s="23"/>
      <c r="C46" s="219" t="s">
        <v>18</v>
      </c>
      <c r="D46" s="25">
        <f t="shared" ref="D46:T46" si="11">D45</f>
        <v>2237053.179</v>
      </c>
      <c r="E46" s="25">
        <f t="shared" si="11"/>
        <v>0</v>
      </c>
      <c r="F46" s="25">
        <f t="shared" si="11"/>
        <v>53372</v>
      </c>
      <c r="G46" s="25">
        <f t="shared" si="11"/>
        <v>8490006</v>
      </c>
      <c r="H46" s="25">
        <f t="shared" si="11"/>
        <v>2492010.318</v>
      </c>
      <c r="I46" s="25">
        <f t="shared" si="11"/>
        <v>500</v>
      </c>
      <c r="J46" s="25">
        <f t="shared" si="11"/>
        <v>200000</v>
      </c>
      <c r="K46" s="25">
        <f t="shared" si="11"/>
        <v>15184.593999999999</v>
      </c>
      <c r="L46" s="25">
        <f t="shared" si="11"/>
        <v>1355162</v>
      </c>
      <c r="M46" s="25">
        <f t="shared" si="11"/>
        <v>17800</v>
      </c>
      <c r="N46" s="25">
        <f t="shared" si="11"/>
        <v>0</v>
      </c>
      <c r="O46" s="25">
        <f t="shared" si="11"/>
        <v>14861088.091</v>
      </c>
      <c r="P46" s="25"/>
      <c r="Q46" s="25">
        <f t="shared" si="11"/>
        <v>4390000</v>
      </c>
      <c r="R46" s="25">
        <f>R45-0.468</f>
        <v>3532804</v>
      </c>
      <c r="S46" s="25">
        <f>S45</f>
        <v>0</v>
      </c>
      <c r="T46" s="25">
        <f t="shared" si="11"/>
        <v>0</v>
      </c>
      <c r="U46" s="25">
        <f>U45-0.468</f>
        <v>7922804</v>
      </c>
      <c r="V46" s="142"/>
      <c r="W46" s="406">
        <f t="shared" si="9"/>
        <v>22783892.090999998</v>
      </c>
    </row>
    <row r="47" spans="1:35" ht="27.95" customHeight="1" x14ac:dyDescent="0.2">
      <c r="A47" s="224">
        <v>1</v>
      </c>
      <c r="B47" s="456" t="s">
        <v>339</v>
      </c>
      <c r="C47" s="28" t="s">
        <v>340</v>
      </c>
      <c r="D47" s="171"/>
      <c r="E47" s="171"/>
      <c r="F47" s="171"/>
      <c r="G47" s="171"/>
      <c r="H47" s="171"/>
      <c r="I47" s="171"/>
      <c r="J47" s="171"/>
      <c r="K47" s="171">
        <f>38301.418+33121.193</f>
        <v>71422.611000000004</v>
      </c>
      <c r="L47" s="171"/>
      <c r="M47" s="171"/>
      <c r="N47" s="171"/>
      <c r="O47" s="171">
        <f t="shared" ref="O47:O90" si="12">SUM(D47:N47)</f>
        <v>71422.611000000004</v>
      </c>
      <c r="P47" s="171"/>
      <c r="Q47" s="171"/>
      <c r="R47" s="171"/>
      <c r="S47" s="171"/>
      <c r="T47" s="171"/>
      <c r="U47" s="171">
        <f t="shared" ref="U47:U90" si="13">SUM(Q47:T47)</f>
        <v>0</v>
      </c>
      <c r="V47" s="411"/>
      <c r="W47" s="407">
        <f t="shared" si="9"/>
        <v>71422.611000000004</v>
      </c>
    </row>
    <row r="48" spans="1:35" ht="27.95" customHeight="1" x14ac:dyDescent="0.2">
      <c r="A48" s="224">
        <v>2</v>
      </c>
      <c r="B48" s="456" t="s">
        <v>341</v>
      </c>
      <c r="C48" s="41" t="s">
        <v>342</v>
      </c>
      <c r="D48" s="171"/>
      <c r="E48" s="171"/>
      <c r="F48" s="171"/>
      <c r="H48" s="171">
        <f>3840</f>
        <v>3840</v>
      </c>
      <c r="I48" s="171"/>
      <c r="J48" s="171"/>
      <c r="K48" s="171"/>
      <c r="L48" s="171"/>
      <c r="M48" s="171"/>
      <c r="N48" s="171"/>
      <c r="O48" s="171">
        <f t="shared" si="12"/>
        <v>3840</v>
      </c>
      <c r="P48" s="171"/>
      <c r="Q48" s="171"/>
      <c r="R48" s="171"/>
      <c r="S48" s="171"/>
      <c r="T48" s="171"/>
      <c r="U48" s="171">
        <f t="shared" si="13"/>
        <v>0</v>
      </c>
      <c r="V48" s="411"/>
      <c r="W48" s="407">
        <f t="shared" si="9"/>
        <v>3840</v>
      </c>
    </row>
    <row r="49" spans="1:23" ht="27.95" customHeight="1" x14ac:dyDescent="0.2">
      <c r="A49" s="224">
        <v>3</v>
      </c>
      <c r="B49" s="456" t="s">
        <v>347</v>
      </c>
      <c r="C49" s="41" t="s">
        <v>348</v>
      </c>
      <c r="D49" s="171"/>
      <c r="E49" s="171"/>
      <c r="F49" s="171"/>
      <c r="G49" s="171"/>
      <c r="H49" s="171"/>
      <c r="I49" s="171">
        <f>478</f>
        <v>478</v>
      </c>
      <c r="J49" s="171"/>
      <c r="K49" s="171"/>
      <c r="L49" s="171"/>
      <c r="M49" s="171"/>
      <c r="N49" s="171"/>
      <c r="O49" s="171">
        <f t="shared" si="12"/>
        <v>478</v>
      </c>
      <c r="P49" s="171"/>
      <c r="Q49" s="171"/>
      <c r="R49" s="171"/>
      <c r="S49" s="171"/>
      <c r="T49" s="171"/>
      <c r="U49" s="171">
        <f t="shared" si="13"/>
        <v>0</v>
      </c>
      <c r="V49" s="411"/>
      <c r="W49" s="407">
        <f t="shared" si="9"/>
        <v>478</v>
      </c>
    </row>
    <row r="50" spans="1:23" ht="27.95" customHeight="1" x14ac:dyDescent="0.2">
      <c r="A50" s="224">
        <v>4</v>
      </c>
      <c r="B50" s="610" t="s">
        <v>356</v>
      </c>
      <c r="C50" s="41" t="s">
        <v>357</v>
      </c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>
        <f t="shared" si="12"/>
        <v>0</v>
      </c>
      <c r="P50" s="171"/>
      <c r="Q50" s="171"/>
      <c r="R50" s="171">
        <f>0.468</f>
        <v>0.46800000000000003</v>
      </c>
      <c r="S50" s="171"/>
      <c r="T50" s="171"/>
      <c r="U50" s="171">
        <f t="shared" si="13"/>
        <v>0.46800000000000003</v>
      </c>
      <c r="V50" s="411"/>
      <c r="W50" s="407">
        <f t="shared" si="9"/>
        <v>0.46800000000000003</v>
      </c>
    </row>
    <row r="51" spans="1:23" ht="27.95" customHeight="1" x14ac:dyDescent="0.2">
      <c r="A51" s="224">
        <v>5</v>
      </c>
      <c r="B51" s="610" t="s">
        <v>359</v>
      </c>
      <c r="C51" s="41" t="s">
        <v>358</v>
      </c>
      <c r="D51" s="171"/>
      <c r="E51" s="171">
        <f>87740</f>
        <v>87740</v>
      </c>
      <c r="F51" s="171"/>
      <c r="G51" s="171"/>
      <c r="H51" s="171"/>
      <c r="I51" s="171"/>
      <c r="J51" s="171"/>
      <c r="K51" s="171"/>
      <c r="L51" s="171"/>
      <c r="M51" s="171"/>
      <c r="N51" s="171"/>
      <c r="O51" s="171">
        <f t="shared" si="12"/>
        <v>87740</v>
      </c>
      <c r="P51" s="171"/>
      <c r="Q51" s="171"/>
      <c r="R51" s="171"/>
      <c r="S51" s="171"/>
      <c r="T51" s="171"/>
      <c r="U51" s="171">
        <f t="shared" si="13"/>
        <v>0</v>
      </c>
      <c r="V51" s="411"/>
      <c r="W51" s="407">
        <f t="shared" si="9"/>
        <v>87740</v>
      </c>
    </row>
    <row r="52" spans="1:23" ht="27.95" customHeight="1" x14ac:dyDescent="0.2">
      <c r="A52" s="224">
        <v>6</v>
      </c>
      <c r="B52" s="610" t="s">
        <v>360</v>
      </c>
      <c r="C52" s="41" t="s">
        <v>283</v>
      </c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>
        <f t="shared" si="12"/>
        <v>0</v>
      </c>
      <c r="P52" s="171"/>
      <c r="Q52" s="171">
        <v>1700000</v>
      </c>
      <c r="R52" s="171"/>
      <c r="S52" s="171"/>
      <c r="T52" s="171"/>
      <c r="U52" s="171">
        <f t="shared" si="13"/>
        <v>1700000</v>
      </c>
      <c r="V52" s="411"/>
      <c r="W52" s="407">
        <f t="shared" si="9"/>
        <v>1700000</v>
      </c>
    </row>
    <row r="53" spans="1:23" ht="27.95" customHeight="1" x14ac:dyDescent="0.2">
      <c r="A53" s="224">
        <v>7</v>
      </c>
      <c r="B53" s="611" t="s">
        <v>361</v>
      </c>
      <c r="C53" s="41" t="s">
        <v>362</v>
      </c>
      <c r="D53" s="171"/>
      <c r="E53" s="171"/>
      <c r="F53" s="171"/>
      <c r="G53" s="171"/>
      <c r="H53" s="171"/>
      <c r="I53" s="171">
        <v>2700</v>
      </c>
      <c r="J53" s="171"/>
      <c r="K53" s="171"/>
      <c r="L53" s="171"/>
      <c r="M53" s="171"/>
      <c r="N53" s="171"/>
      <c r="O53" s="171">
        <f t="shared" si="12"/>
        <v>2700</v>
      </c>
      <c r="P53" s="171"/>
      <c r="Q53" s="171"/>
      <c r="R53" s="171"/>
      <c r="S53" s="171"/>
      <c r="T53" s="171"/>
      <c r="U53" s="171">
        <f t="shared" si="13"/>
        <v>0</v>
      </c>
      <c r="V53" s="411"/>
      <c r="W53" s="407">
        <f t="shared" si="9"/>
        <v>2700</v>
      </c>
    </row>
    <row r="54" spans="1:23" ht="35.1" customHeight="1" x14ac:dyDescent="0.2">
      <c r="A54" s="224">
        <v>8</v>
      </c>
      <c r="B54" s="610" t="s">
        <v>367</v>
      </c>
      <c r="C54" s="41" t="s">
        <v>372</v>
      </c>
      <c r="D54" s="171">
        <f>4816.56</f>
        <v>4816.5600000000004</v>
      </c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>
        <f t="shared" si="12"/>
        <v>4816.5600000000004</v>
      </c>
      <c r="P54" s="171"/>
      <c r="Q54" s="171"/>
      <c r="R54" s="171"/>
      <c r="S54" s="171"/>
      <c r="T54" s="171"/>
      <c r="U54" s="171">
        <f t="shared" si="13"/>
        <v>0</v>
      </c>
      <c r="V54" s="411"/>
      <c r="W54" s="407">
        <f t="shared" si="9"/>
        <v>4816.5600000000004</v>
      </c>
    </row>
    <row r="55" spans="1:23" ht="27.95" customHeight="1" x14ac:dyDescent="0.2">
      <c r="A55" s="224">
        <v>9</v>
      </c>
      <c r="B55" s="611" t="s">
        <v>369</v>
      </c>
      <c r="C55" s="41" t="s">
        <v>370</v>
      </c>
      <c r="D55" s="171">
        <v>4976.6239999999998</v>
      </c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>
        <f t="shared" si="12"/>
        <v>4976.6239999999998</v>
      </c>
      <c r="P55" s="171"/>
      <c r="Q55" s="171"/>
      <c r="R55" s="171"/>
      <c r="S55" s="171"/>
      <c r="T55" s="171"/>
      <c r="U55" s="171">
        <f t="shared" si="13"/>
        <v>0</v>
      </c>
      <c r="V55" s="411"/>
      <c r="W55" s="407">
        <f t="shared" si="9"/>
        <v>4976.6239999999998</v>
      </c>
    </row>
    <row r="56" spans="1:23" ht="27.95" customHeight="1" x14ac:dyDescent="0.2">
      <c r="A56" s="224">
        <v>10</v>
      </c>
      <c r="B56" s="611" t="s">
        <v>380</v>
      </c>
      <c r="C56" s="28" t="s">
        <v>262</v>
      </c>
      <c r="D56" s="171">
        <v>1913.8140000000001</v>
      </c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>
        <f t="shared" si="12"/>
        <v>1913.8140000000001</v>
      </c>
      <c r="P56" s="171"/>
      <c r="Q56" s="171"/>
      <c r="R56" s="171"/>
      <c r="S56" s="171"/>
      <c r="T56" s="171"/>
      <c r="U56" s="171">
        <f t="shared" ref="U56" si="14">SUM(Q56:T56)</f>
        <v>0</v>
      </c>
      <c r="V56" s="411"/>
      <c r="W56" s="407">
        <f t="shared" ref="W56" si="15">O56+U56</f>
        <v>1913.8140000000001</v>
      </c>
    </row>
    <row r="57" spans="1:23" ht="35.1" customHeight="1" x14ac:dyDescent="0.2">
      <c r="A57" s="224">
        <v>11</v>
      </c>
      <c r="B57" s="610" t="s">
        <v>371</v>
      </c>
      <c r="C57" s="41" t="s">
        <v>373</v>
      </c>
      <c r="D57" s="171">
        <v>23507.260999999999</v>
      </c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>
        <f t="shared" si="12"/>
        <v>23507.260999999999</v>
      </c>
      <c r="P57" s="171"/>
      <c r="Q57" s="171"/>
      <c r="R57" s="171"/>
      <c r="S57" s="171"/>
      <c r="T57" s="171"/>
      <c r="U57" s="171">
        <f t="shared" si="13"/>
        <v>0</v>
      </c>
      <c r="V57" s="411"/>
      <c r="W57" s="407">
        <f t="shared" si="9"/>
        <v>23507.260999999999</v>
      </c>
    </row>
    <row r="58" spans="1:23" ht="35.1" customHeight="1" x14ac:dyDescent="0.2">
      <c r="A58" s="224">
        <v>12</v>
      </c>
      <c r="B58" s="610" t="s">
        <v>374</v>
      </c>
      <c r="C58" s="41" t="s">
        <v>375</v>
      </c>
      <c r="D58" s="171">
        <v>7290.7740000000003</v>
      </c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>
        <f t="shared" si="12"/>
        <v>7290.7740000000003</v>
      </c>
      <c r="P58" s="171"/>
      <c r="Q58" s="171"/>
      <c r="R58" s="171"/>
      <c r="S58" s="171"/>
      <c r="T58" s="171"/>
      <c r="U58" s="171">
        <f t="shared" si="13"/>
        <v>0</v>
      </c>
      <c r="V58" s="411"/>
      <c r="W58" s="407">
        <f t="shared" si="9"/>
        <v>7290.7740000000003</v>
      </c>
    </row>
    <row r="59" spans="1:23" ht="27.95" customHeight="1" x14ac:dyDescent="0.2">
      <c r="A59" s="224">
        <v>13</v>
      </c>
      <c r="B59" s="612" t="s">
        <v>420</v>
      </c>
      <c r="C59" s="28" t="s">
        <v>235</v>
      </c>
      <c r="D59" s="171"/>
      <c r="E59" s="171"/>
      <c r="F59" s="171"/>
      <c r="G59" s="171"/>
      <c r="H59" s="171">
        <f>1400+378</f>
        <v>1778</v>
      </c>
      <c r="I59" s="171"/>
      <c r="J59" s="171"/>
      <c r="K59" s="171"/>
      <c r="L59" s="171"/>
      <c r="M59" s="171"/>
      <c r="N59" s="171"/>
      <c r="O59" s="171">
        <f t="shared" si="12"/>
        <v>1778</v>
      </c>
      <c r="P59" s="171"/>
      <c r="Q59" s="171"/>
      <c r="R59" s="171"/>
      <c r="S59" s="171"/>
      <c r="T59" s="171"/>
      <c r="U59" s="171">
        <f t="shared" si="13"/>
        <v>0</v>
      </c>
      <c r="V59" s="411"/>
      <c r="W59" s="407">
        <f t="shared" si="9"/>
        <v>1778</v>
      </c>
    </row>
    <row r="60" spans="1:23" ht="27.95" customHeight="1" x14ac:dyDescent="0.2">
      <c r="A60" s="224">
        <v>14</v>
      </c>
      <c r="B60" s="612" t="s">
        <v>433</v>
      </c>
      <c r="C60" s="28" t="s">
        <v>432</v>
      </c>
      <c r="D60" s="171"/>
      <c r="E60" s="171">
        <f>2118.422</f>
        <v>2118.422</v>
      </c>
      <c r="F60" s="171"/>
      <c r="G60" s="171"/>
      <c r="H60" s="171"/>
      <c r="I60" s="171"/>
      <c r="J60" s="171"/>
      <c r="K60" s="171"/>
      <c r="L60" s="171"/>
      <c r="M60" s="171"/>
      <c r="N60" s="171"/>
      <c r="O60" s="171">
        <f t="shared" si="12"/>
        <v>2118.422</v>
      </c>
      <c r="P60" s="171"/>
      <c r="Q60" s="171"/>
      <c r="R60" s="171"/>
      <c r="S60" s="171"/>
      <c r="T60" s="171"/>
      <c r="U60" s="171">
        <f t="shared" si="13"/>
        <v>0</v>
      </c>
      <c r="V60" s="411"/>
      <c r="W60" s="407">
        <f t="shared" si="9"/>
        <v>2118.422</v>
      </c>
    </row>
    <row r="61" spans="1:23" ht="27.95" customHeight="1" x14ac:dyDescent="0.2">
      <c r="A61" s="224">
        <v>15</v>
      </c>
      <c r="B61" s="612" t="s">
        <v>434</v>
      </c>
      <c r="C61" s="28" t="s">
        <v>436</v>
      </c>
      <c r="D61" s="171"/>
      <c r="E61" s="171"/>
      <c r="F61" s="171"/>
      <c r="G61" s="171"/>
      <c r="H61" s="171"/>
      <c r="I61" s="171">
        <f>100</f>
        <v>100</v>
      </c>
      <c r="J61" s="171"/>
      <c r="K61" s="171"/>
      <c r="L61" s="171"/>
      <c r="M61" s="171"/>
      <c r="N61" s="171"/>
      <c r="O61" s="171">
        <f t="shared" si="12"/>
        <v>100</v>
      </c>
      <c r="P61" s="171"/>
      <c r="Q61" s="171"/>
      <c r="R61" s="171"/>
      <c r="S61" s="171"/>
      <c r="T61" s="171"/>
      <c r="U61" s="171">
        <f t="shared" si="13"/>
        <v>0</v>
      </c>
      <c r="V61" s="411"/>
      <c r="W61" s="407">
        <f t="shared" si="9"/>
        <v>100</v>
      </c>
    </row>
    <row r="62" spans="1:23" ht="27.95" customHeight="1" x14ac:dyDescent="0.2">
      <c r="A62" s="224">
        <v>16</v>
      </c>
      <c r="B62" s="611" t="s">
        <v>427</v>
      </c>
      <c r="C62" s="28" t="s">
        <v>428</v>
      </c>
      <c r="D62" s="171"/>
      <c r="E62" s="171"/>
      <c r="F62" s="171"/>
      <c r="G62" s="171"/>
      <c r="H62" s="171">
        <f>3755.635</f>
        <v>3755.6350000000002</v>
      </c>
      <c r="I62" s="171"/>
      <c r="J62" s="171"/>
      <c r="K62" s="171"/>
      <c r="L62" s="171"/>
      <c r="M62" s="171"/>
      <c r="N62" s="171"/>
      <c r="O62" s="171">
        <f t="shared" si="12"/>
        <v>3755.6350000000002</v>
      </c>
      <c r="P62" s="171"/>
      <c r="Q62" s="171"/>
      <c r="R62" s="171"/>
      <c r="S62" s="171"/>
      <c r="T62" s="171"/>
      <c r="U62" s="171">
        <f t="shared" si="13"/>
        <v>0</v>
      </c>
      <c r="V62" s="411"/>
      <c r="W62" s="407">
        <f t="shared" si="9"/>
        <v>3755.6350000000002</v>
      </c>
    </row>
    <row r="63" spans="1:23" ht="27.95" customHeight="1" x14ac:dyDescent="0.2">
      <c r="A63" s="224">
        <v>17</v>
      </c>
      <c r="B63" s="193" t="s">
        <v>439</v>
      </c>
      <c r="C63" s="28" t="s">
        <v>440</v>
      </c>
      <c r="D63" s="171"/>
      <c r="E63" s="171"/>
      <c r="F63" s="171"/>
      <c r="G63" s="171"/>
      <c r="H63" s="171"/>
      <c r="I63" s="171"/>
      <c r="J63" s="171"/>
      <c r="K63" s="171"/>
      <c r="L63" s="171">
        <f>8181</f>
        <v>8181</v>
      </c>
      <c r="M63" s="171"/>
      <c r="N63" s="171"/>
      <c r="O63" s="171">
        <f t="shared" si="12"/>
        <v>8181</v>
      </c>
      <c r="P63" s="171"/>
      <c r="Q63" s="171"/>
      <c r="R63" s="171"/>
      <c r="S63" s="171"/>
      <c r="T63" s="171"/>
      <c r="U63" s="171">
        <f t="shared" si="13"/>
        <v>0</v>
      </c>
      <c r="V63" s="411"/>
      <c r="W63" s="407">
        <f t="shared" si="9"/>
        <v>8181</v>
      </c>
    </row>
    <row r="64" spans="1:23" ht="27.95" customHeight="1" x14ac:dyDescent="0.2">
      <c r="A64" s="224">
        <v>18</v>
      </c>
      <c r="B64" s="621" t="s">
        <v>441</v>
      </c>
      <c r="C64" s="28" t="s">
        <v>442</v>
      </c>
      <c r="D64" s="171"/>
      <c r="E64" s="171"/>
      <c r="F64" s="171"/>
      <c r="G64" s="171">
        <f>300</f>
        <v>300</v>
      </c>
      <c r="H64" s="171">
        <f>18+222+27+55+23+905+9+11+565+30+334+109+219+960+420+38+4</f>
        <v>3949</v>
      </c>
      <c r="I64" s="171"/>
      <c r="J64" s="171"/>
      <c r="K64" s="171"/>
      <c r="L64" s="171"/>
      <c r="M64" s="171"/>
      <c r="N64" s="171"/>
      <c r="O64" s="171">
        <f t="shared" si="12"/>
        <v>4249</v>
      </c>
      <c r="P64" s="171"/>
      <c r="Q64" s="171"/>
      <c r="R64" s="171"/>
      <c r="S64" s="171"/>
      <c r="T64" s="171"/>
      <c r="U64" s="171">
        <f t="shared" si="13"/>
        <v>0</v>
      </c>
      <c r="V64" s="411"/>
      <c r="W64" s="407">
        <f t="shared" si="9"/>
        <v>4249</v>
      </c>
    </row>
    <row r="65" spans="1:23" ht="27.95" customHeight="1" x14ac:dyDescent="0.2">
      <c r="A65" s="224">
        <v>19</v>
      </c>
      <c r="B65" s="622" t="s">
        <v>444</v>
      </c>
      <c r="C65" s="41" t="s">
        <v>443</v>
      </c>
      <c r="D65" s="171">
        <f>5503.915</f>
        <v>5503.915</v>
      </c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>
        <f t="shared" si="12"/>
        <v>5503.915</v>
      </c>
      <c r="P65" s="171"/>
      <c r="Q65" s="171"/>
      <c r="R65" s="171"/>
      <c r="S65" s="171"/>
      <c r="T65" s="171"/>
      <c r="U65" s="171">
        <f t="shared" si="13"/>
        <v>0</v>
      </c>
      <c r="V65" s="411"/>
      <c r="W65" s="407">
        <f t="shared" si="9"/>
        <v>5503.915</v>
      </c>
    </row>
    <row r="66" spans="1:23" ht="27.95" customHeight="1" x14ac:dyDescent="0.2">
      <c r="A66" s="224">
        <v>20</v>
      </c>
      <c r="B66" s="193" t="s">
        <v>472</v>
      </c>
      <c r="C66" s="41" t="s">
        <v>473</v>
      </c>
      <c r="D66" s="171"/>
      <c r="E66" s="171"/>
      <c r="F66" s="171"/>
      <c r="G66" s="171"/>
      <c r="H66" s="171"/>
      <c r="I66" s="171"/>
      <c r="J66" s="171"/>
      <c r="K66" s="171">
        <f>1500</f>
        <v>1500</v>
      </c>
      <c r="L66" s="171"/>
      <c r="M66" s="171"/>
      <c r="N66" s="171"/>
      <c r="O66" s="171">
        <f t="shared" si="12"/>
        <v>1500</v>
      </c>
      <c r="P66" s="171"/>
      <c r="Q66" s="171"/>
      <c r="R66" s="171"/>
      <c r="S66" s="171"/>
      <c r="T66" s="171"/>
      <c r="U66" s="171">
        <f t="shared" si="13"/>
        <v>0</v>
      </c>
      <c r="V66" s="411"/>
      <c r="W66" s="407">
        <f t="shared" si="9"/>
        <v>1500</v>
      </c>
    </row>
    <row r="67" spans="1:23" ht="35.1" customHeight="1" x14ac:dyDescent="0.2">
      <c r="A67" s="224">
        <v>21</v>
      </c>
      <c r="B67" s="621" t="s">
        <v>474</v>
      </c>
      <c r="C67" s="41" t="s">
        <v>475</v>
      </c>
      <c r="D67" s="171"/>
      <c r="E67" s="171"/>
      <c r="F67" s="171"/>
      <c r="G67" s="171">
        <f>-65000</f>
        <v>-65000</v>
      </c>
      <c r="H67" s="171"/>
      <c r="I67" s="171"/>
      <c r="J67" s="171"/>
      <c r="K67" s="171"/>
      <c r="L67" s="171"/>
      <c r="M67" s="171"/>
      <c r="N67" s="171"/>
      <c r="O67" s="171">
        <f t="shared" si="12"/>
        <v>-65000</v>
      </c>
      <c r="P67" s="171"/>
      <c r="Q67" s="171"/>
      <c r="R67" s="171"/>
      <c r="S67" s="171"/>
      <c r="T67" s="171"/>
      <c r="U67" s="171">
        <f t="shared" si="13"/>
        <v>0</v>
      </c>
      <c r="V67" s="411"/>
      <c r="W67" s="407">
        <f t="shared" si="9"/>
        <v>-65000</v>
      </c>
    </row>
    <row r="68" spans="1:23" ht="27.95" customHeight="1" x14ac:dyDescent="0.2">
      <c r="A68" s="224">
        <v>22</v>
      </c>
      <c r="B68" s="193" t="s">
        <v>477</v>
      </c>
      <c r="C68" s="127" t="s">
        <v>476</v>
      </c>
      <c r="D68" s="171"/>
      <c r="E68" s="171"/>
      <c r="F68" s="171"/>
      <c r="G68" s="171"/>
      <c r="H68" s="171"/>
      <c r="I68" s="171"/>
      <c r="J68" s="171"/>
      <c r="K68" s="171"/>
      <c r="L68" s="171">
        <f>120</f>
        <v>120</v>
      </c>
      <c r="M68" s="171"/>
      <c r="N68" s="171"/>
      <c r="O68" s="171">
        <f t="shared" si="12"/>
        <v>120</v>
      </c>
      <c r="P68" s="171"/>
      <c r="Q68" s="171"/>
      <c r="R68" s="171"/>
      <c r="S68" s="171"/>
      <c r="T68" s="171"/>
      <c r="U68" s="171">
        <f t="shared" si="13"/>
        <v>0</v>
      </c>
      <c r="V68" s="411"/>
      <c r="W68" s="407">
        <f t="shared" si="9"/>
        <v>120</v>
      </c>
    </row>
    <row r="69" spans="1:23" ht="27.95" customHeight="1" x14ac:dyDescent="0.2">
      <c r="A69" s="224">
        <v>23</v>
      </c>
      <c r="B69" s="193" t="s">
        <v>481</v>
      </c>
      <c r="C69" s="127" t="s">
        <v>480</v>
      </c>
      <c r="D69" s="171">
        <f>17594.298</f>
        <v>17594.297999999999</v>
      </c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>
        <f t="shared" si="12"/>
        <v>17594.297999999999</v>
      </c>
      <c r="P69" s="171"/>
      <c r="Q69" s="171"/>
      <c r="R69" s="171"/>
      <c r="S69" s="171"/>
      <c r="T69" s="171"/>
      <c r="U69" s="171">
        <f t="shared" si="13"/>
        <v>0</v>
      </c>
      <c r="V69" s="411"/>
      <c r="W69" s="407">
        <f t="shared" si="9"/>
        <v>17594.297999999999</v>
      </c>
    </row>
    <row r="70" spans="1:23" ht="27.95" customHeight="1" x14ac:dyDescent="0.2">
      <c r="A70" s="224">
        <v>24</v>
      </c>
      <c r="B70" s="621" t="s">
        <v>487</v>
      </c>
      <c r="C70" s="41" t="s">
        <v>486</v>
      </c>
      <c r="D70" s="171"/>
      <c r="E70" s="171"/>
      <c r="F70" s="171"/>
      <c r="G70" s="171"/>
      <c r="H70" s="171"/>
      <c r="I70" s="171">
        <f>300</f>
        <v>300</v>
      </c>
      <c r="J70" s="171"/>
      <c r="K70" s="171"/>
      <c r="L70" s="171"/>
      <c r="M70" s="171"/>
      <c r="N70" s="171"/>
      <c r="O70" s="171">
        <f t="shared" si="12"/>
        <v>300</v>
      </c>
      <c r="P70" s="171"/>
      <c r="Q70" s="171"/>
      <c r="R70" s="171"/>
      <c r="S70" s="171"/>
      <c r="T70" s="171"/>
      <c r="U70" s="171">
        <f t="shared" si="13"/>
        <v>0</v>
      </c>
      <c r="V70" s="411"/>
      <c r="W70" s="407">
        <f t="shared" si="9"/>
        <v>300</v>
      </c>
    </row>
    <row r="71" spans="1:23" ht="27.95" customHeight="1" x14ac:dyDescent="0.2">
      <c r="A71" s="224">
        <v>25</v>
      </c>
      <c r="B71" s="193" t="s">
        <v>500</v>
      </c>
      <c r="C71" s="41" t="s">
        <v>235</v>
      </c>
      <c r="D71" s="171"/>
      <c r="E71" s="171"/>
      <c r="F71" s="171"/>
      <c r="G71" s="171"/>
      <c r="H71" s="171">
        <f>700+189</f>
        <v>889</v>
      </c>
      <c r="I71" s="171"/>
      <c r="J71" s="171"/>
      <c r="K71" s="171"/>
      <c r="L71" s="171"/>
      <c r="M71" s="171"/>
      <c r="N71" s="171"/>
      <c r="O71" s="171">
        <f t="shared" si="12"/>
        <v>889</v>
      </c>
      <c r="P71" s="171"/>
      <c r="Q71" s="171"/>
      <c r="R71" s="171"/>
      <c r="S71" s="171"/>
      <c r="T71" s="171"/>
      <c r="U71" s="171">
        <f t="shared" si="13"/>
        <v>0</v>
      </c>
      <c r="V71" s="411"/>
      <c r="W71" s="407">
        <f t="shared" si="9"/>
        <v>889</v>
      </c>
    </row>
    <row r="72" spans="1:23" ht="27.95" customHeight="1" x14ac:dyDescent="0.2">
      <c r="A72" s="224">
        <v>26</v>
      </c>
      <c r="B72" s="31" t="s">
        <v>505</v>
      </c>
      <c r="C72" s="41" t="s">
        <v>235</v>
      </c>
      <c r="D72" s="171"/>
      <c r="E72" s="171"/>
      <c r="F72" s="171"/>
      <c r="G72" s="171"/>
      <c r="H72" s="171">
        <f>700+189</f>
        <v>889</v>
      </c>
      <c r="I72" s="171"/>
      <c r="J72" s="171"/>
      <c r="K72" s="171"/>
      <c r="L72" s="171"/>
      <c r="M72" s="171"/>
      <c r="N72" s="171"/>
      <c r="O72" s="171">
        <f t="shared" si="12"/>
        <v>889</v>
      </c>
      <c r="P72" s="171"/>
      <c r="Q72" s="171"/>
      <c r="R72" s="171"/>
      <c r="S72" s="171"/>
      <c r="T72" s="171"/>
      <c r="U72" s="171">
        <f t="shared" si="13"/>
        <v>0</v>
      </c>
      <c r="V72" s="411"/>
      <c r="W72" s="407">
        <f t="shared" si="9"/>
        <v>889</v>
      </c>
    </row>
    <row r="73" spans="1:23" ht="27.95" customHeight="1" x14ac:dyDescent="0.2">
      <c r="A73" s="224">
        <v>27</v>
      </c>
      <c r="B73" s="226" t="s">
        <v>509</v>
      </c>
      <c r="C73" s="41" t="s">
        <v>499</v>
      </c>
      <c r="D73" s="171">
        <v>50362.409</v>
      </c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>
        <f t="shared" si="12"/>
        <v>50362.409</v>
      </c>
      <c r="P73" s="171"/>
      <c r="Q73" s="171"/>
      <c r="R73" s="171"/>
      <c r="S73" s="171"/>
      <c r="T73" s="171"/>
      <c r="U73" s="171">
        <f t="shared" si="13"/>
        <v>0</v>
      </c>
      <c r="V73" s="411"/>
      <c r="W73" s="407">
        <f t="shared" si="9"/>
        <v>50362.409</v>
      </c>
    </row>
    <row r="74" spans="1:23" ht="27.95" customHeight="1" x14ac:dyDescent="0.2">
      <c r="A74" s="224">
        <v>28</v>
      </c>
      <c r="B74" s="126" t="s">
        <v>512</v>
      </c>
      <c r="C74" s="41" t="s">
        <v>516</v>
      </c>
      <c r="D74" s="171">
        <f>23836.363</f>
        <v>23836.363000000001</v>
      </c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>
        <f t="shared" si="12"/>
        <v>23836.363000000001</v>
      </c>
      <c r="P74" s="171"/>
      <c r="Q74" s="171"/>
      <c r="R74" s="171"/>
      <c r="S74" s="171"/>
      <c r="T74" s="171"/>
      <c r="U74" s="171">
        <f t="shared" si="13"/>
        <v>0</v>
      </c>
      <c r="V74" s="411"/>
      <c r="W74" s="407">
        <f t="shared" si="9"/>
        <v>23836.363000000001</v>
      </c>
    </row>
    <row r="75" spans="1:23" ht="27.95" customHeight="1" x14ac:dyDescent="0.2">
      <c r="A75" s="224">
        <v>29</v>
      </c>
      <c r="B75" s="126" t="s">
        <v>513</v>
      </c>
      <c r="C75" s="41" t="s">
        <v>517</v>
      </c>
      <c r="D75" s="171">
        <f>7256.141</f>
        <v>7256.1409999999996</v>
      </c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>
        <f t="shared" si="12"/>
        <v>7256.1409999999996</v>
      </c>
      <c r="P75" s="171"/>
      <c r="Q75" s="171"/>
      <c r="R75" s="171"/>
      <c r="S75" s="171"/>
      <c r="T75" s="171"/>
      <c r="U75" s="171">
        <f t="shared" si="13"/>
        <v>0</v>
      </c>
      <c r="V75" s="411"/>
      <c r="W75" s="407">
        <f t="shared" si="9"/>
        <v>7256.1409999999996</v>
      </c>
    </row>
    <row r="76" spans="1:23" ht="33" x14ac:dyDescent="0.2">
      <c r="A76" s="224">
        <v>30</v>
      </c>
      <c r="B76" s="126" t="s">
        <v>514</v>
      </c>
      <c r="C76" s="41" t="s">
        <v>518</v>
      </c>
      <c r="D76" s="171">
        <f>4815.096</f>
        <v>4815.0959999999995</v>
      </c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>
        <f t="shared" si="12"/>
        <v>4815.0959999999995</v>
      </c>
      <c r="P76" s="171"/>
      <c r="Q76" s="171"/>
      <c r="R76" s="171"/>
      <c r="S76" s="171"/>
      <c r="T76" s="171"/>
      <c r="U76" s="171">
        <f t="shared" si="13"/>
        <v>0</v>
      </c>
      <c r="V76" s="411"/>
      <c r="W76" s="407">
        <f t="shared" si="9"/>
        <v>4815.0959999999995</v>
      </c>
    </row>
    <row r="77" spans="1:23" ht="27.95" customHeight="1" x14ac:dyDescent="0.2">
      <c r="A77" s="224">
        <v>31</v>
      </c>
      <c r="B77" s="126" t="s">
        <v>514</v>
      </c>
      <c r="C77" s="41" t="s">
        <v>519</v>
      </c>
      <c r="D77" s="171">
        <f>4689.314</f>
        <v>4689.3140000000003</v>
      </c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>
        <f t="shared" si="12"/>
        <v>4689.3140000000003</v>
      </c>
      <c r="P77" s="171"/>
      <c r="Q77" s="171"/>
      <c r="R77" s="171"/>
      <c r="S77" s="171"/>
      <c r="T77" s="171"/>
      <c r="U77" s="171">
        <f t="shared" si="13"/>
        <v>0</v>
      </c>
      <c r="V77" s="411"/>
      <c r="W77" s="407">
        <f t="shared" si="9"/>
        <v>4689.3140000000003</v>
      </c>
    </row>
    <row r="78" spans="1:23" ht="27.95" customHeight="1" x14ac:dyDescent="0.2">
      <c r="A78" s="224">
        <v>32</v>
      </c>
      <c r="B78" s="631" t="s">
        <v>514</v>
      </c>
      <c r="C78" s="41" t="s">
        <v>520</v>
      </c>
      <c r="D78" s="171">
        <v>1811.944</v>
      </c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>
        <f t="shared" si="12"/>
        <v>1811.944</v>
      </c>
      <c r="P78" s="171"/>
      <c r="Q78" s="171"/>
      <c r="R78" s="171"/>
      <c r="S78" s="171"/>
      <c r="T78" s="171"/>
      <c r="U78" s="171">
        <f t="shared" si="13"/>
        <v>0</v>
      </c>
      <c r="V78" s="411"/>
      <c r="W78" s="407">
        <f t="shared" si="9"/>
        <v>1811.944</v>
      </c>
    </row>
    <row r="79" spans="1:23" ht="27.95" customHeight="1" x14ac:dyDescent="0.2">
      <c r="A79" s="224">
        <v>33</v>
      </c>
      <c r="B79" s="126" t="s">
        <v>529</v>
      </c>
      <c r="C79" s="41" t="s">
        <v>235</v>
      </c>
      <c r="D79" s="171"/>
      <c r="E79" s="171"/>
      <c r="F79" s="171"/>
      <c r="G79" s="171"/>
      <c r="H79" s="171">
        <f>1778</f>
        <v>1778</v>
      </c>
      <c r="I79" s="171"/>
      <c r="J79" s="171"/>
      <c r="K79" s="171"/>
      <c r="L79" s="171"/>
      <c r="M79" s="171"/>
      <c r="N79" s="171"/>
      <c r="O79" s="171">
        <f t="shared" si="12"/>
        <v>1778</v>
      </c>
      <c r="P79" s="171"/>
      <c r="Q79" s="171"/>
      <c r="R79" s="171"/>
      <c r="S79" s="171"/>
      <c r="T79" s="171"/>
      <c r="U79" s="171">
        <f t="shared" si="13"/>
        <v>0</v>
      </c>
      <c r="V79" s="411"/>
      <c r="W79" s="407">
        <f t="shared" si="9"/>
        <v>1778</v>
      </c>
    </row>
    <row r="80" spans="1:23" ht="27.95" customHeight="1" x14ac:dyDescent="0.2">
      <c r="A80" s="224">
        <v>34</v>
      </c>
      <c r="B80" s="126" t="s">
        <v>533</v>
      </c>
      <c r="C80" s="41" t="s">
        <v>534</v>
      </c>
      <c r="D80" s="171"/>
      <c r="E80" s="171"/>
      <c r="F80" s="171">
        <f>1500</f>
        <v>1500</v>
      </c>
      <c r="G80" s="171"/>
      <c r="H80" s="171"/>
      <c r="I80" s="171"/>
      <c r="J80" s="171"/>
      <c r="K80" s="171"/>
      <c r="L80" s="171"/>
      <c r="M80" s="171"/>
      <c r="N80" s="171"/>
      <c r="O80" s="171">
        <f t="shared" si="12"/>
        <v>1500</v>
      </c>
      <c r="P80" s="171"/>
      <c r="Q80" s="171"/>
      <c r="R80" s="171"/>
      <c r="S80" s="171"/>
      <c r="T80" s="171"/>
      <c r="U80" s="171">
        <f t="shared" si="13"/>
        <v>0</v>
      </c>
      <c r="V80" s="411"/>
      <c r="W80" s="407">
        <f t="shared" si="9"/>
        <v>1500</v>
      </c>
    </row>
    <row r="81" spans="1:23" ht="27.95" customHeight="1" x14ac:dyDescent="0.2">
      <c r="A81" s="224">
        <v>35</v>
      </c>
      <c r="B81" s="182" t="s">
        <v>541</v>
      </c>
      <c r="C81" s="41" t="s">
        <v>235</v>
      </c>
      <c r="D81" s="171"/>
      <c r="E81" s="171"/>
      <c r="F81" s="171"/>
      <c r="G81" s="171"/>
      <c r="H81" s="171">
        <f>700+189</f>
        <v>889</v>
      </c>
      <c r="I81" s="171"/>
      <c r="J81" s="171"/>
      <c r="K81" s="171"/>
      <c r="L81" s="171"/>
      <c r="M81" s="171"/>
      <c r="N81" s="171"/>
      <c r="O81" s="171">
        <f t="shared" si="12"/>
        <v>889</v>
      </c>
      <c r="P81" s="171"/>
      <c r="Q81" s="171"/>
      <c r="R81" s="171"/>
      <c r="S81" s="171"/>
      <c r="T81" s="171"/>
      <c r="U81" s="171">
        <f t="shared" si="13"/>
        <v>0</v>
      </c>
      <c r="V81" s="411"/>
      <c r="W81" s="407">
        <f t="shared" si="9"/>
        <v>889</v>
      </c>
    </row>
    <row r="82" spans="1:23" ht="27.95" customHeight="1" x14ac:dyDescent="0.2">
      <c r="A82" s="224">
        <v>36</v>
      </c>
      <c r="B82" s="182" t="s">
        <v>558</v>
      </c>
      <c r="C82" s="41" t="s">
        <v>559</v>
      </c>
      <c r="D82" s="171">
        <f>205.47</f>
        <v>205.47</v>
      </c>
      <c r="E82" s="171"/>
      <c r="F82" s="171"/>
      <c r="G82" s="171"/>
      <c r="H82" s="171">
        <f>-205.47</f>
        <v>-205.47</v>
      </c>
      <c r="I82" s="171"/>
      <c r="J82" s="171"/>
      <c r="K82" s="171"/>
      <c r="L82" s="171"/>
      <c r="M82" s="171"/>
      <c r="N82" s="171"/>
      <c r="O82" s="171">
        <f t="shared" si="12"/>
        <v>0</v>
      </c>
      <c r="P82" s="171"/>
      <c r="Q82" s="171"/>
      <c r="R82" s="171"/>
      <c r="S82" s="171"/>
      <c r="T82" s="171"/>
      <c r="U82" s="171">
        <f t="shared" si="13"/>
        <v>0</v>
      </c>
      <c r="V82" s="411"/>
      <c r="W82" s="407">
        <f t="shared" si="9"/>
        <v>0</v>
      </c>
    </row>
    <row r="83" spans="1:23" ht="27.95" customHeight="1" x14ac:dyDescent="0.2">
      <c r="A83" s="224">
        <v>37</v>
      </c>
      <c r="B83" s="182" t="s">
        <v>574</v>
      </c>
      <c r="C83" s="41" t="s">
        <v>575</v>
      </c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>
        <f t="shared" si="12"/>
        <v>0</v>
      </c>
      <c r="P83" s="171"/>
      <c r="Q83" s="171">
        <f>625000</f>
        <v>625000</v>
      </c>
      <c r="R83" s="171"/>
      <c r="S83" s="171"/>
      <c r="T83" s="171"/>
      <c r="U83" s="171">
        <f t="shared" si="13"/>
        <v>625000</v>
      </c>
      <c r="V83" s="411"/>
      <c r="W83" s="407">
        <f t="shared" si="9"/>
        <v>625000</v>
      </c>
    </row>
    <row r="84" spans="1:23" ht="27.95" customHeight="1" x14ac:dyDescent="0.2">
      <c r="A84" s="224">
        <v>38</v>
      </c>
      <c r="B84" s="629" t="s">
        <v>577</v>
      </c>
      <c r="C84" s="41" t="s">
        <v>576</v>
      </c>
      <c r="D84" s="171">
        <f>1500</f>
        <v>1500</v>
      </c>
      <c r="E84" s="171"/>
      <c r="F84" s="171">
        <f>-1500</f>
        <v>-1500</v>
      </c>
      <c r="G84" s="171"/>
      <c r="H84" s="171"/>
      <c r="I84" s="171"/>
      <c r="J84" s="171"/>
      <c r="K84" s="171"/>
      <c r="L84" s="171"/>
      <c r="M84" s="171"/>
      <c r="N84" s="171"/>
      <c r="O84" s="171">
        <f t="shared" si="12"/>
        <v>0</v>
      </c>
      <c r="P84" s="171"/>
      <c r="Q84" s="171"/>
      <c r="R84" s="171"/>
      <c r="S84" s="171"/>
      <c r="T84" s="171"/>
      <c r="U84" s="171">
        <f t="shared" si="13"/>
        <v>0</v>
      </c>
      <c r="V84" s="411"/>
      <c r="W84" s="407">
        <f t="shared" si="9"/>
        <v>0</v>
      </c>
    </row>
    <row r="85" spans="1:23" ht="24.95" customHeight="1" x14ac:dyDescent="0.2">
      <c r="A85" s="224"/>
      <c r="B85" s="126"/>
      <c r="C85" s="4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411"/>
      <c r="W85" s="407"/>
    </row>
    <row r="86" spans="1:23" ht="24.95" hidden="1" customHeight="1" x14ac:dyDescent="0.2">
      <c r="A86" s="224"/>
      <c r="B86" s="126"/>
      <c r="C86" s="4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>
        <f t="shared" si="12"/>
        <v>0</v>
      </c>
      <c r="P86" s="171"/>
      <c r="Q86" s="171"/>
      <c r="R86" s="171"/>
      <c r="S86" s="171"/>
      <c r="T86" s="171"/>
      <c r="U86" s="171">
        <f t="shared" si="13"/>
        <v>0</v>
      </c>
      <c r="V86" s="411"/>
      <c r="W86" s="407">
        <f t="shared" si="9"/>
        <v>0</v>
      </c>
    </row>
    <row r="87" spans="1:23" ht="24.95" hidden="1" customHeight="1" x14ac:dyDescent="0.2">
      <c r="A87" s="224"/>
      <c r="B87" s="126"/>
      <c r="C87" s="4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>
        <f t="shared" si="12"/>
        <v>0</v>
      </c>
      <c r="P87" s="171"/>
      <c r="Q87" s="171"/>
      <c r="R87" s="171"/>
      <c r="S87" s="171"/>
      <c r="T87" s="171"/>
      <c r="U87" s="171">
        <f t="shared" si="13"/>
        <v>0</v>
      </c>
      <c r="V87" s="411"/>
      <c r="W87" s="407">
        <f t="shared" si="9"/>
        <v>0</v>
      </c>
    </row>
    <row r="88" spans="1:23" ht="24.95" hidden="1" customHeight="1" x14ac:dyDescent="0.2">
      <c r="A88" s="224"/>
      <c r="B88" s="126"/>
      <c r="C88" s="4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>
        <f t="shared" si="12"/>
        <v>0</v>
      </c>
      <c r="P88" s="171"/>
      <c r="Q88" s="171"/>
      <c r="R88" s="171"/>
      <c r="S88" s="171"/>
      <c r="T88" s="171"/>
      <c r="U88" s="171">
        <f t="shared" si="13"/>
        <v>0</v>
      </c>
      <c r="V88" s="411"/>
      <c r="W88" s="407">
        <f t="shared" si="9"/>
        <v>0</v>
      </c>
    </row>
    <row r="89" spans="1:23" ht="24.95" hidden="1" customHeight="1" x14ac:dyDescent="0.2">
      <c r="A89" s="224"/>
      <c r="B89" s="126"/>
      <c r="C89" s="4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>
        <f t="shared" si="12"/>
        <v>0</v>
      </c>
      <c r="P89" s="171"/>
      <c r="Q89" s="171"/>
      <c r="R89" s="171"/>
      <c r="S89" s="171"/>
      <c r="T89" s="171"/>
      <c r="U89" s="171">
        <f t="shared" si="13"/>
        <v>0</v>
      </c>
      <c r="V89" s="411"/>
      <c r="W89" s="407">
        <f t="shared" si="9"/>
        <v>0</v>
      </c>
    </row>
    <row r="90" spans="1:23" ht="24.95" hidden="1" customHeight="1" x14ac:dyDescent="0.2">
      <c r="A90" s="224"/>
      <c r="B90" s="126"/>
      <c r="C90" s="41" t="s">
        <v>64</v>
      </c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>
        <f t="shared" si="12"/>
        <v>0</v>
      </c>
      <c r="P90" s="171"/>
      <c r="Q90" s="171"/>
      <c r="R90" s="171"/>
      <c r="S90" s="171"/>
      <c r="T90" s="171"/>
      <c r="U90" s="171">
        <f t="shared" si="13"/>
        <v>0</v>
      </c>
      <c r="V90" s="411"/>
      <c r="W90" s="407">
        <f t="shared" si="9"/>
        <v>0</v>
      </c>
    </row>
    <row r="91" spans="1:23" ht="24.95" customHeight="1" thickBot="1" x14ac:dyDescent="0.25">
      <c r="A91" s="40"/>
      <c r="B91" s="106"/>
      <c r="C91" s="107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412"/>
      <c r="W91" s="408"/>
    </row>
    <row r="92" spans="1:23" ht="24.95" customHeight="1" thickTop="1" thickBot="1" x14ac:dyDescent="0.25">
      <c r="A92" s="47"/>
      <c r="B92" s="111" t="s">
        <v>165</v>
      </c>
      <c r="C92" s="44" t="s">
        <v>19</v>
      </c>
      <c r="D92" s="175">
        <f t="shared" ref="D92:O92" si="16">SUM(D47:D91)</f>
        <v>160079.98300000001</v>
      </c>
      <c r="E92" s="205">
        <f t="shared" si="16"/>
        <v>89858.422000000006</v>
      </c>
      <c r="F92" s="175">
        <f t="shared" si="16"/>
        <v>0</v>
      </c>
      <c r="G92" s="175">
        <f t="shared" si="16"/>
        <v>-64700</v>
      </c>
      <c r="H92" s="205">
        <f t="shared" si="16"/>
        <v>17562.165000000001</v>
      </c>
      <c r="I92" s="205">
        <f t="shared" si="16"/>
        <v>3578</v>
      </c>
      <c r="J92" s="205">
        <f t="shared" si="16"/>
        <v>0</v>
      </c>
      <c r="K92" s="205">
        <f t="shared" si="16"/>
        <v>72922.611000000004</v>
      </c>
      <c r="L92" s="205">
        <f t="shared" si="16"/>
        <v>8301</v>
      </c>
      <c r="M92" s="205">
        <f t="shared" si="16"/>
        <v>0</v>
      </c>
      <c r="N92" s="205">
        <f t="shared" si="16"/>
        <v>0</v>
      </c>
      <c r="O92" s="205">
        <f t="shared" si="16"/>
        <v>287602.1810000001</v>
      </c>
      <c r="P92" s="205"/>
      <c r="Q92" s="205">
        <f>SUM(Q47:Q91)</f>
        <v>2325000</v>
      </c>
      <c r="R92" s="205">
        <f>SUM(R47:R91)</f>
        <v>0.46800000000000003</v>
      </c>
      <c r="S92" s="205">
        <f>SUM(S47:S91)</f>
        <v>0</v>
      </c>
      <c r="T92" s="205">
        <f>SUM(T47:T91)</f>
        <v>0</v>
      </c>
      <c r="U92" s="205">
        <f>SUM(U47:U91)</f>
        <v>2325000.4680000003</v>
      </c>
      <c r="V92" s="605"/>
      <c r="W92" s="606">
        <f>SUM(W47:W91)</f>
        <v>2612602.6489999997</v>
      </c>
    </row>
    <row r="93" spans="1:23" ht="24.95" hidden="1" customHeight="1" thickTop="1" x14ac:dyDescent="0.2">
      <c r="A93" s="40"/>
      <c r="B93" s="31"/>
      <c r="C93" s="41"/>
      <c r="D93" s="171"/>
      <c r="E93" s="171"/>
      <c r="F93" s="171"/>
      <c r="G93" s="171"/>
      <c r="H93" s="607"/>
      <c r="I93" s="607"/>
      <c r="J93" s="607"/>
      <c r="K93" s="607"/>
      <c r="L93" s="607"/>
      <c r="M93" s="607"/>
      <c r="N93" s="607"/>
      <c r="O93" s="607">
        <f t="shared" ref="O93:O103" si="17">SUM(D93:N93)</f>
        <v>0</v>
      </c>
      <c r="P93" s="607"/>
      <c r="Q93" s="607"/>
      <c r="R93" s="607"/>
      <c r="S93" s="607"/>
      <c r="T93" s="607"/>
      <c r="U93" s="607">
        <f t="shared" ref="U93:U103" si="18">SUM(Q93:T93)</f>
        <v>0</v>
      </c>
      <c r="V93" s="608"/>
      <c r="W93" s="609">
        <f t="shared" ref="W93:W102" si="19">O93+U93</f>
        <v>0</v>
      </c>
    </row>
    <row r="94" spans="1:23" ht="24.95" hidden="1" customHeight="1" x14ac:dyDescent="0.2">
      <c r="A94" s="40"/>
      <c r="B94" s="31"/>
      <c r="C94" s="41"/>
      <c r="D94" s="171"/>
      <c r="E94" s="171"/>
      <c r="F94" s="171"/>
      <c r="G94" s="171"/>
      <c r="H94" s="607"/>
      <c r="I94" s="607"/>
      <c r="J94" s="607"/>
      <c r="K94" s="607"/>
      <c r="L94" s="607"/>
      <c r="M94" s="607"/>
      <c r="N94" s="607"/>
      <c r="O94" s="607">
        <f t="shared" si="17"/>
        <v>0</v>
      </c>
      <c r="P94" s="607"/>
      <c r="Q94" s="607"/>
      <c r="R94" s="607"/>
      <c r="S94" s="607"/>
      <c r="T94" s="607"/>
      <c r="U94" s="607">
        <f t="shared" si="18"/>
        <v>0</v>
      </c>
      <c r="V94" s="608"/>
      <c r="W94" s="609">
        <f t="shared" si="19"/>
        <v>0</v>
      </c>
    </row>
    <row r="95" spans="1:23" ht="24.95" hidden="1" customHeight="1" x14ac:dyDescent="0.2">
      <c r="A95" s="40"/>
      <c r="B95" s="32"/>
      <c r="C95" s="41"/>
      <c r="D95" s="171"/>
      <c r="E95" s="171"/>
      <c r="F95" s="171"/>
      <c r="G95" s="171"/>
      <c r="H95" s="607"/>
      <c r="I95" s="607"/>
      <c r="J95" s="607"/>
      <c r="K95" s="607"/>
      <c r="L95" s="607"/>
      <c r="M95" s="607"/>
      <c r="N95" s="607"/>
      <c r="O95" s="607">
        <f t="shared" si="17"/>
        <v>0</v>
      </c>
      <c r="P95" s="607"/>
      <c r="Q95" s="607"/>
      <c r="R95" s="607"/>
      <c r="S95" s="607"/>
      <c r="T95" s="607"/>
      <c r="U95" s="607">
        <f t="shared" si="18"/>
        <v>0</v>
      </c>
      <c r="V95" s="608"/>
      <c r="W95" s="609">
        <f t="shared" si="19"/>
        <v>0</v>
      </c>
    </row>
    <row r="96" spans="1:23" ht="24.95" hidden="1" customHeight="1" x14ac:dyDescent="0.2">
      <c r="A96" s="40"/>
      <c r="B96" s="32"/>
      <c r="C96" s="41"/>
      <c r="D96" s="171"/>
      <c r="E96" s="171"/>
      <c r="F96" s="171"/>
      <c r="G96" s="171"/>
      <c r="H96" s="607"/>
      <c r="I96" s="607"/>
      <c r="J96" s="607"/>
      <c r="K96" s="607"/>
      <c r="L96" s="607"/>
      <c r="M96" s="607"/>
      <c r="N96" s="607"/>
      <c r="O96" s="607">
        <f t="shared" si="17"/>
        <v>0</v>
      </c>
      <c r="P96" s="607"/>
      <c r="Q96" s="607"/>
      <c r="R96" s="607"/>
      <c r="S96" s="607"/>
      <c r="T96" s="607"/>
      <c r="U96" s="607">
        <f t="shared" si="18"/>
        <v>0</v>
      </c>
      <c r="V96" s="608"/>
      <c r="W96" s="609">
        <f t="shared" si="19"/>
        <v>0</v>
      </c>
    </row>
    <row r="97" spans="1:23" ht="24.95" hidden="1" customHeight="1" x14ac:dyDescent="0.2">
      <c r="A97" s="40"/>
      <c r="B97" s="32"/>
      <c r="C97" s="41"/>
      <c r="D97" s="171"/>
      <c r="E97" s="171"/>
      <c r="F97" s="171"/>
      <c r="G97" s="171"/>
      <c r="H97" s="607"/>
      <c r="I97" s="607"/>
      <c r="J97" s="607"/>
      <c r="K97" s="607"/>
      <c r="L97" s="607"/>
      <c r="M97" s="607"/>
      <c r="N97" s="607"/>
      <c r="O97" s="607">
        <f t="shared" si="17"/>
        <v>0</v>
      </c>
      <c r="P97" s="607"/>
      <c r="Q97" s="607"/>
      <c r="R97" s="607"/>
      <c r="S97" s="607"/>
      <c r="T97" s="607"/>
      <c r="U97" s="607">
        <f t="shared" si="18"/>
        <v>0</v>
      </c>
      <c r="V97" s="608"/>
      <c r="W97" s="609">
        <f t="shared" si="19"/>
        <v>0</v>
      </c>
    </row>
    <row r="98" spans="1:23" ht="24.95" hidden="1" customHeight="1" x14ac:dyDescent="0.2">
      <c r="A98" s="40"/>
      <c r="B98" s="32"/>
      <c r="C98" s="41"/>
      <c r="D98" s="171"/>
      <c r="E98" s="171"/>
      <c r="F98" s="171"/>
      <c r="G98" s="171"/>
      <c r="H98" s="607"/>
      <c r="I98" s="607"/>
      <c r="J98" s="607"/>
      <c r="K98" s="607"/>
      <c r="L98" s="607"/>
      <c r="M98" s="607"/>
      <c r="N98" s="607"/>
      <c r="O98" s="607">
        <f t="shared" si="17"/>
        <v>0</v>
      </c>
      <c r="P98" s="607"/>
      <c r="Q98" s="607"/>
      <c r="R98" s="607"/>
      <c r="S98" s="607"/>
      <c r="T98" s="607"/>
      <c r="U98" s="607">
        <f t="shared" si="18"/>
        <v>0</v>
      </c>
      <c r="V98" s="608"/>
      <c r="W98" s="609">
        <f t="shared" si="19"/>
        <v>0</v>
      </c>
    </row>
    <row r="99" spans="1:23" ht="24.95" hidden="1" customHeight="1" x14ac:dyDescent="0.2">
      <c r="A99" s="40"/>
      <c r="B99" s="32"/>
      <c r="C99" s="41"/>
      <c r="D99" s="171"/>
      <c r="E99" s="171"/>
      <c r="F99" s="171"/>
      <c r="G99" s="171"/>
      <c r="H99" s="607"/>
      <c r="I99" s="607"/>
      <c r="J99" s="607"/>
      <c r="K99" s="607"/>
      <c r="L99" s="607"/>
      <c r="M99" s="607"/>
      <c r="N99" s="607"/>
      <c r="O99" s="607">
        <f t="shared" si="17"/>
        <v>0</v>
      </c>
      <c r="P99" s="607"/>
      <c r="Q99" s="607"/>
      <c r="R99" s="607"/>
      <c r="S99" s="607"/>
      <c r="T99" s="607"/>
      <c r="U99" s="607">
        <f t="shared" si="18"/>
        <v>0</v>
      </c>
      <c r="V99" s="608"/>
      <c r="W99" s="609">
        <f t="shared" si="19"/>
        <v>0</v>
      </c>
    </row>
    <row r="100" spans="1:23" ht="24.95" hidden="1" customHeight="1" x14ac:dyDescent="0.2">
      <c r="A100" s="40"/>
      <c r="B100" s="31"/>
      <c r="C100" s="41"/>
      <c r="D100" s="171"/>
      <c r="E100" s="171"/>
      <c r="F100" s="171"/>
      <c r="G100" s="171"/>
      <c r="H100" s="607"/>
      <c r="I100" s="607"/>
      <c r="J100" s="607"/>
      <c r="K100" s="607"/>
      <c r="L100" s="607"/>
      <c r="M100" s="607"/>
      <c r="N100" s="607"/>
      <c r="O100" s="607">
        <f t="shared" si="17"/>
        <v>0</v>
      </c>
      <c r="P100" s="607"/>
      <c r="Q100" s="607"/>
      <c r="R100" s="607"/>
      <c r="S100" s="607"/>
      <c r="T100" s="607"/>
      <c r="U100" s="607">
        <f t="shared" si="18"/>
        <v>0</v>
      </c>
      <c r="V100" s="608"/>
      <c r="W100" s="609">
        <f t="shared" si="19"/>
        <v>0</v>
      </c>
    </row>
    <row r="101" spans="1:23" ht="24.95" hidden="1" customHeight="1" x14ac:dyDescent="0.2">
      <c r="A101" s="40"/>
      <c r="B101" s="31"/>
      <c r="C101" s="41"/>
      <c r="D101" s="171"/>
      <c r="E101" s="171"/>
      <c r="F101" s="171"/>
      <c r="G101" s="171"/>
      <c r="H101" s="607"/>
      <c r="I101" s="607"/>
      <c r="J101" s="607"/>
      <c r="K101" s="607"/>
      <c r="L101" s="607"/>
      <c r="M101" s="607"/>
      <c r="N101" s="607"/>
      <c r="O101" s="607">
        <f t="shared" si="17"/>
        <v>0</v>
      </c>
      <c r="P101" s="607"/>
      <c r="Q101" s="607"/>
      <c r="R101" s="607"/>
      <c r="S101" s="607"/>
      <c r="T101" s="607"/>
      <c r="U101" s="607">
        <f t="shared" si="18"/>
        <v>0</v>
      </c>
      <c r="V101" s="608"/>
      <c r="W101" s="609">
        <f t="shared" si="19"/>
        <v>0</v>
      </c>
    </row>
    <row r="102" spans="1:23" ht="24.95" hidden="1" customHeight="1" x14ac:dyDescent="0.2">
      <c r="A102" s="40"/>
      <c r="B102" s="31"/>
      <c r="C102" s="41"/>
      <c r="D102" s="171"/>
      <c r="E102" s="171"/>
      <c r="F102" s="171"/>
      <c r="G102" s="171"/>
      <c r="H102" s="607"/>
      <c r="I102" s="607"/>
      <c r="J102" s="607"/>
      <c r="K102" s="607"/>
      <c r="L102" s="607"/>
      <c r="M102" s="607"/>
      <c r="N102" s="607"/>
      <c r="O102" s="607">
        <f t="shared" si="17"/>
        <v>0</v>
      </c>
      <c r="P102" s="607"/>
      <c r="Q102" s="607"/>
      <c r="R102" s="607"/>
      <c r="S102" s="607"/>
      <c r="T102" s="607"/>
      <c r="U102" s="607">
        <f t="shared" si="18"/>
        <v>0</v>
      </c>
      <c r="V102" s="608"/>
      <c r="W102" s="609">
        <f t="shared" si="19"/>
        <v>0</v>
      </c>
    </row>
    <row r="103" spans="1:23" ht="24.95" hidden="1" customHeight="1" thickBot="1" x14ac:dyDescent="0.25">
      <c r="A103" s="40"/>
      <c r="B103" s="32"/>
      <c r="C103" s="34"/>
      <c r="D103" s="171"/>
      <c r="E103" s="171"/>
      <c r="F103" s="171"/>
      <c r="G103" s="171"/>
      <c r="H103" s="607"/>
      <c r="I103" s="607"/>
      <c r="J103" s="607"/>
      <c r="K103" s="607"/>
      <c r="L103" s="607"/>
      <c r="M103" s="607"/>
      <c r="N103" s="607"/>
      <c r="O103" s="607">
        <f t="shared" si="17"/>
        <v>0</v>
      </c>
      <c r="P103" s="607"/>
      <c r="Q103" s="607"/>
      <c r="R103" s="607"/>
      <c r="S103" s="607"/>
      <c r="T103" s="607"/>
      <c r="U103" s="607">
        <f t="shared" si="18"/>
        <v>0</v>
      </c>
      <c r="V103" s="608"/>
      <c r="W103" s="609"/>
    </row>
    <row r="104" spans="1:23" ht="24.95" hidden="1" customHeight="1" thickTop="1" thickBot="1" x14ac:dyDescent="0.25">
      <c r="A104" s="42"/>
      <c r="B104" s="112" t="s">
        <v>58</v>
      </c>
      <c r="C104" s="44" t="s">
        <v>19</v>
      </c>
      <c r="D104" s="175">
        <f t="shared" ref="D104:Q104" si="20">SUM(D93:D96)</f>
        <v>0</v>
      </c>
      <c r="E104" s="175">
        <f t="shared" si="20"/>
        <v>0</v>
      </c>
      <c r="F104" s="175">
        <f t="shared" si="20"/>
        <v>0</v>
      </c>
      <c r="G104" s="175">
        <f t="shared" si="20"/>
        <v>0</v>
      </c>
      <c r="H104" s="205">
        <f t="shared" si="20"/>
        <v>0</v>
      </c>
      <c r="I104" s="205">
        <f t="shared" si="20"/>
        <v>0</v>
      </c>
      <c r="J104" s="205">
        <f t="shared" si="20"/>
        <v>0</v>
      </c>
      <c r="K104" s="205">
        <f t="shared" si="20"/>
        <v>0</v>
      </c>
      <c r="L104" s="205">
        <f t="shared" si="20"/>
        <v>0</v>
      </c>
      <c r="M104" s="205">
        <f t="shared" si="20"/>
        <v>0</v>
      </c>
      <c r="N104" s="205">
        <f>SUM(N93:N96)</f>
        <v>0</v>
      </c>
      <c r="O104" s="205">
        <f t="shared" si="20"/>
        <v>0</v>
      </c>
      <c r="P104" s="205"/>
      <c r="Q104" s="205">
        <f t="shared" si="20"/>
        <v>0</v>
      </c>
      <c r="R104" s="205">
        <f>SUM(R93:R96)</f>
        <v>0</v>
      </c>
      <c r="S104" s="205"/>
      <c r="T104" s="205">
        <f>SUM(T93:T96)</f>
        <v>0</v>
      </c>
      <c r="U104" s="205">
        <f>SUM(U93:U96)</f>
        <v>0</v>
      </c>
      <c r="V104" s="605"/>
      <c r="W104" s="606">
        <f>SUM(W93:W96)</f>
        <v>0</v>
      </c>
    </row>
    <row r="105" spans="1:23" ht="24.95" customHeight="1" thickTop="1" thickBot="1" x14ac:dyDescent="0.25">
      <c r="A105" s="42"/>
      <c r="B105" s="324">
        <v>43008</v>
      </c>
      <c r="C105" s="44" t="s">
        <v>141</v>
      </c>
      <c r="D105" s="204">
        <f t="shared" ref="D105:O105" si="21">D46+D92+D104</f>
        <v>2397133.162</v>
      </c>
      <c r="E105" s="204">
        <f t="shared" si="21"/>
        <v>89858.422000000006</v>
      </c>
      <c r="F105" s="204">
        <f t="shared" si="21"/>
        <v>53372</v>
      </c>
      <c r="G105" s="204">
        <f t="shared" si="21"/>
        <v>8425306</v>
      </c>
      <c r="H105" s="316">
        <f t="shared" si="21"/>
        <v>2509572.483</v>
      </c>
      <c r="I105" s="316">
        <f t="shared" si="21"/>
        <v>4078</v>
      </c>
      <c r="J105" s="316">
        <f t="shared" si="21"/>
        <v>200000</v>
      </c>
      <c r="K105" s="316">
        <f t="shared" si="21"/>
        <v>88107.205000000002</v>
      </c>
      <c r="L105" s="316">
        <f t="shared" si="21"/>
        <v>1363463</v>
      </c>
      <c r="M105" s="316">
        <f t="shared" si="21"/>
        <v>17800</v>
      </c>
      <c r="N105" s="316">
        <f t="shared" si="21"/>
        <v>0</v>
      </c>
      <c r="O105" s="316">
        <f t="shared" si="21"/>
        <v>15148690.272</v>
      </c>
      <c r="P105" s="316"/>
      <c r="Q105" s="316">
        <f>Q46+Q92+Q104</f>
        <v>6715000</v>
      </c>
      <c r="R105" s="316">
        <f>R46+R92+R104</f>
        <v>3532804.4679999999</v>
      </c>
      <c r="S105" s="316">
        <f>S46+S92+S104</f>
        <v>0</v>
      </c>
      <c r="T105" s="316">
        <f>T46+T92+T104</f>
        <v>0</v>
      </c>
      <c r="U105" s="316">
        <f>U46+U92+U104</f>
        <v>10247804.468</v>
      </c>
      <c r="V105" s="410"/>
      <c r="W105" s="606">
        <f>W46+W92+W104</f>
        <v>25396494.739999998</v>
      </c>
    </row>
    <row r="106" spans="1:23" ht="24.95" customHeight="1" thickTop="1" thickBot="1" x14ac:dyDescent="0.25">
      <c r="A106" s="40"/>
      <c r="B106" s="50"/>
      <c r="C106" s="5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2"/>
      <c r="V106" s="332"/>
      <c r="W106" s="173"/>
    </row>
    <row r="107" spans="1:23" ht="24.95" customHeight="1" thickTop="1" thickBot="1" x14ac:dyDescent="0.3">
      <c r="C107" s="2" t="s">
        <v>92</v>
      </c>
      <c r="D107" s="289">
        <v>2397133</v>
      </c>
      <c r="E107" s="289">
        <v>89858</v>
      </c>
      <c r="F107" s="289">
        <v>53372</v>
      </c>
      <c r="G107" s="289">
        <v>8425306</v>
      </c>
      <c r="H107" s="289">
        <v>2509572</v>
      </c>
      <c r="I107" s="289">
        <v>4078</v>
      </c>
      <c r="J107" s="289">
        <v>200000</v>
      </c>
      <c r="K107" s="289">
        <v>88107</v>
      </c>
      <c r="L107" s="289">
        <v>1363463</v>
      </c>
      <c r="M107" s="289">
        <v>17800</v>
      </c>
      <c r="N107" s="289">
        <v>0</v>
      </c>
      <c r="O107" s="289">
        <v>15148690</v>
      </c>
      <c r="P107" s="289"/>
      <c r="Q107" s="289">
        <v>6715000</v>
      </c>
      <c r="R107" s="289">
        <v>3532804.4679999999</v>
      </c>
      <c r="S107" s="289">
        <v>0</v>
      </c>
      <c r="T107" s="289">
        <v>0</v>
      </c>
      <c r="U107" s="323">
        <v>10247804</v>
      </c>
      <c r="V107" s="323"/>
      <c r="W107" s="628">
        <v>25396495</v>
      </c>
    </row>
    <row r="108" spans="1:23" ht="24.95" customHeight="1" thickTop="1" x14ac:dyDescent="0.25"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</row>
    <row r="109" spans="1:23" ht="24.95" customHeight="1" x14ac:dyDescent="0.25">
      <c r="C109" s="2" t="s">
        <v>90</v>
      </c>
      <c r="D109" s="170">
        <f>D107-D105</f>
        <v>-0.16200000001117587</v>
      </c>
      <c r="E109" s="170">
        <f t="shared" ref="E109:W109" si="22">E107-E105</f>
        <v>-0.42200000000593718</v>
      </c>
      <c r="F109" s="170">
        <f t="shared" si="22"/>
        <v>0</v>
      </c>
      <c r="G109" s="170">
        <f t="shared" si="22"/>
        <v>0</v>
      </c>
      <c r="H109" s="170">
        <f t="shared" si="22"/>
        <v>-0.48300000000745058</v>
      </c>
      <c r="I109" s="170">
        <f t="shared" si="22"/>
        <v>0</v>
      </c>
      <c r="J109" s="170">
        <f t="shared" si="22"/>
        <v>0</v>
      </c>
      <c r="K109" s="170">
        <f t="shared" si="22"/>
        <v>-0.20500000000174623</v>
      </c>
      <c r="L109" s="170">
        <f t="shared" si="22"/>
        <v>0</v>
      </c>
      <c r="M109" s="170">
        <f t="shared" si="22"/>
        <v>0</v>
      </c>
      <c r="N109" s="170">
        <f t="shared" si="22"/>
        <v>0</v>
      </c>
      <c r="O109" s="170">
        <f t="shared" si="22"/>
        <v>-0.27199999988079071</v>
      </c>
      <c r="P109" s="170"/>
      <c r="Q109" s="170">
        <f t="shared" si="22"/>
        <v>0</v>
      </c>
      <c r="R109" s="170">
        <f t="shared" si="22"/>
        <v>0</v>
      </c>
      <c r="S109" s="170">
        <f t="shared" si="22"/>
        <v>0</v>
      </c>
      <c r="T109" s="170">
        <f t="shared" si="22"/>
        <v>0</v>
      </c>
      <c r="U109" s="170">
        <f t="shared" si="22"/>
        <v>-0.46800000034272671</v>
      </c>
      <c r="V109" s="170"/>
      <c r="W109" s="170">
        <f t="shared" si="22"/>
        <v>0.26000000163912773</v>
      </c>
    </row>
    <row r="110" spans="1:23" ht="24.95" customHeight="1" x14ac:dyDescent="0.25"/>
    <row r="111" spans="1:23" ht="24.95" customHeight="1" x14ac:dyDescent="0.25"/>
    <row r="112" spans="1:23" ht="24.95" customHeight="1" x14ac:dyDescent="0.25">
      <c r="R112" s="29"/>
    </row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405" spans="9:9" x14ac:dyDescent="0.25">
      <c r="I405" s="52">
        <f>-10437-1367-86-236+13-6357-200+31+71-310-1500-799-55-443-3970</f>
        <v>-25645</v>
      </c>
    </row>
  </sheetData>
  <mergeCells count="5">
    <mergeCell ref="D7:F7"/>
    <mergeCell ref="J7:K7"/>
    <mergeCell ref="Q7:T7"/>
    <mergeCell ref="A2:W2"/>
    <mergeCell ref="A4:W4"/>
  </mergeCells>
  <phoneticPr fontId="3" type="noConversion"/>
  <printOptions horizontalCentered="1"/>
  <pageMargins left="0" right="0" top="0.74803149606299213" bottom="0.70866141732283472" header="7.874015748031496E-2" footer="7.874015748031496E-2"/>
  <pageSetup paperSize="9" scale="44" firstPageNumber="0" orientation="landscape" horizontalDpi="300" verticalDpi="300" r:id="rId1"/>
  <headerFooter alignWithMargins="0">
    <oddFooter>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91"/>
  <sheetViews>
    <sheetView zoomScale="71" zoomScaleNormal="71" workbookViewId="0"/>
  </sheetViews>
  <sheetFormatPr defaultRowHeight="16.5" x14ac:dyDescent="0.25"/>
  <cols>
    <col min="1" max="1" width="5.28515625" style="93" customWidth="1"/>
    <col min="2" max="2" width="10.7109375" style="1" hidden="1" customWidth="1"/>
    <col min="3" max="3" width="53.7109375" style="2" customWidth="1"/>
    <col min="4" max="5" width="12.7109375" style="2" customWidth="1"/>
    <col min="6" max="6" width="13.5703125" style="2" customWidth="1"/>
    <col min="7" max="9" width="12.7109375" style="2" customWidth="1"/>
    <col min="10" max="10" width="13.7109375" style="2" customWidth="1"/>
    <col min="11" max="11" width="14.85546875" style="2" customWidth="1"/>
    <col min="12" max="12" width="14.140625" style="2" customWidth="1"/>
    <col min="13" max="17" width="12.7109375" style="2" customWidth="1"/>
    <col min="18" max="18" width="14.7109375" style="2" customWidth="1"/>
    <col min="19" max="19" width="1.7109375" style="2" customWidth="1"/>
    <col min="20" max="20" width="13.5703125" style="2" customWidth="1"/>
    <col min="21" max="21" width="14.140625" style="2" customWidth="1"/>
    <col min="22" max="22" width="12.7109375" style="2" customWidth="1"/>
    <col min="23" max="23" width="10.7109375" style="2" customWidth="1"/>
    <col min="24" max="24" width="13.5703125" style="2" customWidth="1"/>
    <col min="25" max="25" width="15.28515625" style="2" customWidth="1"/>
    <col min="26" max="26" width="16.7109375" style="53" customWidth="1"/>
    <col min="27" max="27" width="18.28515625" style="53" customWidth="1"/>
    <col min="28" max="28" width="16.28515625" style="53" customWidth="1"/>
    <col min="29" max="31" width="10.42578125" style="53" customWidth="1"/>
    <col min="32" max="32" width="12.28515625" style="53" customWidth="1"/>
    <col min="33" max="33" width="14" style="53" customWidth="1"/>
    <col min="34" max="34" width="12.28515625" style="53" customWidth="1"/>
    <col min="35" max="36" width="10.42578125" style="53" customWidth="1"/>
    <col min="37" max="37" width="12.28515625" style="53" customWidth="1"/>
    <col min="38" max="38" width="9.140625" style="53"/>
    <col min="39" max="40" width="10.42578125" style="53" customWidth="1"/>
    <col min="41" max="41" width="12.28515625" style="53" customWidth="1"/>
    <col min="42" max="42" width="12.7109375" style="53" customWidth="1"/>
    <col min="43" max="16384" width="9.140625" style="2"/>
  </cols>
  <sheetData>
    <row r="1" spans="1:42" ht="16.5" customHeight="1" x14ac:dyDescent="0.25">
      <c r="Z1" s="186" t="s">
        <v>86</v>
      </c>
      <c r="AA1" s="186"/>
    </row>
    <row r="2" spans="1:42" ht="30" customHeight="1" x14ac:dyDescent="0.2">
      <c r="A2" s="654" t="s">
        <v>0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4"/>
      <c r="R2" s="654"/>
      <c r="S2" s="654"/>
      <c r="T2" s="654"/>
      <c r="U2" s="654"/>
      <c r="V2" s="654"/>
      <c r="W2" s="654"/>
      <c r="X2" s="654"/>
      <c r="Y2" s="654"/>
      <c r="Z2" s="654"/>
      <c r="AA2" s="337"/>
    </row>
    <row r="3" spans="1:42" ht="30" customHeight="1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337"/>
    </row>
    <row r="4" spans="1:42" ht="50.1" customHeight="1" x14ac:dyDescent="0.2">
      <c r="A4" s="655" t="s">
        <v>579</v>
      </c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  <c r="X4" s="654"/>
      <c r="Y4" s="654"/>
      <c r="Z4" s="654"/>
      <c r="AA4" s="337"/>
    </row>
    <row r="5" spans="1:42" ht="24.95" customHeight="1" x14ac:dyDescent="0.2">
      <c r="A5" s="429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337"/>
    </row>
    <row r="6" spans="1:42" ht="17.25" customHeight="1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6" t="s">
        <v>1</v>
      </c>
      <c r="AA6" s="338"/>
    </row>
    <row r="7" spans="1:42" ht="17.25" thickBot="1" x14ac:dyDescent="0.3">
      <c r="A7" s="55"/>
      <c r="B7" s="8"/>
      <c r="C7" s="9"/>
      <c r="D7" s="656" t="s">
        <v>28</v>
      </c>
      <c r="E7" s="656"/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6"/>
      <c r="Q7" s="656"/>
      <c r="R7" s="656"/>
      <c r="S7" s="656"/>
      <c r="T7" s="656"/>
      <c r="U7" s="656"/>
      <c r="V7" s="656"/>
      <c r="W7" s="656"/>
      <c r="X7" s="656"/>
      <c r="Y7" s="656"/>
      <c r="Z7" s="6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ht="17.25" customHeight="1" thickTop="1" x14ac:dyDescent="0.25">
      <c r="A8" s="57"/>
      <c r="B8" s="12"/>
      <c r="C8" s="13"/>
      <c r="D8" s="657" t="s">
        <v>157</v>
      </c>
      <c r="E8" s="658"/>
      <c r="F8" s="658"/>
      <c r="G8" s="658"/>
      <c r="H8" s="658"/>
      <c r="I8" s="658"/>
      <c r="J8" s="658"/>
      <c r="K8" s="659"/>
      <c r="L8" s="660" t="s">
        <v>158</v>
      </c>
      <c r="M8" s="661"/>
      <c r="N8" s="661"/>
      <c r="O8" s="661"/>
      <c r="P8" s="661"/>
      <c r="Q8" s="659"/>
      <c r="R8" s="465" t="s">
        <v>126</v>
      </c>
      <c r="S8" s="443"/>
      <c r="T8" s="660" t="s">
        <v>159</v>
      </c>
      <c r="U8" s="661"/>
      <c r="V8" s="661"/>
      <c r="W8" s="662"/>
      <c r="X8" s="447" t="s">
        <v>137</v>
      </c>
      <c r="Y8" s="354" t="s">
        <v>2</v>
      </c>
      <c r="Z8" s="366"/>
      <c r="AA8" s="56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6"/>
    </row>
    <row r="9" spans="1:42" x14ac:dyDescent="0.25">
      <c r="A9" s="18" t="s">
        <v>8</v>
      </c>
      <c r="B9" s="12"/>
      <c r="C9" s="13" t="s">
        <v>3</v>
      </c>
      <c r="D9" s="58"/>
      <c r="E9" s="202" t="s">
        <v>33</v>
      </c>
      <c r="F9" s="59"/>
      <c r="G9" s="59" t="s">
        <v>29</v>
      </c>
      <c r="H9" s="59" t="s">
        <v>112</v>
      </c>
      <c r="I9" s="59" t="s">
        <v>113</v>
      </c>
      <c r="J9" s="59" t="s">
        <v>113</v>
      </c>
      <c r="K9" s="202"/>
      <c r="L9" s="59"/>
      <c r="M9" s="59"/>
      <c r="N9" s="59" t="s">
        <v>4</v>
      </c>
      <c r="O9" s="59" t="s">
        <v>142</v>
      </c>
      <c r="P9" s="60" t="s">
        <v>143</v>
      </c>
      <c r="Q9" s="202" t="s">
        <v>4</v>
      </c>
      <c r="R9" s="444" t="s">
        <v>127</v>
      </c>
      <c r="S9" s="444"/>
      <c r="T9" s="17" t="s">
        <v>144</v>
      </c>
      <c r="U9" s="17" t="s">
        <v>145</v>
      </c>
      <c r="V9" s="17" t="s">
        <v>216</v>
      </c>
      <c r="W9" s="17" t="s">
        <v>4</v>
      </c>
      <c r="X9" s="448" t="s">
        <v>138</v>
      </c>
      <c r="Y9" s="355" t="s">
        <v>31</v>
      </c>
      <c r="Z9" s="240" t="s">
        <v>30</v>
      </c>
      <c r="AA9" s="56"/>
      <c r="AB9" s="4"/>
      <c r="AC9" s="4"/>
      <c r="AD9" s="4"/>
      <c r="AE9" s="4"/>
      <c r="AF9" s="4"/>
      <c r="AG9" s="4"/>
      <c r="AH9" s="4"/>
      <c r="AI9" s="4"/>
      <c r="AJ9" s="653"/>
      <c r="AK9" s="653"/>
      <c r="AL9" s="4"/>
      <c r="AM9" s="4"/>
      <c r="AN9" s="4"/>
      <c r="AO9" s="4"/>
      <c r="AP9" s="56"/>
    </row>
    <row r="10" spans="1:42" ht="16.5" customHeight="1" x14ac:dyDescent="0.25">
      <c r="A10" s="11"/>
      <c r="B10" s="12"/>
      <c r="C10" s="13" t="s">
        <v>9</v>
      </c>
      <c r="D10" s="59" t="s">
        <v>32</v>
      </c>
      <c r="E10" s="59" t="s">
        <v>70</v>
      </c>
      <c r="F10" s="59" t="s">
        <v>34</v>
      </c>
      <c r="G10" s="59" t="s">
        <v>35</v>
      </c>
      <c r="H10" s="59" t="s">
        <v>114</v>
      </c>
      <c r="I10" s="59" t="s">
        <v>72</v>
      </c>
      <c r="J10" s="59" t="s">
        <v>72</v>
      </c>
      <c r="K10" s="59" t="s">
        <v>38</v>
      </c>
      <c r="L10" s="59" t="s">
        <v>146</v>
      </c>
      <c r="M10" s="59" t="s">
        <v>147</v>
      </c>
      <c r="N10" s="59" t="s">
        <v>148</v>
      </c>
      <c r="O10" s="59" t="s">
        <v>149</v>
      </c>
      <c r="P10" s="59" t="s">
        <v>46</v>
      </c>
      <c r="Q10" s="59" t="s">
        <v>148</v>
      </c>
      <c r="R10" s="445" t="s">
        <v>36</v>
      </c>
      <c r="S10" s="445"/>
      <c r="T10" s="13" t="s">
        <v>150</v>
      </c>
      <c r="U10" s="13" t="s">
        <v>131</v>
      </c>
      <c r="V10" s="13" t="s">
        <v>217</v>
      </c>
      <c r="W10" s="17" t="s">
        <v>173</v>
      </c>
      <c r="X10" s="392" t="s">
        <v>36</v>
      </c>
      <c r="Y10" s="355" t="s">
        <v>12</v>
      </c>
      <c r="Z10" s="240" t="s">
        <v>39</v>
      </c>
      <c r="AA10" s="56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6"/>
    </row>
    <row r="11" spans="1:42" x14ac:dyDescent="0.25">
      <c r="A11" s="57"/>
      <c r="B11" s="12"/>
      <c r="C11" s="13" t="s">
        <v>13</v>
      </c>
      <c r="D11" s="59" t="s">
        <v>40</v>
      </c>
      <c r="E11" s="59" t="s">
        <v>45</v>
      </c>
      <c r="F11" s="59" t="s">
        <v>36</v>
      </c>
      <c r="G11" s="59" t="s">
        <v>41</v>
      </c>
      <c r="H11" s="59" t="s">
        <v>116</v>
      </c>
      <c r="I11" s="59" t="s">
        <v>117</v>
      </c>
      <c r="J11" s="59" t="s">
        <v>117</v>
      </c>
      <c r="K11" s="59"/>
      <c r="L11" s="59"/>
      <c r="M11" s="59"/>
      <c r="N11" s="59" t="s">
        <v>72</v>
      </c>
      <c r="O11" s="59" t="s">
        <v>42</v>
      </c>
      <c r="P11" s="59"/>
      <c r="Q11" s="59" t="s">
        <v>72</v>
      </c>
      <c r="R11" s="445" t="s">
        <v>12</v>
      </c>
      <c r="S11" s="445"/>
      <c r="T11" s="13" t="s">
        <v>151</v>
      </c>
      <c r="U11" s="13" t="s">
        <v>133</v>
      </c>
      <c r="V11" s="13" t="s">
        <v>220</v>
      </c>
      <c r="W11" s="17" t="s">
        <v>174</v>
      </c>
      <c r="X11" s="392" t="s">
        <v>12</v>
      </c>
      <c r="Y11" s="103" t="s">
        <v>163</v>
      </c>
      <c r="Z11" s="240" t="s">
        <v>44</v>
      </c>
      <c r="AA11" s="339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56"/>
    </row>
    <row r="12" spans="1:42" x14ac:dyDescent="0.25">
      <c r="A12" s="57"/>
      <c r="B12" s="12"/>
      <c r="C12" s="13"/>
      <c r="D12" s="61"/>
      <c r="E12" s="59" t="s">
        <v>164</v>
      </c>
      <c r="F12" s="59"/>
      <c r="G12" s="130"/>
      <c r="H12" s="62"/>
      <c r="I12" s="130" t="s">
        <v>152</v>
      </c>
      <c r="J12" s="130" t="s">
        <v>153</v>
      </c>
      <c r="K12" s="59"/>
      <c r="L12" s="62"/>
      <c r="M12" s="59"/>
      <c r="N12" s="59" t="s">
        <v>154</v>
      </c>
      <c r="O12" s="59" t="s">
        <v>155</v>
      </c>
      <c r="P12" s="59"/>
      <c r="Q12" s="59" t="s">
        <v>155</v>
      </c>
      <c r="R12" s="446" t="s">
        <v>161</v>
      </c>
      <c r="S12" s="446"/>
      <c r="T12" s="13" t="s">
        <v>156</v>
      </c>
      <c r="U12" s="13" t="s">
        <v>43</v>
      </c>
      <c r="V12" s="13" t="s">
        <v>221</v>
      </c>
      <c r="W12" s="13" t="s">
        <v>36</v>
      </c>
      <c r="X12" s="339" t="s">
        <v>162</v>
      </c>
      <c r="Y12" s="355"/>
      <c r="Z12" s="240"/>
      <c r="AA12" s="56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56"/>
    </row>
    <row r="13" spans="1:42" hidden="1" x14ac:dyDescent="0.25">
      <c r="A13" s="121"/>
      <c r="B13" s="114"/>
      <c r="C13" s="115"/>
      <c r="D13" s="116" t="s">
        <v>179</v>
      </c>
      <c r="E13" s="16" t="s">
        <v>180</v>
      </c>
      <c r="F13" s="16" t="s">
        <v>181</v>
      </c>
      <c r="G13" s="17" t="s">
        <v>182</v>
      </c>
      <c r="H13" s="122" t="s">
        <v>183</v>
      </c>
      <c r="I13" s="13" t="s">
        <v>184</v>
      </c>
      <c r="J13" s="17" t="s">
        <v>185</v>
      </c>
      <c r="K13" s="115" t="s">
        <v>186</v>
      </c>
      <c r="L13" s="122" t="s">
        <v>187</v>
      </c>
      <c r="M13" s="122" t="s">
        <v>188</v>
      </c>
      <c r="N13" s="122" t="s">
        <v>189</v>
      </c>
      <c r="O13" s="123" t="s">
        <v>190</v>
      </c>
      <c r="P13" s="115" t="s">
        <v>191</v>
      </c>
      <c r="Q13" s="115" t="s">
        <v>192</v>
      </c>
      <c r="R13" s="115"/>
      <c r="S13" s="115"/>
      <c r="T13" s="115" t="s">
        <v>193</v>
      </c>
      <c r="U13" s="115" t="s">
        <v>194</v>
      </c>
      <c r="V13" s="115" t="s">
        <v>195</v>
      </c>
      <c r="W13" s="124" t="s">
        <v>196</v>
      </c>
      <c r="X13" s="436"/>
      <c r="Y13" s="356"/>
      <c r="Z13" s="241"/>
      <c r="AA13" s="56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56"/>
    </row>
    <row r="14" spans="1:42" ht="18" customHeight="1" thickBot="1" x14ac:dyDescent="0.3">
      <c r="A14" s="192">
        <v>1</v>
      </c>
      <c r="B14" s="218"/>
      <c r="C14" s="215">
        <v>2</v>
      </c>
      <c r="D14" s="215">
        <v>3</v>
      </c>
      <c r="E14" s="215">
        <v>4</v>
      </c>
      <c r="F14" s="215">
        <v>5</v>
      </c>
      <c r="G14" s="215">
        <v>6</v>
      </c>
      <c r="H14" s="215">
        <v>7</v>
      </c>
      <c r="I14" s="215">
        <v>8</v>
      </c>
      <c r="J14" s="215">
        <v>9</v>
      </c>
      <c r="K14" s="215">
        <v>10</v>
      </c>
      <c r="L14" s="215">
        <v>11</v>
      </c>
      <c r="M14" s="215">
        <v>12</v>
      </c>
      <c r="N14" s="215">
        <v>13</v>
      </c>
      <c r="O14" s="215">
        <v>14</v>
      </c>
      <c r="P14" s="215">
        <v>15</v>
      </c>
      <c r="Q14" s="215">
        <v>16</v>
      </c>
      <c r="R14" s="215">
        <v>17</v>
      </c>
      <c r="S14" s="215"/>
      <c r="T14" s="215">
        <v>18</v>
      </c>
      <c r="U14" s="215">
        <v>19</v>
      </c>
      <c r="V14" s="215">
        <v>20</v>
      </c>
      <c r="W14" s="215">
        <v>21</v>
      </c>
      <c r="X14" s="449">
        <v>22</v>
      </c>
      <c r="Y14" s="357">
        <v>23</v>
      </c>
      <c r="Z14" s="242">
        <v>24</v>
      </c>
      <c r="AA14" s="340"/>
      <c r="AB14" s="4"/>
      <c r="AC14" s="4"/>
      <c r="AD14" s="4"/>
      <c r="AE14" s="4"/>
      <c r="AF14" s="4"/>
      <c r="AG14" s="4"/>
      <c r="AH14" s="4"/>
      <c r="AI14" s="4"/>
      <c r="AJ14" s="653"/>
      <c r="AK14" s="653"/>
      <c r="AL14" s="4"/>
      <c r="AM14" s="4"/>
      <c r="AN14" s="4"/>
      <c r="AO14" s="4"/>
      <c r="AP14" s="4"/>
    </row>
    <row r="15" spans="1:42" s="67" customFormat="1" ht="19.5" hidden="1" customHeight="1" x14ac:dyDescent="0.3">
      <c r="A15" s="63"/>
      <c r="B15" s="152"/>
      <c r="C15" s="64" t="s">
        <v>63</v>
      </c>
      <c r="D15" s="153">
        <v>145173</v>
      </c>
      <c r="E15" s="153">
        <v>34171</v>
      </c>
      <c r="F15" s="153">
        <v>4363936.5040000007</v>
      </c>
      <c r="G15" s="153">
        <v>172165</v>
      </c>
      <c r="H15" s="153">
        <v>150591.49600000001</v>
      </c>
      <c r="I15" s="153">
        <v>54512</v>
      </c>
      <c r="J15" s="153">
        <v>669332</v>
      </c>
      <c r="K15" s="153">
        <v>2321814</v>
      </c>
      <c r="L15" s="153">
        <v>1878399</v>
      </c>
      <c r="M15" s="153">
        <v>25420</v>
      </c>
      <c r="N15" s="153">
        <v>600</v>
      </c>
      <c r="O15" s="153">
        <v>10000</v>
      </c>
      <c r="P15" s="153">
        <v>0</v>
      </c>
      <c r="Q15" s="153">
        <v>440628</v>
      </c>
      <c r="R15" s="418">
        <f>SUM(D15:Q15)</f>
        <v>10266742</v>
      </c>
      <c r="S15" s="418"/>
      <c r="T15" s="153">
        <v>0</v>
      </c>
      <c r="U15" s="153">
        <v>0</v>
      </c>
      <c r="V15" s="153">
        <v>66267</v>
      </c>
      <c r="W15" s="153">
        <v>0</v>
      </c>
      <c r="X15" s="450">
        <f>SUM(T15:W15)</f>
        <v>66267</v>
      </c>
      <c r="Y15" s="358">
        <f>R15+X15</f>
        <v>10333009</v>
      </c>
      <c r="Z15" s="245">
        <v>6295958</v>
      </c>
      <c r="AA15" s="341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6"/>
    </row>
    <row r="16" spans="1:42" ht="20.100000000000001" hidden="1" customHeight="1" x14ac:dyDescent="0.25">
      <c r="A16" s="68"/>
      <c r="B16" s="138" t="s">
        <v>60</v>
      </c>
      <c r="C16" s="41" t="s">
        <v>100</v>
      </c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3"/>
      <c r="Y16" s="203">
        <f>SUM(D16:W16)</f>
        <v>0</v>
      </c>
      <c r="Z16" s="244"/>
      <c r="AA16" s="342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70"/>
    </row>
    <row r="17" spans="1:42" ht="20.100000000000001" hidden="1" customHeight="1" x14ac:dyDescent="0.25">
      <c r="A17" s="158"/>
      <c r="B17" s="27"/>
      <c r="C17" s="24" t="s">
        <v>18</v>
      </c>
      <c r="D17" s="153">
        <f>SUM(D15:D16)</f>
        <v>145173</v>
      </c>
      <c r="E17" s="153">
        <f t="shared" ref="E17:W17" si="0">SUM(E15:E16)</f>
        <v>34171</v>
      </c>
      <c r="F17" s="153">
        <f t="shared" si="0"/>
        <v>4363936.5040000007</v>
      </c>
      <c r="G17" s="153">
        <f t="shared" si="0"/>
        <v>172165</v>
      </c>
      <c r="H17" s="153">
        <f t="shared" si="0"/>
        <v>150591.49600000001</v>
      </c>
      <c r="I17" s="153">
        <f t="shared" si="0"/>
        <v>54512</v>
      </c>
      <c r="J17" s="153">
        <f t="shared" si="0"/>
        <v>669332</v>
      </c>
      <c r="K17" s="153">
        <f t="shared" si="0"/>
        <v>2321814</v>
      </c>
      <c r="L17" s="153">
        <f t="shared" si="0"/>
        <v>1878399</v>
      </c>
      <c r="M17" s="153">
        <f t="shared" si="0"/>
        <v>25420</v>
      </c>
      <c r="N17" s="153">
        <f t="shared" si="0"/>
        <v>600</v>
      </c>
      <c r="O17" s="153">
        <f t="shared" si="0"/>
        <v>10000</v>
      </c>
      <c r="P17" s="153">
        <f t="shared" si="0"/>
        <v>0</v>
      </c>
      <c r="Q17" s="153">
        <f t="shared" si="0"/>
        <v>440628</v>
      </c>
      <c r="R17" s="153"/>
      <c r="S17" s="153"/>
      <c r="T17" s="153">
        <f t="shared" si="0"/>
        <v>0</v>
      </c>
      <c r="U17" s="153">
        <f t="shared" si="0"/>
        <v>0</v>
      </c>
      <c r="V17" s="153">
        <f t="shared" si="0"/>
        <v>66267</v>
      </c>
      <c r="W17" s="153">
        <f t="shared" si="0"/>
        <v>0</v>
      </c>
      <c r="X17" s="154"/>
      <c r="Y17" s="359">
        <f>SUM(Y15:Y16)</f>
        <v>10333009</v>
      </c>
      <c r="Z17" s="245">
        <f>SUM(Z15:Z16)</f>
        <v>6295958</v>
      </c>
      <c r="AA17" s="341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70"/>
    </row>
    <row r="18" spans="1:42" ht="30" hidden="1" customHeight="1" x14ac:dyDescent="0.25">
      <c r="A18" s="82">
        <v>1</v>
      </c>
      <c r="B18" s="138" t="s">
        <v>177</v>
      </c>
      <c r="C18" s="28" t="s">
        <v>225</v>
      </c>
      <c r="D18" s="542"/>
      <c r="E18" s="542"/>
      <c r="F18" s="542">
        <f>2756+744</f>
        <v>3500</v>
      </c>
      <c r="G18" s="542"/>
      <c r="H18" s="542"/>
      <c r="I18" s="542"/>
      <c r="J18" s="542"/>
      <c r="K18" s="542"/>
      <c r="L18" s="542"/>
      <c r="M18" s="543">
        <f>-2756-744</f>
        <v>-3500</v>
      </c>
      <c r="N18" s="542"/>
      <c r="O18" s="542"/>
      <c r="P18" s="542"/>
      <c r="Q18" s="542"/>
      <c r="R18" s="542">
        <f t="shared" ref="R18:R94" si="1">SUM(D18:Q18)</f>
        <v>0</v>
      </c>
      <c r="S18" s="542"/>
      <c r="T18" s="542"/>
      <c r="U18" s="542"/>
      <c r="V18" s="542"/>
      <c r="W18" s="542"/>
      <c r="X18" s="544">
        <f t="shared" ref="X18:X138" si="2">SUM(T18:W18)</f>
        <v>0</v>
      </c>
      <c r="Y18" s="545">
        <f t="shared" ref="Y18:Y138" si="3">R18+X18</f>
        <v>0</v>
      </c>
      <c r="Z18" s="546"/>
      <c r="AA18" s="342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</row>
    <row r="19" spans="1:42" ht="30" hidden="1" customHeight="1" x14ac:dyDescent="0.25">
      <c r="A19" s="82">
        <v>2</v>
      </c>
      <c r="B19" s="138" t="s">
        <v>226</v>
      </c>
      <c r="C19" s="28" t="s">
        <v>227</v>
      </c>
      <c r="D19" s="542"/>
      <c r="E19" s="542"/>
      <c r="F19" s="542">
        <f>920+249</f>
        <v>1169</v>
      </c>
      <c r="G19" s="542"/>
      <c r="H19" s="542"/>
      <c r="I19" s="542"/>
      <c r="J19" s="542"/>
      <c r="K19" s="542"/>
      <c r="L19" s="542">
        <f>-920-249</f>
        <v>-1169</v>
      </c>
      <c r="M19" s="542"/>
      <c r="N19" s="542"/>
      <c r="O19" s="542"/>
      <c r="P19" s="542"/>
      <c r="Q19" s="542"/>
      <c r="R19" s="542">
        <f t="shared" si="1"/>
        <v>0</v>
      </c>
      <c r="S19" s="542"/>
      <c r="T19" s="542"/>
      <c r="U19" s="542"/>
      <c r="V19" s="542"/>
      <c r="W19" s="542"/>
      <c r="X19" s="544">
        <f t="shared" si="2"/>
        <v>0</v>
      </c>
      <c r="Y19" s="545">
        <f t="shared" si="3"/>
        <v>0</v>
      </c>
      <c r="Z19" s="546"/>
      <c r="AA19" s="342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70"/>
    </row>
    <row r="20" spans="1:42" ht="30" hidden="1" customHeight="1" x14ac:dyDescent="0.25">
      <c r="A20" s="82">
        <v>3</v>
      </c>
      <c r="B20" s="138" t="s">
        <v>228</v>
      </c>
      <c r="C20" s="28" t="s">
        <v>229</v>
      </c>
      <c r="D20" s="542"/>
      <c r="E20" s="542"/>
      <c r="F20" s="542">
        <f>1200</f>
        <v>1200</v>
      </c>
      <c r="G20" s="542"/>
      <c r="H20" s="542"/>
      <c r="I20" s="542">
        <f>-1200-1200</f>
        <v>-2400</v>
      </c>
      <c r="J20" s="542">
        <f>1200</f>
        <v>1200</v>
      </c>
      <c r="K20" s="542"/>
      <c r="L20" s="542"/>
      <c r="M20" s="542"/>
      <c r="N20" s="542"/>
      <c r="O20" s="542"/>
      <c r="P20" s="542"/>
      <c r="Q20" s="542"/>
      <c r="R20" s="542">
        <f t="shared" si="1"/>
        <v>0</v>
      </c>
      <c r="S20" s="542"/>
      <c r="T20" s="542"/>
      <c r="U20" s="542"/>
      <c r="V20" s="542"/>
      <c r="W20" s="542"/>
      <c r="X20" s="544">
        <f t="shared" si="2"/>
        <v>0</v>
      </c>
      <c r="Y20" s="545">
        <f t="shared" si="3"/>
        <v>0</v>
      </c>
      <c r="Z20" s="546"/>
      <c r="AA20" s="342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70"/>
    </row>
    <row r="21" spans="1:42" ht="30" hidden="1" customHeight="1" x14ac:dyDescent="0.25">
      <c r="A21" s="82">
        <v>4</v>
      </c>
      <c r="B21" s="138" t="s">
        <v>230</v>
      </c>
      <c r="C21" s="28" t="s">
        <v>236</v>
      </c>
      <c r="D21" s="542"/>
      <c r="E21" s="542"/>
      <c r="F21" s="542">
        <f>9708.25</f>
        <v>9708.25</v>
      </c>
      <c r="G21" s="542"/>
      <c r="H21" s="542"/>
      <c r="I21" s="542"/>
      <c r="J21" s="542"/>
      <c r="K21" s="542"/>
      <c r="L21" s="542"/>
      <c r="M21" s="542"/>
      <c r="N21" s="542"/>
      <c r="O21" s="542"/>
      <c r="P21" s="542"/>
      <c r="Q21" s="542"/>
      <c r="R21" s="542">
        <f t="shared" si="1"/>
        <v>9708.25</v>
      </c>
      <c r="S21" s="542"/>
      <c r="T21" s="542"/>
      <c r="U21" s="542"/>
      <c r="V21" s="542"/>
      <c r="W21" s="542"/>
      <c r="X21" s="544">
        <f t="shared" si="2"/>
        <v>0</v>
      </c>
      <c r="Y21" s="545">
        <f t="shared" si="3"/>
        <v>9708.25</v>
      </c>
      <c r="Z21" s="546">
        <f>-9708.25</f>
        <v>-9708.25</v>
      </c>
      <c r="AA21" s="342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70"/>
    </row>
    <row r="22" spans="1:42" ht="30" hidden="1" customHeight="1" x14ac:dyDescent="0.25">
      <c r="A22" s="82">
        <v>5</v>
      </c>
      <c r="B22" s="138" t="s">
        <v>231</v>
      </c>
      <c r="C22" s="28" t="s">
        <v>237</v>
      </c>
      <c r="D22" s="542"/>
      <c r="E22" s="542"/>
      <c r="F22" s="542">
        <f>-2399.343</f>
        <v>-2399.3429999999998</v>
      </c>
      <c r="G22" s="542"/>
      <c r="H22" s="542"/>
      <c r="I22" s="542"/>
      <c r="J22" s="542"/>
      <c r="K22" s="542"/>
      <c r="L22" s="542"/>
      <c r="M22" s="542"/>
      <c r="N22" s="542"/>
      <c r="O22" s="542"/>
      <c r="P22" s="542"/>
      <c r="Q22" s="542"/>
      <c r="R22" s="542">
        <f t="shared" si="1"/>
        <v>-2399.3429999999998</v>
      </c>
      <c r="S22" s="542"/>
      <c r="T22" s="542"/>
      <c r="U22" s="542"/>
      <c r="V22" s="542"/>
      <c r="W22" s="542"/>
      <c r="X22" s="544">
        <f t="shared" si="2"/>
        <v>0</v>
      </c>
      <c r="Y22" s="545">
        <f t="shared" si="3"/>
        <v>-2399.3429999999998</v>
      </c>
      <c r="Z22" s="546">
        <f>2399.343</f>
        <v>2399.3429999999998</v>
      </c>
      <c r="AA22" s="342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70"/>
    </row>
    <row r="23" spans="1:42" ht="30" hidden="1" customHeight="1" x14ac:dyDescent="0.25">
      <c r="A23" s="82">
        <v>6</v>
      </c>
      <c r="B23" s="138" t="s">
        <v>238</v>
      </c>
      <c r="C23" s="28" t="s">
        <v>239</v>
      </c>
      <c r="D23" s="542"/>
      <c r="E23" s="542"/>
      <c r="F23" s="542">
        <f>-1747.012</f>
        <v>-1747.0119999999999</v>
      </c>
      <c r="G23" s="542"/>
      <c r="H23" s="542"/>
      <c r="I23" s="542"/>
      <c r="J23" s="542"/>
      <c r="K23" s="542"/>
      <c r="L23" s="542"/>
      <c r="M23" s="542"/>
      <c r="N23" s="542"/>
      <c r="O23" s="542"/>
      <c r="P23" s="542"/>
      <c r="Q23" s="542"/>
      <c r="R23" s="542">
        <f t="shared" si="1"/>
        <v>-1747.0119999999999</v>
      </c>
      <c r="S23" s="542"/>
      <c r="T23" s="542"/>
      <c r="U23" s="542"/>
      <c r="V23" s="542"/>
      <c r="W23" s="542"/>
      <c r="X23" s="544">
        <f t="shared" ref="X23:X24" si="4">SUM(T23:W23)</f>
        <v>0</v>
      </c>
      <c r="Y23" s="545">
        <f t="shared" ref="Y23" si="5">R23+X23</f>
        <v>-1747.0119999999999</v>
      </c>
      <c r="Z23" s="546">
        <f>1747.012</f>
        <v>1747.0119999999999</v>
      </c>
      <c r="AA23" s="342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70"/>
    </row>
    <row r="24" spans="1:42" ht="30" hidden="1" customHeight="1" x14ac:dyDescent="0.25">
      <c r="A24" s="82">
        <v>7</v>
      </c>
      <c r="B24" s="138" t="s">
        <v>240</v>
      </c>
      <c r="C24" s="28" t="s">
        <v>241</v>
      </c>
      <c r="D24" s="542"/>
      <c r="E24" s="542"/>
      <c r="F24" s="542">
        <f>-907.923</f>
        <v>-907.923</v>
      </c>
      <c r="G24" s="542"/>
      <c r="H24" s="542"/>
      <c r="I24" s="542"/>
      <c r="J24" s="542"/>
      <c r="K24" s="542"/>
      <c r="L24" s="542"/>
      <c r="M24" s="542"/>
      <c r="N24" s="542"/>
      <c r="O24" s="542"/>
      <c r="P24" s="542"/>
      <c r="Q24" s="542"/>
      <c r="R24" s="542">
        <f t="shared" si="1"/>
        <v>-907.923</v>
      </c>
      <c r="S24" s="542"/>
      <c r="T24" s="542"/>
      <c r="U24" s="542"/>
      <c r="V24" s="542"/>
      <c r="W24" s="542"/>
      <c r="X24" s="544">
        <f t="shared" si="4"/>
        <v>0</v>
      </c>
      <c r="Y24" s="545"/>
      <c r="Z24" s="546">
        <f>907.923</f>
        <v>907.923</v>
      </c>
      <c r="AA24" s="342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70"/>
    </row>
    <row r="25" spans="1:42" ht="30" hidden="1" customHeight="1" x14ac:dyDescent="0.25">
      <c r="A25" s="82">
        <v>8</v>
      </c>
      <c r="B25" s="138" t="s">
        <v>232</v>
      </c>
      <c r="C25" s="28" t="s">
        <v>233</v>
      </c>
      <c r="D25" s="542"/>
      <c r="E25" s="542"/>
      <c r="F25" s="542"/>
      <c r="G25" s="542"/>
      <c r="H25" s="542"/>
      <c r="I25" s="542"/>
      <c r="J25" s="542"/>
      <c r="K25" s="542">
        <f>-2500</f>
        <v>-2500</v>
      </c>
      <c r="L25" s="542"/>
      <c r="M25" s="542">
        <f>1969+531</f>
        <v>2500</v>
      </c>
      <c r="N25" s="542"/>
      <c r="O25" s="542"/>
      <c r="P25" s="542"/>
      <c r="Q25" s="542"/>
      <c r="R25" s="542">
        <f t="shared" si="1"/>
        <v>0</v>
      </c>
      <c r="S25" s="542"/>
      <c r="T25" s="542"/>
      <c r="U25" s="542"/>
      <c r="V25" s="542"/>
      <c r="W25" s="542"/>
      <c r="X25" s="544">
        <f t="shared" si="2"/>
        <v>0</v>
      </c>
      <c r="Y25" s="545">
        <f t="shared" si="3"/>
        <v>0</v>
      </c>
      <c r="Z25" s="546"/>
      <c r="AA25" s="342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70"/>
    </row>
    <row r="26" spans="1:42" ht="30" hidden="1" customHeight="1" x14ac:dyDescent="0.25">
      <c r="A26" s="82">
        <v>9</v>
      </c>
      <c r="B26" s="537" t="s">
        <v>234</v>
      </c>
      <c r="C26" s="28" t="s">
        <v>235</v>
      </c>
      <c r="D26" s="542"/>
      <c r="E26" s="542"/>
      <c r="F26" s="542">
        <f>324</f>
        <v>324</v>
      </c>
      <c r="G26" s="542"/>
      <c r="H26" s="542"/>
      <c r="I26" s="542"/>
      <c r="J26" s="542"/>
      <c r="K26" s="542">
        <v>1200</v>
      </c>
      <c r="L26" s="542"/>
      <c r="M26" s="542"/>
      <c r="N26" s="542"/>
      <c r="O26" s="542"/>
      <c r="P26" s="542"/>
      <c r="Q26" s="542"/>
      <c r="R26" s="542">
        <f t="shared" si="1"/>
        <v>1524</v>
      </c>
      <c r="S26" s="542"/>
      <c r="T26" s="542"/>
      <c r="U26" s="542"/>
      <c r="V26" s="542"/>
      <c r="W26" s="542"/>
      <c r="X26" s="544">
        <f t="shared" si="2"/>
        <v>0</v>
      </c>
      <c r="Y26" s="545">
        <f t="shared" si="3"/>
        <v>1524</v>
      </c>
      <c r="Z26" s="546"/>
      <c r="AA26" s="342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70"/>
    </row>
    <row r="27" spans="1:42" ht="30" hidden="1" customHeight="1" x14ac:dyDescent="0.25">
      <c r="A27" s="82">
        <v>10</v>
      </c>
      <c r="B27" s="537" t="s">
        <v>242</v>
      </c>
      <c r="C27" s="28" t="s">
        <v>243</v>
      </c>
      <c r="D27" s="542"/>
      <c r="E27" s="542"/>
      <c r="F27" s="542">
        <f>30+1072+298</f>
        <v>1400</v>
      </c>
      <c r="G27" s="542"/>
      <c r="H27" s="542"/>
      <c r="I27" s="542"/>
      <c r="J27" s="542"/>
      <c r="K27" s="542">
        <f>-2000</f>
        <v>-2000</v>
      </c>
      <c r="L27" s="542">
        <f>472+128</f>
        <v>600</v>
      </c>
      <c r="M27" s="542"/>
      <c r="N27" s="542"/>
      <c r="O27" s="542"/>
      <c r="P27" s="542"/>
      <c r="Q27" s="542"/>
      <c r="R27" s="542">
        <f t="shared" si="1"/>
        <v>0</v>
      </c>
      <c r="S27" s="542"/>
      <c r="T27" s="542"/>
      <c r="U27" s="542"/>
      <c r="V27" s="542"/>
      <c r="W27" s="542"/>
      <c r="X27" s="544">
        <f t="shared" si="2"/>
        <v>0</v>
      </c>
      <c r="Y27" s="545">
        <f t="shared" si="3"/>
        <v>0</v>
      </c>
      <c r="Z27" s="546"/>
      <c r="AA27" s="342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70"/>
    </row>
    <row r="28" spans="1:42" ht="30" hidden="1" customHeight="1" x14ac:dyDescent="0.25">
      <c r="A28" s="82">
        <v>11</v>
      </c>
      <c r="B28" s="537" t="s">
        <v>244</v>
      </c>
      <c r="C28" s="28" t="s">
        <v>245</v>
      </c>
      <c r="D28" s="542">
        <f>200</f>
        <v>200</v>
      </c>
      <c r="E28" s="542">
        <f>70+50</f>
        <v>120</v>
      </c>
      <c r="F28" s="542">
        <f>394+106</f>
        <v>500</v>
      </c>
      <c r="G28" s="542"/>
      <c r="H28" s="542"/>
      <c r="I28" s="542"/>
      <c r="J28" s="542">
        <f>100</f>
        <v>100</v>
      </c>
      <c r="K28" s="542">
        <f>-1000</f>
        <v>-1000</v>
      </c>
      <c r="L28" s="542">
        <f>63+17</f>
        <v>80</v>
      </c>
      <c r="M28" s="542"/>
      <c r="N28" s="542"/>
      <c r="O28" s="542"/>
      <c r="P28" s="542"/>
      <c r="Q28" s="542"/>
      <c r="R28" s="542">
        <f t="shared" si="1"/>
        <v>0</v>
      </c>
      <c r="S28" s="542"/>
      <c r="T28" s="542"/>
      <c r="U28" s="542"/>
      <c r="V28" s="542"/>
      <c r="W28" s="542"/>
      <c r="X28" s="544">
        <f t="shared" ref="X28:X32" si="6">SUM(T28:W28)</f>
        <v>0</v>
      </c>
      <c r="Y28" s="545">
        <f t="shared" ref="Y28:Y32" si="7">R28+X28</f>
        <v>0</v>
      </c>
      <c r="Z28" s="546"/>
      <c r="AA28" s="342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70"/>
    </row>
    <row r="29" spans="1:42" ht="30" hidden="1" customHeight="1" x14ac:dyDescent="0.25">
      <c r="A29" s="82">
        <v>12</v>
      </c>
      <c r="B29" s="537" t="s">
        <v>246</v>
      </c>
      <c r="C29" s="28" t="s">
        <v>247</v>
      </c>
      <c r="D29" s="542">
        <f>3713</f>
        <v>3713</v>
      </c>
      <c r="E29" s="542">
        <f>463+260+150</f>
        <v>873</v>
      </c>
      <c r="F29" s="542">
        <f>10+100+120+175+109</f>
        <v>514</v>
      </c>
      <c r="G29" s="542"/>
      <c r="H29" s="542"/>
      <c r="I29" s="542"/>
      <c r="J29" s="542">
        <f>400</f>
        <v>400</v>
      </c>
      <c r="K29" s="542">
        <f>-5500</f>
        <v>-5500</v>
      </c>
      <c r="L29" s="542"/>
      <c r="M29" s="542"/>
      <c r="N29" s="542"/>
      <c r="O29" s="542"/>
      <c r="P29" s="542"/>
      <c r="Q29" s="542"/>
      <c r="R29" s="542">
        <f t="shared" si="1"/>
        <v>0</v>
      </c>
      <c r="S29" s="542"/>
      <c r="T29" s="542"/>
      <c r="U29" s="542"/>
      <c r="V29" s="542"/>
      <c r="W29" s="542"/>
      <c r="X29" s="544">
        <f t="shared" si="6"/>
        <v>0</v>
      </c>
      <c r="Y29" s="545">
        <f t="shared" si="7"/>
        <v>0</v>
      </c>
      <c r="Z29" s="546"/>
      <c r="AA29" s="342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70"/>
    </row>
    <row r="30" spans="1:42" ht="30" hidden="1" customHeight="1" x14ac:dyDescent="0.25">
      <c r="A30" s="82">
        <v>13</v>
      </c>
      <c r="B30" s="537" t="s">
        <v>248</v>
      </c>
      <c r="C30" s="28" t="s">
        <v>249</v>
      </c>
      <c r="D30" s="542"/>
      <c r="E30" s="542"/>
      <c r="F30" s="542"/>
      <c r="G30" s="542"/>
      <c r="H30" s="542"/>
      <c r="I30" s="542"/>
      <c r="J30" s="542"/>
      <c r="K30" s="542">
        <f>-20447</f>
        <v>-20447</v>
      </c>
      <c r="L30" s="542">
        <f>16100+4347</f>
        <v>20447</v>
      </c>
      <c r="M30" s="542"/>
      <c r="N30" s="542"/>
      <c r="O30" s="542"/>
      <c r="P30" s="542"/>
      <c r="Q30" s="542"/>
      <c r="R30" s="542">
        <f t="shared" si="1"/>
        <v>0</v>
      </c>
      <c r="S30" s="542"/>
      <c r="T30" s="542"/>
      <c r="U30" s="542"/>
      <c r="V30" s="542"/>
      <c r="W30" s="542"/>
      <c r="X30" s="544">
        <f t="shared" si="6"/>
        <v>0</v>
      </c>
      <c r="Y30" s="545">
        <f t="shared" si="7"/>
        <v>0</v>
      </c>
      <c r="Z30" s="546"/>
      <c r="AA30" s="342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70"/>
    </row>
    <row r="31" spans="1:42" ht="30" hidden="1" customHeight="1" x14ac:dyDescent="0.25">
      <c r="A31" s="82">
        <v>14</v>
      </c>
      <c r="B31" s="537" t="s">
        <v>250</v>
      </c>
      <c r="C31" s="28" t="s">
        <v>256</v>
      </c>
      <c r="D31" s="542"/>
      <c r="E31" s="542"/>
      <c r="F31" s="542"/>
      <c r="G31" s="542"/>
      <c r="H31" s="542"/>
      <c r="I31" s="542"/>
      <c r="J31" s="542"/>
      <c r="K31" s="542">
        <f>-35650</f>
        <v>-35650</v>
      </c>
      <c r="L31" s="542"/>
      <c r="M31" s="542"/>
      <c r="N31" s="542"/>
      <c r="O31" s="542"/>
      <c r="P31" s="542"/>
      <c r="Q31" s="542"/>
      <c r="R31" s="542">
        <f t="shared" si="1"/>
        <v>-35650</v>
      </c>
      <c r="S31" s="542"/>
      <c r="T31" s="542"/>
      <c r="U31" s="542"/>
      <c r="V31" s="542"/>
      <c r="W31" s="542"/>
      <c r="X31" s="544">
        <f t="shared" si="6"/>
        <v>0</v>
      </c>
      <c r="Y31" s="545">
        <f t="shared" si="7"/>
        <v>-35650</v>
      </c>
      <c r="Z31" s="546">
        <f>35650</f>
        <v>35650</v>
      </c>
      <c r="AA31" s="342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70"/>
    </row>
    <row r="32" spans="1:42" ht="30" hidden="1" customHeight="1" x14ac:dyDescent="0.25">
      <c r="A32" s="82">
        <v>15</v>
      </c>
      <c r="B32" s="537" t="s">
        <v>251</v>
      </c>
      <c r="C32" s="28" t="s">
        <v>260</v>
      </c>
      <c r="D32" s="542"/>
      <c r="E32" s="542"/>
      <c r="F32" s="542"/>
      <c r="G32" s="542">
        <f>500</f>
        <v>500</v>
      </c>
      <c r="H32" s="542"/>
      <c r="I32" s="542"/>
      <c r="J32" s="542"/>
      <c r="K32" s="542"/>
      <c r="L32" s="542"/>
      <c r="M32" s="542"/>
      <c r="N32" s="542"/>
      <c r="O32" s="542"/>
      <c r="P32" s="542"/>
      <c r="Q32" s="542"/>
      <c r="R32" s="542">
        <f t="shared" si="1"/>
        <v>500</v>
      </c>
      <c r="S32" s="542"/>
      <c r="T32" s="542"/>
      <c r="U32" s="542"/>
      <c r="V32" s="542"/>
      <c r="W32" s="542"/>
      <c r="X32" s="544">
        <f t="shared" si="6"/>
        <v>0</v>
      </c>
      <c r="Y32" s="545">
        <f t="shared" si="7"/>
        <v>500</v>
      </c>
      <c r="Z32" s="546"/>
      <c r="AA32" s="342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70"/>
    </row>
    <row r="33" spans="1:42" ht="24.95" hidden="1" customHeight="1" x14ac:dyDescent="0.25">
      <c r="A33" s="82">
        <v>16</v>
      </c>
      <c r="B33" s="537" t="s">
        <v>252</v>
      </c>
      <c r="C33" s="28" t="s">
        <v>253</v>
      </c>
      <c r="D33" s="542"/>
      <c r="E33" s="542"/>
      <c r="F33" s="542"/>
      <c r="G33" s="542"/>
      <c r="H33" s="542"/>
      <c r="I33" s="542"/>
      <c r="J33" s="542"/>
      <c r="K33" s="542">
        <f>-12152</f>
        <v>-12152</v>
      </c>
      <c r="L33" s="542"/>
      <c r="M33" s="542"/>
      <c r="N33" s="542"/>
      <c r="O33" s="542"/>
      <c r="P33" s="542"/>
      <c r="Q33" s="542"/>
      <c r="R33" s="542">
        <f t="shared" si="1"/>
        <v>-12152</v>
      </c>
      <c r="S33" s="542"/>
      <c r="T33" s="542"/>
      <c r="U33" s="542"/>
      <c r="V33" s="542"/>
      <c r="W33" s="542"/>
      <c r="X33" s="544">
        <f t="shared" si="2"/>
        <v>0</v>
      </c>
      <c r="Y33" s="545">
        <f t="shared" si="3"/>
        <v>-12152</v>
      </c>
      <c r="Z33" s="546">
        <f>12152</f>
        <v>12152</v>
      </c>
      <c r="AA33" s="342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70"/>
    </row>
    <row r="34" spans="1:42" ht="24.95" hidden="1" customHeight="1" x14ac:dyDescent="0.25">
      <c r="A34" s="82">
        <v>17</v>
      </c>
      <c r="B34" s="139" t="s">
        <v>261</v>
      </c>
      <c r="C34" s="28" t="s">
        <v>262</v>
      </c>
      <c r="D34" s="542"/>
      <c r="E34" s="542"/>
      <c r="F34" s="542"/>
      <c r="G34" s="542"/>
      <c r="H34" s="542"/>
      <c r="I34" s="542"/>
      <c r="J34" s="542"/>
      <c r="K34" s="542"/>
      <c r="L34" s="542"/>
      <c r="M34" s="542"/>
      <c r="N34" s="542"/>
      <c r="O34" s="542"/>
      <c r="P34" s="542"/>
      <c r="Q34" s="542"/>
      <c r="R34" s="542">
        <f t="shared" si="1"/>
        <v>0</v>
      </c>
      <c r="S34" s="542"/>
      <c r="T34" s="542"/>
      <c r="U34" s="542"/>
      <c r="V34" s="542"/>
      <c r="W34" s="542"/>
      <c r="X34" s="544">
        <f t="shared" si="2"/>
        <v>0</v>
      </c>
      <c r="Y34" s="545">
        <f t="shared" si="3"/>
        <v>0</v>
      </c>
      <c r="Z34" s="546">
        <f>1712.309</f>
        <v>1712.309</v>
      </c>
      <c r="AA34" s="342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70"/>
    </row>
    <row r="35" spans="1:42" ht="24.95" hidden="1" customHeight="1" x14ac:dyDescent="0.25">
      <c r="A35" s="82">
        <v>18</v>
      </c>
      <c r="B35" s="139" t="s">
        <v>261</v>
      </c>
      <c r="C35" s="28" t="s">
        <v>265</v>
      </c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2"/>
      <c r="P35" s="542"/>
      <c r="Q35" s="542"/>
      <c r="R35" s="542">
        <f t="shared" si="1"/>
        <v>0</v>
      </c>
      <c r="S35" s="542"/>
      <c r="T35" s="542"/>
      <c r="U35" s="542"/>
      <c r="V35" s="542"/>
      <c r="W35" s="542"/>
      <c r="X35" s="544">
        <f t="shared" si="2"/>
        <v>0</v>
      </c>
      <c r="Y35" s="545">
        <f t="shared" si="3"/>
        <v>0</v>
      </c>
      <c r="Z35" s="546">
        <f>4438.98</f>
        <v>4438.9799999999996</v>
      </c>
      <c r="AA35" s="342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70"/>
    </row>
    <row r="36" spans="1:42" ht="24.95" hidden="1" customHeight="1" x14ac:dyDescent="0.25">
      <c r="A36" s="82">
        <v>19</v>
      </c>
      <c r="B36" s="139" t="s">
        <v>261</v>
      </c>
      <c r="C36" s="28" t="s">
        <v>266</v>
      </c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2"/>
      <c r="Q36" s="542"/>
      <c r="R36" s="542">
        <f t="shared" si="1"/>
        <v>0</v>
      </c>
      <c r="S36" s="542"/>
      <c r="T36" s="542"/>
      <c r="U36" s="542"/>
      <c r="V36" s="542"/>
      <c r="W36" s="542"/>
      <c r="X36" s="544">
        <f t="shared" si="2"/>
        <v>0</v>
      </c>
      <c r="Y36" s="545">
        <f t="shared" si="3"/>
        <v>0</v>
      </c>
      <c r="Z36" s="546">
        <f>4156.817</f>
        <v>4156.817</v>
      </c>
      <c r="AA36" s="342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70"/>
    </row>
    <row r="37" spans="1:42" ht="24.95" hidden="1" customHeight="1" x14ac:dyDescent="0.25">
      <c r="A37" s="82">
        <v>20</v>
      </c>
      <c r="B37" s="139" t="s">
        <v>267</v>
      </c>
      <c r="C37" s="28" t="s">
        <v>268</v>
      </c>
      <c r="D37" s="542"/>
      <c r="E37" s="542"/>
      <c r="F37" s="542"/>
      <c r="G37" s="542"/>
      <c r="H37" s="542"/>
      <c r="I37" s="542"/>
      <c r="J37" s="542"/>
      <c r="K37" s="542"/>
      <c r="L37" s="542"/>
      <c r="M37" s="542"/>
      <c r="N37" s="542"/>
      <c r="O37" s="542"/>
      <c r="P37" s="542"/>
      <c r="Q37" s="542"/>
      <c r="R37" s="542">
        <f t="shared" si="1"/>
        <v>0</v>
      </c>
      <c r="S37" s="542"/>
      <c r="T37" s="542"/>
      <c r="U37" s="542"/>
      <c r="V37" s="542"/>
      <c r="W37" s="542"/>
      <c r="X37" s="544">
        <f>SUM(T37:W37)</f>
        <v>0</v>
      </c>
      <c r="Y37" s="545">
        <v>0</v>
      </c>
      <c r="Z37" s="546">
        <f>21666.502</f>
        <v>21666.502</v>
      </c>
      <c r="AA37" s="342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70"/>
    </row>
    <row r="38" spans="1:42" ht="24.95" hidden="1" customHeight="1" x14ac:dyDescent="0.25">
      <c r="A38" s="82">
        <v>21</v>
      </c>
      <c r="B38" s="139" t="s">
        <v>269</v>
      </c>
      <c r="C38" s="28" t="s">
        <v>274</v>
      </c>
      <c r="D38" s="542"/>
      <c r="E38" s="542"/>
      <c r="F38" s="542"/>
      <c r="G38" s="542"/>
      <c r="H38" s="542"/>
      <c r="I38" s="542"/>
      <c r="J38" s="542"/>
      <c r="K38" s="542"/>
      <c r="L38" s="542"/>
      <c r="M38" s="542"/>
      <c r="N38" s="542"/>
      <c r="O38" s="542"/>
      <c r="P38" s="542"/>
      <c r="Q38" s="542"/>
      <c r="R38" s="542">
        <f t="shared" si="1"/>
        <v>0</v>
      </c>
      <c r="S38" s="542"/>
      <c r="T38" s="542"/>
      <c r="U38" s="542"/>
      <c r="V38" s="542"/>
      <c r="W38" s="542"/>
      <c r="X38" s="544">
        <f t="shared" si="2"/>
        <v>0</v>
      </c>
      <c r="Y38" s="545">
        <f t="shared" si="3"/>
        <v>0</v>
      </c>
      <c r="Z38" s="546">
        <f>4597.889</f>
        <v>4597.8890000000001</v>
      </c>
      <c r="AA38" s="342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70"/>
    </row>
    <row r="39" spans="1:42" ht="24.95" hidden="1" customHeight="1" x14ac:dyDescent="0.25">
      <c r="A39" s="82">
        <v>22</v>
      </c>
      <c r="B39" s="225" t="s">
        <v>271</v>
      </c>
      <c r="C39" s="28" t="s">
        <v>272</v>
      </c>
      <c r="D39" s="542"/>
      <c r="E39" s="542"/>
      <c r="F39" s="542"/>
      <c r="G39" s="542"/>
      <c r="H39" s="542"/>
      <c r="I39" s="542"/>
      <c r="J39" s="542">
        <f>50</f>
        <v>50</v>
      </c>
      <c r="K39" s="542">
        <f>-50</f>
        <v>-50</v>
      </c>
      <c r="L39" s="542"/>
      <c r="M39" s="542"/>
      <c r="N39" s="542"/>
      <c r="O39" s="542"/>
      <c r="P39" s="542"/>
      <c r="Q39" s="542"/>
      <c r="R39" s="542">
        <f t="shared" si="1"/>
        <v>0</v>
      </c>
      <c r="S39" s="542"/>
      <c r="T39" s="542"/>
      <c r="U39" s="542"/>
      <c r="V39" s="542"/>
      <c r="W39" s="542"/>
      <c r="X39" s="544">
        <f t="shared" si="2"/>
        <v>0</v>
      </c>
      <c r="Y39" s="545">
        <f t="shared" si="3"/>
        <v>0</v>
      </c>
      <c r="Z39" s="546"/>
      <c r="AA39" s="342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70"/>
    </row>
    <row r="40" spans="1:42" ht="24.95" hidden="1" customHeight="1" x14ac:dyDescent="0.25">
      <c r="A40" s="82">
        <v>23</v>
      </c>
      <c r="B40" s="139" t="s">
        <v>278</v>
      </c>
      <c r="C40" s="28" t="s">
        <v>277</v>
      </c>
      <c r="D40" s="542"/>
      <c r="E40" s="542"/>
      <c r="F40" s="542"/>
      <c r="G40" s="542"/>
      <c r="H40" s="542"/>
      <c r="I40" s="542"/>
      <c r="J40" s="542"/>
      <c r="K40" s="542"/>
      <c r="L40" s="542">
        <f>162+44</f>
        <v>206</v>
      </c>
      <c r="M40" s="542"/>
      <c r="N40" s="542"/>
      <c r="O40" s="542"/>
      <c r="P40" s="542"/>
      <c r="Q40" s="542"/>
      <c r="R40" s="542">
        <f t="shared" si="1"/>
        <v>206</v>
      </c>
      <c r="S40" s="542"/>
      <c r="T40" s="542"/>
      <c r="U40" s="542"/>
      <c r="V40" s="542"/>
      <c r="W40" s="542"/>
      <c r="X40" s="544">
        <f t="shared" si="2"/>
        <v>0</v>
      </c>
      <c r="Y40" s="545">
        <f t="shared" si="3"/>
        <v>206</v>
      </c>
      <c r="Z40" s="546"/>
      <c r="AA40" s="342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70"/>
    </row>
    <row r="41" spans="1:42" ht="33" hidden="1" customHeight="1" x14ac:dyDescent="0.25">
      <c r="A41" s="82">
        <v>24</v>
      </c>
      <c r="B41" s="139" t="s">
        <v>280</v>
      </c>
      <c r="C41" s="28" t="s">
        <v>279</v>
      </c>
      <c r="D41" s="542"/>
      <c r="E41" s="542"/>
      <c r="F41" s="542"/>
      <c r="G41" s="542"/>
      <c r="H41" s="542"/>
      <c r="I41" s="542"/>
      <c r="J41" s="542"/>
      <c r="K41" s="542">
        <f>1187</f>
        <v>1187</v>
      </c>
      <c r="L41" s="542"/>
      <c r="M41" s="542"/>
      <c r="N41" s="542"/>
      <c r="O41" s="542"/>
      <c r="P41" s="542"/>
      <c r="Q41" s="542"/>
      <c r="R41" s="542">
        <f t="shared" si="1"/>
        <v>1187</v>
      </c>
      <c r="S41" s="542"/>
      <c r="T41" s="542"/>
      <c r="U41" s="542"/>
      <c r="V41" s="542"/>
      <c r="W41" s="542"/>
      <c r="X41" s="544">
        <f>SUM(T41:W41)</f>
        <v>0</v>
      </c>
      <c r="Y41" s="545">
        <f>R41+X41</f>
        <v>1187</v>
      </c>
      <c r="Z41" s="546"/>
      <c r="AA41" s="342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70"/>
    </row>
    <row r="42" spans="1:42" ht="24.95" hidden="1" customHeight="1" x14ac:dyDescent="0.25">
      <c r="A42" s="82">
        <v>25</v>
      </c>
      <c r="B42" s="139" t="s">
        <v>281</v>
      </c>
      <c r="C42" s="33" t="s">
        <v>283</v>
      </c>
      <c r="D42" s="542"/>
      <c r="E42" s="542"/>
      <c r="F42" s="542"/>
      <c r="G42" s="542"/>
      <c r="H42" s="542"/>
      <c r="I42" s="542"/>
      <c r="J42" s="542"/>
      <c r="K42" s="542"/>
      <c r="L42" s="542"/>
      <c r="M42" s="542"/>
      <c r="N42" s="542"/>
      <c r="O42" s="542"/>
      <c r="P42" s="542"/>
      <c r="Q42" s="542"/>
      <c r="R42" s="542">
        <f t="shared" si="1"/>
        <v>0</v>
      </c>
      <c r="S42" s="542"/>
      <c r="T42" s="542"/>
      <c r="U42" s="542">
        <f>2960000+780000</f>
        <v>3740000</v>
      </c>
      <c r="V42" s="542"/>
      <c r="W42" s="542"/>
      <c r="X42" s="544">
        <f t="shared" si="2"/>
        <v>3740000</v>
      </c>
      <c r="Y42" s="545">
        <f t="shared" si="3"/>
        <v>3740000</v>
      </c>
      <c r="Z42" s="546"/>
      <c r="AA42" s="342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70"/>
    </row>
    <row r="43" spans="1:42" ht="24.95" hidden="1" customHeight="1" x14ac:dyDescent="0.25">
      <c r="A43" s="82">
        <v>26</v>
      </c>
      <c r="B43" s="591" t="s">
        <v>284</v>
      </c>
      <c r="C43" s="28" t="s">
        <v>285</v>
      </c>
      <c r="D43" s="542"/>
      <c r="E43" s="542"/>
      <c r="F43" s="542">
        <v>-3.5000000000000003E-2</v>
      </c>
      <c r="G43" s="542"/>
      <c r="H43" s="542"/>
      <c r="I43" s="542"/>
      <c r="J43" s="542"/>
      <c r="K43" s="542"/>
      <c r="L43" s="542"/>
      <c r="M43" s="542"/>
      <c r="N43" s="542"/>
      <c r="O43" s="542"/>
      <c r="P43" s="542"/>
      <c r="Q43" s="542"/>
      <c r="R43" s="542">
        <f>SUM(D43:Q43)</f>
        <v>-3.5000000000000003E-2</v>
      </c>
      <c r="S43" s="542"/>
      <c r="T43" s="542"/>
      <c r="U43" s="542"/>
      <c r="V43" s="543">
        <v>3.5000000000000003E-2</v>
      </c>
      <c r="W43" s="542"/>
      <c r="X43" s="544">
        <f t="shared" si="2"/>
        <v>3.5000000000000003E-2</v>
      </c>
      <c r="Y43" s="545">
        <f>R43+X43</f>
        <v>0</v>
      </c>
      <c r="Z43" s="546"/>
      <c r="AA43" s="342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70"/>
    </row>
    <row r="44" spans="1:42" ht="24.95" hidden="1" customHeight="1" x14ac:dyDescent="0.25">
      <c r="A44" s="82">
        <v>27</v>
      </c>
      <c r="B44" s="594" t="s">
        <v>288</v>
      </c>
      <c r="C44" s="28" t="s">
        <v>289</v>
      </c>
      <c r="D44" s="542"/>
      <c r="E44" s="542"/>
      <c r="F44" s="542">
        <f>780+211</f>
        <v>991</v>
      </c>
      <c r="G44" s="542"/>
      <c r="H44" s="542"/>
      <c r="I44" s="542"/>
      <c r="J44" s="542"/>
      <c r="K44" s="542"/>
      <c r="L44" s="542">
        <f>-780-211</f>
        <v>-991</v>
      </c>
      <c r="M44" s="542"/>
      <c r="N44" s="542"/>
      <c r="O44" s="542"/>
      <c r="P44" s="542"/>
      <c r="Q44" s="542"/>
      <c r="R44" s="542">
        <f t="shared" ref="R44:R50" si="8">SUM(D44:Q44)</f>
        <v>0</v>
      </c>
      <c r="S44" s="542"/>
      <c r="T44" s="542"/>
      <c r="U44" s="542"/>
      <c r="V44" s="543"/>
      <c r="W44" s="542"/>
      <c r="X44" s="544">
        <f t="shared" si="2"/>
        <v>0</v>
      </c>
      <c r="Y44" s="545">
        <f t="shared" ref="Y44:Y50" si="9">R44+X44</f>
        <v>0</v>
      </c>
      <c r="Z44" s="546"/>
      <c r="AA44" s="342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70"/>
    </row>
    <row r="45" spans="1:42" ht="24.95" hidden="1" customHeight="1" x14ac:dyDescent="0.25">
      <c r="A45" s="82">
        <v>28</v>
      </c>
      <c r="B45" s="594" t="s">
        <v>290</v>
      </c>
      <c r="C45" s="28" t="s">
        <v>272</v>
      </c>
      <c r="D45" s="542"/>
      <c r="E45" s="542"/>
      <c r="F45" s="542"/>
      <c r="G45" s="542"/>
      <c r="H45" s="542"/>
      <c r="I45" s="542"/>
      <c r="J45" s="542">
        <f>150</f>
        <v>150</v>
      </c>
      <c r="K45" s="542">
        <f>-150</f>
        <v>-150</v>
      </c>
      <c r="L45" s="542"/>
      <c r="M45" s="542"/>
      <c r="N45" s="542"/>
      <c r="O45" s="542"/>
      <c r="P45" s="542"/>
      <c r="Q45" s="542"/>
      <c r="R45" s="542">
        <f t="shared" si="8"/>
        <v>0</v>
      </c>
      <c r="S45" s="542"/>
      <c r="T45" s="542"/>
      <c r="U45" s="542"/>
      <c r="V45" s="543"/>
      <c r="W45" s="542"/>
      <c r="X45" s="544">
        <f t="shared" si="2"/>
        <v>0</v>
      </c>
      <c r="Y45" s="545">
        <f t="shared" si="9"/>
        <v>0</v>
      </c>
      <c r="Z45" s="546"/>
      <c r="AA45" s="342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70"/>
    </row>
    <row r="46" spans="1:42" ht="24.95" hidden="1" customHeight="1" x14ac:dyDescent="0.25">
      <c r="A46" s="82">
        <v>29</v>
      </c>
      <c r="B46" s="594" t="s">
        <v>291</v>
      </c>
      <c r="C46" s="28" t="s">
        <v>292</v>
      </c>
      <c r="D46" s="542"/>
      <c r="E46" s="542"/>
      <c r="F46" s="542">
        <f>-2700-729</f>
        <v>-3429</v>
      </c>
      <c r="G46" s="542"/>
      <c r="H46" s="542"/>
      <c r="I46" s="542"/>
      <c r="J46" s="542"/>
      <c r="K46" s="542"/>
      <c r="L46" s="542">
        <f>2700+729</f>
        <v>3429</v>
      </c>
      <c r="M46" s="542"/>
      <c r="N46" s="542"/>
      <c r="O46" s="542"/>
      <c r="P46" s="542"/>
      <c r="Q46" s="542"/>
      <c r="R46" s="542">
        <f t="shared" si="8"/>
        <v>0</v>
      </c>
      <c r="S46" s="542"/>
      <c r="T46" s="542"/>
      <c r="U46" s="542"/>
      <c r="V46" s="543"/>
      <c r="W46" s="542"/>
      <c r="X46" s="544">
        <f t="shared" si="2"/>
        <v>0</v>
      </c>
      <c r="Y46" s="545">
        <f t="shared" si="9"/>
        <v>0</v>
      </c>
      <c r="Z46" s="546"/>
      <c r="AA46" s="342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70"/>
    </row>
    <row r="47" spans="1:42" ht="24.95" hidden="1" customHeight="1" x14ac:dyDescent="0.25">
      <c r="A47" s="82">
        <v>30</v>
      </c>
      <c r="B47" s="594" t="s">
        <v>293</v>
      </c>
      <c r="C47" s="28" t="s">
        <v>294</v>
      </c>
      <c r="D47" s="542"/>
      <c r="E47" s="542"/>
      <c r="F47" s="542"/>
      <c r="G47" s="542"/>
      <c r="H47" s="542"/>
      <c r="I47" s="542"/>
      <c r="J47" s="542"/>
      <c r="K47" s="542">
        <f>-3810</f>
        <v>-3810</v>
      </c>
      <c r="L47" s="542"/>
      <c r="M47" s="542"/>
      <c r="N47" s="542"/>
      <c r="O47" s="542"/>
      <c r="P47" s="542"/>
      <c r="Q47" s="542"/>
      <c r="R47" s="542">
        <f t="shared" si="8"/>
        <v>-3810</v>
      </c>
      <c r="S47" s="542"/>
      <c r="T47" s="542"/>
      <c r="U47" s="542"/>
      <c r="V47" s="543"/>
      <c r="W47" s="542"/>
      <c r="X47" s="544">
        <f t="shared" si="2"/>
        <v>0</v>
      </c>
      <c r="Y47" s="545">
        <f t="shared" si="9"/>
        <v>-3810</v>
      </c>
      <c r="Z47" s="546">
        <f>3810</f>
        <v>3810</v>
      </c>
      <c r="AA47" s="342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70"/>
    </row>
    <row r="48" spans="1:42" ht="24.95" hidden="1" customHeight="1" x14ac:dyDescent="0.25">
      <c r="A48" s="82">
        <v>31</v>
      </c>
      <c r="B48" s="594" t="s">
        <v>297</v>
      </c>
      <c r="C48" s="28" t="s">
        <v>298</v>
      </c>
      <c r="D48" s="542"/>
      <c r="E48" s="542"/>
      <c r="F48" s="542">
        <f>700+189</f>
        <v>889</v>
      </c>
      <c r="G48" s="542"/>
      <c r="H48" s="542"/>
      <c r="I48" s="542"/>
      <c r="J48" s="542"/>
      <c r="K48" s="542">
        <f>-889</f>
        <v>-889</v>
      </c>
      <c r="L48" s="542"/>
      <c r="M48" s="542"/>
      <c r="N48" s="542"/>
      <c r="O48" s="542"/>
      <c r="P48" s="542"/>
      <c r="Q48" s="542"/>
      <c r="R48" s="542">
        <f t="shared" si="8"/>
        <v>0</v>
      </c>
      <c r="S48" s="542"/>
      <c r="T48" s="542"/>
      <c r="U48" s="542"/>
      <c r="V48" s="543"/>
      <c r="W48" s="542"/>
      <c r="X48" s="544">
        <f t="shared" si="2"/>
        <v>0</v>
      </c>
      <c r="Y48" s="545">
        <f t="shared" si="9"/>
        <v>0</v>
      </c>
      <c r="Z48" s="546"/>
      <c r="AA48" s="342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70"/>
    </row>
    <row r="49" spans="1:42" ht="24.95" hidden="1" customHeight="1" x14ac:dyDescent="0.25">
      <c r="A49" s="82">
        <v>32</v>
      </c>
      <c r="B49" s="594" t="s">
        <v>299</v>
      </c>
      <c r="C49" s="28" t="s">
        <v>300</v>
      </c>
      <c r="D49" s="542"/>
      <c r="E49" s="542"/>
      <c r="F49" s="542"/>
      <c r="G49" s="542"/>
      <c r="H49" s="542"/>
      <c r="I49" s="542"/>
      <c r="J49" s="542"/>
      <c r="K49" s="542">
        <f>15184.594</f>
        <v>15184.593999999999</v>
      </c>
      <c r="L49" s="542"/>
      <c r="M49" s="542"/>
      <c r="N49" s="542"/>
      <c r="O49" s="542"/>
      <c r="P49" s="542"/>
      <c r="Q49" s="542"/>
      <c r="R49" s="542">
        <f t="shared" si="8"/>
        <v>15184.593999999999</v>
      </c>
      <c r="S49" s="542"/>
      <c r="T49" s="542"/>
      <c r="U49" s="542"/>
      <c r="V49" s="543"/>
      <c r="W49" s="542"/>
      <c r="X49" s="544">
        <f t="shared" si="2"/>
        <v>0</v>
      </c>
      <c r="Y49" s="545">
        <f t="shared" si="9"/>
        <v>15184.593999999999</v>
      </c>
      <c r="Z49" s="546"/>
      <c r="AA49" s="342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70"/>
    </row>
    <row r="50" spans="1:42" ht="24.95" hidden="1" customHeight="1" x14ac:dyDescent="0.25">
      <c r="A50" s="82">
        <v>33</v>
      </c>
      <c r="B50" s="594" t="s">
        <v>301</v>
      </c>
      <c r="C50" s="28" t="s">
        <v>272</v>
      </c>
      <c r="D50" s="542"/>
      <c r="E50" s="542"/>
      <c r="F50" s="542"/>
      <c r="G50" s="542"/>
      <c r="H50" s="542"/>
      <c r="I50" s="542"/>
      <c r="J50" s="542">
        <f>50</f>
        <v>50</v>
      </c>
      <c r="K50" s="542">
        <f>-50</f>
        <v>-50</v>
      </c>
      <c r="L50" s="542"/>
      <c r="M50" s="542"/>
      <c r="N50" s="542"/>
      <c r="O50" s="542"/>
      <c r="P50" s="542"/>
      <c r="Q50" s="542"/>
      <c r="R50" s="542">
        <f t="shared" si="8"/>
        <v>0</v>
      </c>
      <c r="S50" s="542"/>
      <c r="T50" s="542"/>
      <c r="U50" s="542"/>
      <c r="V50" s="543"/>
      <c r="W50" s="542"/>
      <c r="X50" s="544">
        <f t="shared" si="2"/>
        <v>0</v>
      </c>
      <c r="Y50" s="545">
        <f t="shared" si="9"/>
        <v>0</v>
      </c>
      <c r="Z50" s="546"/>
      <c r="AA50" s="342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70"/>
    </row>
    <row r="51" spans="1:42" ht="24.95" hidden="1" customHeight="1" x14ac:dyDescent="0.25">
      <c r="A51" s="82">
        <v>34</v>
      </c>
      <c r="B51" s="139" t="s">
        <v>286</v>
      </c>
      <c r="C51" s="28" t="s">
        <v>287</v>
      </c>
      <c r="D51" s="542"/>
      <c r="E51" s="542"/>
      <c r="F51" s="542"/>
      <c r="G51" s="542"/>
      <c r="H51" s="542"/>
      <c r="I51" s="542"/>
      <c r="J51" s="542"/>
      <c r="K51" s="542"/>
      <c r="L51" s="542">
        <f>-5669-1531</f>
        <v>-7200</v>
      </c>
      <c r="M51" s="542"/>
      <c r="N51" s="542"/>
      <c r="O51" s="542"/>
      <c r="P51" s="542"/>
      <c r="Q51" s="542"/>
      <c r="R51" s="542">
        <f t="shared" si="1"/>
        <v>-7200</v>
      </c>
      <c r="S51" s="542"/>
      <c r="T51" s="542"/>
      <c r="U51" s="542"/>
      <c r="V51" s="542"/>
      <c r="W51" s="542"/>
      <c r="X51" s="544">
        <f t="shared" si="2"/>
        <v>0</v>
      </c>
      <c r="Y51" s="545">
        <f t="shared" si="3"/>
        <v>-7200</v>
      </c>
      <c r="Z51" s="546">
        <f>7200</f>
        <v>7200</v>
      </c>
      <c r="AA51" s="342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0"/>
    </row>
    <row r="52" spans="1:42" ht="24.95" hidden="1" customHeight="1" x14ac:dyDescent="0.25">
      <c r="A52" s="82">
        <v>35</v>
      </c>
      <c r="B52" s="225" t="s">
        <v>302</v>
      </c>
      <c r="C52" s="33" t="s">
        <v>303</v>
      </c>
      <c r="D52" s="542">
        <f>146</f>
        <v>146</v>
      </c>
      <c r="E52" s="542">
        <f>39+26</f>
        <v>65</v>
      </c>
      <c r="F52" s="542">
        <f>-166-45</f>
        <v>-211</v>
      </c>
      <c r="G52" s="542"/>
      <c r="H52" s="542"/>
      <c r="I52" s="542"/>
      <c r="J52" s="542"/>
      <c r="K52" s="542"/>
      <c r="L52" s="542"/>
      <c r="M52" s="542"/>
      <c r="N52" s="542"/>
      <c r="O52" s="542"/>
      <c r="P52" s="542"/>
      <c r="Q52" s="542"/>
      <c r="R52" s="542">
        <f t="shared" si="1"/>
        <v>0</v>
      </c>
      <c r="S52" s="542"/>
      <c r="T52" s="542"/>
      <c r="U52" s="542"/>
      <c r="V52" s="542"/>
      <c r="W52" s="542"/>
      <c r="X52" s="544">
        <f t="shared" si="2"/>
        <v>0</v>
      </c>
      <c r="Y52" s="545">
        <f t="shared" si="3"/>
        <v>0</v>
      </c>
      <c r="Z52" s="546"/>
      <c r="AA52" s="342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70"/>
    </row>
    <row r="53" spans="1:42" ht="24.95" hidden="1" customHeight="1" x14ac:dyDescent="0.25">
      <c r="A53" s="82">
        <v>36</v>
      </c>
      <c r="B53" s="225" t="s">
        <v>304</v>
      </c>
      <c r="C53" s="28" t="s">
        <v>314</v>
      </c>
      <c r="D53" s="542"/>
      <c r="E53" s="542"/>
      <c r="F53" s="542"/>
      <c r="G53" s="542"/>
      <c r="H53" s="542"/>
      <c r="I53" s="542"/>
      <c r="J53" s="542"/>
      <c r="K53" s="542">
        <f>-4966</f>
        <v>-4966</v>
      </c>
      <c r="L53" s="542">
        <f>3910+1056</f>
        <v>4966</v>
      </c>
      <c r="M53" s="542"/>
      <c r="N53" s="542"/>
      <c r="O53" s="542"/>
      <c r="P53" s="542"/>
      <c r="Q53" s="542"/>
      <c r="R53" s="542">
        <f t="shared" si="1"/>
        <v>0</v>
      </c>
      <c r="S53" s="542"/>
      <c r="T53" s="542"/>
      <c r="U53" s="542"/>
      <c r="V53" s="542"/>
      <c r="W53" s="542"/>
      <c r="X53" s="544">
        <f>SUM(T53:W53)</f>
        <v>0</v>
      </c>
      <c r="Y53" s="545">
        <f>R53+X53</f>
        <v>0</v>
      </c>
      <c r="Z53" s="546"/>
      <c r="AA53" s="342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70"/>
    </row>
    <row r="54" spans="1:42" ht="24.95" hidden="1" customHeight="1" x14ac:dyDescent="0.25">
      <c r="A54" s="82">
        <v>37</v>
      </c>
      <c r="B54" s="225" t="s">
        <v>305</v>
      </c>
      <c r="C54" s="28" t="s">
        <v>306</v>
      </c>
      <c r="D54" s="542"/>
      <c r="E54" s="542"/>
      <c r="F54" s="542"/>
      <c r="G54" s="542"/>
      <c r="H54" s="542"/>
      <c r="I54" s="542"/>
      <c r="J54" s="542"/>
      <c r="K54" s="542">
        <f>-4275</f>
        <v>-4275</v>
      </c>
      <c r="L54" s="542"/>
      <c r="M54" s="542"/>
      <c r="N54" s="542"/>
      <c r="O54" s="542"/>
      <c r="P54" s="542"/>
      <c r="Q54" s="542"/>
      <c r="R54" s="542">
        <f t="shared" si="1"/>
        <v>-4275</v>
      </c>
      <c r="S54" s="542"/>
      <c r="T54" s="542"/>
      <c r="U54" s="542"/>
      <c r="V54" s="542"/>
      <c r="W54" s="542"/>
      <c r="X54" s="544">
        <f>SUM(T54:W54)</f>
        <v>0</v>
      </c>
      <c r="Y54" s="545">
        <f>R54+X54</f>
        <v>-4275</v>
      </c>
      <c r="Z54" s="546">
        <f>4275</f>
        <v>4275</v>
      </c>
      <c r="AA54" s="342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70"/>
    </row>
    <row r="55" spans="1:42" ht="24.95" hidden="1" customHeight="1" x14ac:dyDescent="0.25">
      <c r="A55" s="82">
        <v>38</v>
      </c>
      <c r="B55" s="225" t="s">
        <v>309</v>
      </c>
      <c r="C55" s="28" t="s">
        <v>272</v>
      </c>
      <c r="D55" s="542"/>
      <c r="E55" s="542"/>
      <c r="F55" s="542"/>
      <c r="G55" s="542"/>
      <c r="H55" s="542"/>
      <c r="I55" s="542"/>
      <c r="J55" s="542">
        <f>110+46</f>
        <v>156</v>
      </c>
      <c r="K55" s="542">
        <f>-156</f>
        <v>-156</v>
      </c>
      <c r="L55" s="542"/>
      <c r="M55" s="542"/>
      <c r="N55" s="542"/>
      <c r="O55" s="542"/>
      <c r="P55" s="542"/>
      <c r="Q55" s="542"/>
      <c r="R55" s="542">
        <f t="shared" si="1"/>
        <v>0</v>
      </c>
      <c r="S55" s="542"/>
      <c r="T55" s="542"/>
      <c r="U55" s="542"/>
      <c r="V55" s="542"/>
      <c r="W55" s="542"/>
      <c r="X55" s="544">
        <f t="shared" ref="X55:X78" si="10">SUM(T55:W55)</f>
        <v>0</v>
      </c>
      <c r="Y55" s="545">
        <f t="shared" ref="Y55:Y84" si="11">R55+X55</f>
        <v>0</v>
      </c>
      <c r="Z55" s="546"/>
      <c r="AA55" s="342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70"/>
    </row>
    <row r="56" spans="1:42" ht="24.95" hidden="1" customHeight="1" x14ac:dyDescent="0.25">
      <c r="A56" s="82">
        <v>39</v>
      </c>
      <c r="B56" s="225" t="s">
        <v>310</v>
      </c>
      <c r="C56" s="28" t="s">
        <v>311</v>
      </c>
      <c r="D56" s="542"/>
      <c r="E56" s="542"/>
      <c r="F56" s="542"/>
      <c r="G56" s="542"/>
      <c r="H56" s="542"/>
      <c r="I56" s="542"/>
      <c r="J56" s="542">
        <f>50</f>
        <v>50</v>
      </c>
      <c r="K56" s="542">
        <f>-50</f>
        <v>-50</v>
      </c>
      <c r="L56" s="542"/>
      <c r="M56" s="542"/>
      <c r="N56" s="542"/>
      <c r="O56" s="542"/>
      <c r="P56" s="542"/>
      <c r="Q56" s="542"/>
      <c r="R56" s="542">
        <f t="shared" si="1"/>
        <v>0</v>
      </c>
      <c r="S56" s="542"/>
      <c r="T56" s="542"/>
      <c r="U56" s="542"/>
      <c r="V56" s="542"/>
      <c r="W56" s="542"/>
      <c r="X56" s="544">
        <f t="shared" si="10"/>
        <v>0</v>
      </c>
      <c r="Y56" s="545">
        <f t="shared" si="11"/>
        <v>0</v>
      </c>
      <c r="Z56" s="546"/>
      <c r="AA56" s="342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70"/>
    </row>
    <row r="57" spans="1:42" ht="24.95" hidden="1" customHeight="1" x14ac:dyDescent="0.25">
      <c r="A57" s="82">
        <v>40</v>
      </c>
      <c r="B57" s="225" t="s">
        <v>312</v>
      </c>
      <c r="C57" s="39" t="s">
        <v>313</v>
      </c>
      <c r="D57" s="542"/>
      <c r="E57" s="542"/>
      <c r="F57" s="542"/>
      <c r="G57" s="542"/>
      <c r="H57" s="542"/>
      <c r="I57" s="542"/>
      <c r="J57" s="542"/>
      <c r="K57" s="542">
        <f>-2500</f>
        <v>-2500</v>
      </c>
      <c r="L57" s="542"/>
      <c r="M57" s="542"/>
      <c r="N57" s="542"/>
      <c r="O57" s="542"/>
      <c r="P57" s="542"/>
      <c r="Q57" s="542">
        <f>2500</f>
        <v>2500</v>
      </c>
      <c r="R57" s="542">
        <f t="shared" si="1"/>
        <v>0</v>
      </c>
      <c r="S57" s="542"/>
      <c r="T57" s="542"/>
      <c r="U57" s="542"/>
      <c r="V57" s="542"/>
      <c r="W57" s="542"/>
      <c r="X57" s="544">
        <f t="shared" si="10"/>
        <v>0</v>
      </c>
      <c r="Y57" s="545">
        <f t="shared" si="11"/>
        <v>0</v>
      </c>
      <c r="Z57" s="546"/>
      <c r="AA57" s="342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70"/>
    </row>
    <row r="58" spans="1:42" ht="24.95" hidden="1" customHeight="1" x14ac:dyDescent="0.25">
      <c r="A58" s="82">
        <v>41</v>
      </c>
      <c r="B58" s="225" t="s">
        <v>316</v>
      </c>
      <c r="C58" s="39" t="s">
        <v>317</v>
      </c>
      <c r="D58" s="542"/>
      <c r="E58" s="542"/>
      <c r="F58" s="542">
        <f>-340-92</f>
        <v>-432</v>
      </c>
      <c r="G58" s="542"/>
      <c r="H58" s="542"/>
      <c r="I58" s="542"/>
      <c r="J58" s="542"/>
      <c r="K58" s="542"/>
      <c r="L58" s="542">
        <f>340+92</f>
        <v>432</v>
      </c>
      <c r="M58" s="542"/>
      <c r="N58" s="542"/>
      <c r="O58" s="542"/>
      <c r="P58" s="542"/>
      <c r="Q58" s="542"/>
      <c r="R58" s="542">
        <f t="shared" si="1"/>
        <v>0</v>
      </c>
      <c r="S58" s="542"/>
      <c r="T58" s="542"/>
      <c r="U58" s="542"/>
      <c r="V58" s="542"/>
      <c r="W58" s="542"/>
      <c r="X58" s="544">
        <f t="shared" si="10"/>
        <v>0</v>
      </c>
      <c r="Y58" s="545">
        <f t="shared" si="11"/>
        <v>0</v>
      </c>
      <c r="Z58" s="546"/>
      <c r="AA58" s="342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70"/>
    </row>
    <row r="59" spans="1:42" ht="24.95" hidden="1" customHeight="1" x14ac:dyDescent="0.25">
      <c r="A59" s="82">
        <v>42</v>
      </c>
      <c r="B59" s="225" t="s">
        <v>318</v>
      </c>
      <c r="C59" s="28" t="s">
        <v>311</v>
      </c>
      <c r="D59" s="542"/>
      <c r="E59" s="542"/>
      <c r="F59" s="542"/>
      <c r="G59" s="542"/>
      <c r="H59" s="542"/>
      <c r="I59" s="542"/>
      <c r="J59" s="542">
        <f>350</f>
        <v>350</v>
      </c>
      <c r="K59" s="542">
        <f>-350</f>
        <v>-350</v>
      </c>
      <c r="L59" s="542"/>
      <c r="M59" s="542"/>
      <c r="N59" s="542"/>
      <c r="O59" s="542"/>
      <c r="P59" s="542"/>
      <c r="Q59" s="542"/>
      <c r="R59" s="542">
        <f t="shared" si="1"/>
        <v>0</v>
      </c>
      <c r="S59" s="542"/>
      <c r="T59" s="542"/>
      <c r="U59" s="542"/>
      <c r="V59" s="542"/>
      <c r="W59" s="542"/>
      <c r="X59" s="544">
        <f t="shared" si="10"/>
        <v>0</v>
      </c>
      <c r="Y59" s="545">
        <f t="shared" si="11"/>
        <v>0</v>
      </c>
      <c r="Z59" s="546"/>
      <c r="AA59" s="342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70"/>
    </row>
    <row r="60" spans="1:42" ht="24.95" hidden="1" customHeight="1" x14ac:dyDescent="0.25">
      <c r="A60" s="82">
        <v>43</v>
      </c>
      <c r="B60" s="596" t="s">
        <v>320</v>
      </c>
      <c r="C60" s="39" t="s">
        <v>319</v>
      </c>
      <c r="D60" s="542"/>
      <c r="E60" s="542"/>
      <c r="F60" s="542">
        <f>200</f>
        <v>200</v>
      </c>
      <c r="G60" s="542"/>
      <c r="H60" s="542"/>
      <c r="I60" s="542"/>
      <c r="J60" s="542">
        <f>-200</f>
        <v>-200</v>
      </c>
      <c r="K60" s="542"/>
      <c r="L60" s="542"/>
      <c r="M60" s="542"/>
      <c r="N60" s="542"/>
      <c r="O60" s="542"/>
      <c r="P60" s="542"/>
      <c r="Q60" s="542"/>
      <c r="R60" s="542">
        <f t="shared" si="1"/>
        <v>0</v>
      </c>
      <c r="S60" s="542"/>
      <c r="T60" s="542"/>
      <c r="U60" s="542"/>
      <c r="V60" s="542"/>
      <c r="W60" s="542"/>
      <c r="X60" s="544">
        <f t="shared" si="10"/>
        <v>0</v>
      </c>
      <c r="Y60" s="545">
        <f t="shared" si="11"/>
        <v>0</v>
      </c>
      <c r="Z60" s="546"/>
      <c r="AA60" s="342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70"/>
    </row>
    <row r="61" spans="1:42" ht="24.95" hidden="1" customHeight="1" x14ac:dyDescent="0.25">
      <c r="A61" s="82"/>
      <c r="B61" s="225"/>
      <c r="C61" s="39"/>
      <c r="D61" s="542"/>
      <c r="E61" s="542"/>
      <c r="F61" s="542"/>
      <c r="G61" s="542"/>
      <c r="H61" s="542"/>
      <c r="I61" s="542"/>
      <c r="J61" s="542"/>
      <c r="K61" s="542"/>
      <c r="L61" s="542"/>
      <c r="M61" s="542"/>
      <c r="N61" s="542"/>
      <c r="O61" s="542"/>
      <c r="P61" s="542"/>
      <c r="Q61" s="542"/>
      <c r="R61" s="542">
        <f t="shared" si="1"/>
        <v>0</v>
      </c>
      <c r="S61" s="542"/>
      <c r="T61" s="542"/>
      <c r="U61" s="542"/>
      <c r="V61" s="542"/>
      <c r="W61" s="542"/>
      <c r="X61" s="544">
        <f t="shared" si="10"/>
        <v>0</v>
      </c>
      <c r="Y61" s="545">
        <f t="shared" si="11"/>
        <v>0</v>
      </c>
      <c r="Z61" s="546"/>
      <c r="AA61" s="342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70"/>
    </row>
    <row r="62" spans="1:42" ht="24.95" hidden="1" customHeight="1" x14ac:dyDescent="0.25">
      <c r="A62" s="82"/>
      <c r="B62" s="225"/>
      <c r="C62" s="39"/>
      <c r="D62" s="542"/>
      <c r="E62" s="542"/>
      <c r="F62" s="542"/>
      <c r="G62" s="542"/>
      <c r="H62" s="542"/>
      <c r="I62" s="542"/>
      <c r="J62" s="542"/>
      <c r="K62" s="542"/>
      <c r="L62" s="542"/>
      <c r="M62" s="542"/>
      <c r="N62" s="542"/>
      <c r="O62" s="542"/>
      <c r="P62" s="542"/>
      <c r="Q62" s="542"/>
      <c r="R62" s="542">
        <f t="shared" si="1"/>
        <v>0</v>
      </c>
      <c r="S62" s="542"/>
      <c r="T62" s="542"/>
      <c r="U62" s="542"/>
      <c r="V62" s="542"/>
      <c r="W62" s="542"/>
      <c r="X62" s="544">
        <f t="shared" si="10"/>
        <v>0</v>
      </c>
      <c r="Y62" s="545">
        <f t="shared" si="11"/>
        <v>0</v>
      </c>
      <c r="Z62" s="546"/>
      <c r="AA62" s="342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70"/>
    </row>
    <row r="63" spans="1:42" ht="24.95" hidden="1" customHeight="1" x14ac:dyDescent="0.25">
      <c r="A63" s="82"/>
      <c r="B63" s="225"/>
      <c r="C63" s="39"/>
      <c r="D63" s="542"/>
      <c r="E63" s="542"/>
      <c r="F63" s="542"/>
      <c r="G63" s="542"/>
      <c r="H63" s="542"/>
      <c r="I63" s="542"/>
      <c r="J63" s="542"/>
      <c r="K63" s="542"/>
      <c r="L63" s="542"/>
      <c r="M63" s="542"/>
      <c r="N63" s="542"/>
      <c r="O63" s="542"/>
      <c r="P63" s="542"/>
      <c r="Q63" s="542"/>
      <c r="R63" s="542">
        <f t="shared" si="1"/>
        <v>0</v>
      </c>
      <c r="S63" s="542"/>
      <c r="T63" s="542"/>
      <c r="U63" s="542"/>
      <c r="V63" s="542"/>
      <c r="W63" s="542"/>
      <c r="X63" s="544">
        <f t="shared" si="10"/>
        <v>0</v>
      </c>
      <c r="Y63" s="545">
        <f t="shared" si="11"/>
        <v>0</v>
      </c>
      <c r="Z63" s="546"/>
      <c r="AA63" s="342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70"/>
    </row>
    <row r="64" spans="1:42" ht="24.95" hidden="1" customHeight="1" x14ac:dyDescent="0.25">
      <c r="A64" s="82"/>
      <c r="B64" s="225"/>
      <c r="C64" s="39"/>
      <c r="D64" s="542"/>
      <c r="E64" s="542"/>
      <c r="F64" s="542"/>
      <c r="G64" s="542"/>
      <c r="H64" s="542"/>
      <c r="I64" s="542"/>
      <c r="J64" s="542"/>
      <c r="K64" s="542"/>
      <c r="L64" s="542"/>
      <c r="M64" s="542"/>
      <c r="N64" s="542"/>
      <c r="O64" s="542"/>
      <c r="P64" s="542"/>
      <c r="Q64" s="542"/>
      <c r="R64" s="542">
        <f t="shared" si="1"/>
        <v>0</v>
      </c>
      <c r="S64" s="542"/>
      <c r="T64" s="542"/>
      <c r="U64" s="542"/>
      <c r="V64" s="542"/>
      <c r="W64" s="542"/>
      <c r="X64" s="544">
        <f t="shared" si="10"/>
        <v>0</v>
      </c>
      <c r="Y64" s="545">
        <f t="shared" si="11"/>
        <v>0</v>
      </c>
      <c r="Z64" s="546"/>
      <c r="AA64" s="342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70"/>
    </row>
    <row r="65" spans="1:42" ht="24.95" hidden="1" customHeight="1" x14ac:dyDescent="0.25">
      <c r="A65" s="82"/>
      <c r="B65" s="225"/>
      <c r="C65" s="39"/>
      <c r="D65" s="542"/>
      <c r="E65" s="542"/>
      <c r="F65" s="542"/>
      <c r="G65" s="54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2">
        <f t="shared" si="1"/>
        <v>0</v>
      </c>
      <c r="S65" s="542"/>
      <c r="T65" s="542"/>
      <c r="U65" s="542"/>
      <c r="V65" s="542"/>
      <c r="W65" s="542"/>
      <c r="X65" s="544">
        <f t="shared" si="10"/>
        <v>0</v>
      </c>
      <c r="Y65" s="545">
        <f t="shared" si="11"/>
        <v>0</v>
      </c>
      <c r="Z65" s="546"/>
      <c r="AA65" s="342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70"/>
    </row>
    <row r="66" spans="1:42" ht="24.95" hidden="1" customHeight="1" x14ac:dyDescent="0.25">
      <c r="A66" s="82"/>
      <c r="B66" s="225"/>
      <c r="C66" s="39"/>
      <c r="D66" s="542"/>
      <c r="E66" s="542"/>
      <c r="F66" s="542"/>
      <c r="G66" s="542"/>
      <c r="H66" s="542"/>
      <c r="I66" s="542"/>
      <c r="J66" s="542"/>
      <c r="K66" s="542"/>
      <c r="L66" s="542"/>
      <c r="M66" s="542"/>
      <c r="N66" s="542"/>
      <c r="O66" s="542"/>
      <c r="P66" s="542"/>
      <c r="Q66" s="542"/>
      <c r="R66" s="542">
        <f t="shared" si="1"/>
        <v>0</v>
      </c>
      <c r="S66" s="542"/>
      <c r="T66" s="542"/>
      <c r="U66" s="542"/>
      <c r="V66" s="542"/>
      <c r="W66" s="542"/>
      <c r="X66" s="544">
        <f t="shared" ref="X66:X74" si="12">SUM(T66:W66)</f>
        <v>0</v>
      </c>
      <c r="Y66" s="545">
        <f t="shared" ref="Y66:Y74" si="13">R66+X66</f>
        <v>0</v>
      </c>
      <c r="Z66" s="546"/>
      <c r="AA66" s="342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70"/>
    </row>
    <row r="67" spans="1:42" ht="24.95" hidden="1" customHeight="1" x14ac:dyDescent="0.25">
      <c r="A67" s="82"/>
      <c r="B67" s="225"/>
      <c r="C67" s="39"/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542"/>
      <c r="P67" s="542"/>
      <c r="Q67" s="542"/>
      <c r="R67" s="542">
        <f t="shared" si="1"/>
        <v>0</v>
      </c>
      <c r="S67" s="542"/>
      <c r="T67" s="542"/>
      <c r="U67" s="542"/>
      <c r="V67" s="542"/>
      <c r="W67" s="542"/>
      <c r="X67" s="544">
        <f t="shared" si="12"/>
        <v>0</v>
      </c>
      <c r="Y67" s="545">
        <f t="shared" si="13"/>
        <v>0</v>
      </c>
      <c r="Z67" s="546"/>
      <c r="AA67" s="342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70"/>
    </row>
    <row r="68" spans="1:42" ht="24.95" hidden="1" customHeight="1" x14ac:dyDescent="0.25">
      <c r="A68" s="82"/>
      <c r="B68" s="225"/>
      <c r="C68" s="39"/>
      <c r="D68" s="542"/>
      <c r="E68" s="542"/>
      <c r="F68" s="542"/>
      <c r="G68" s="542"/>
      <c r="H68" s="542"/>
      <c r="I68" s="542"/>
      <c r="J68" s="542"/>
      <c r="K68" s="542"/>
      <c r="L68" s="542"/>
      <c r="M68" s="542"/>
      <c r="N68" s="542"/>
      <c r="O68" s="542"/>
      <c r="P68" s="542"/>
      <c r="Q68" s="542"/>
      <c r="R68" s="542">
        <f t="shared" si="1"/>
        <v>0</v>
      </c>
      <c r="S68" s="542"/>
      <c r="T68" s="542"/>
      <c r="U68" s="542"/>
      <c r="V68" s="542"/>
      <c r="W68" s="542"/>
      <c r="X68" s="544">
        <f t="shared" si="12"/>
        <v>0</v>
      </c>
      <c r="Y68" s="545">
        <f t="shared" si="13"/>
        <v>0</v>
      </c>
      <c r="Z68" s="546"/>
      <c r="AA68" s="342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0"/>
    </row>
    <row r="69" spans="1:42" ht="24.95" hidden="1" customHeight="1" x14ac:dyDescent="0.25">
      <c r="A69" s="82"/>
      <c r="B69" s="225"/>
      <c r="C69" s="39"/>
      <c r="D69" s="542"/>
      <c r="E69" s="542"/>
      <c r="F69" s="542"/>
      <c r="G69" s="542"/>
      <c r="H69" s="542"/>
      <c r="I69" s="542"/>
      <c r="J69" s="542"/>
      <c r="K69" s="542"/>
      <c r="L69" s="542"/>
      <c r="M69" s="542"/>
      <c r="N69" s="542"/>
      <c r="O69" s="542"/>
      <c r="P69" s="542"/>
      <c r="Q69" s="542"/>
      <c r="R69" s="542">
        <f t="shared" si="1"/>
        <v>0</v>
      </c>
      <c r="S69" s="542"/>
      <c r="T69" s="542"/>
      <c r="U69" s="542"/>
      <c r="V69" s="542"/>
      <c r="W69" s="542"/>
      <c r="X69" s="544">
        <f t="shared" si="12"/>
        <v>0</v>
      </c>
      <c r="Y69" s="545">
        <f t="shared" si="13"/>
        <v>0</v>
      </c>
      <c r="Z69" s="546"/>
      <c r="AA69" s="342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42" ht="24.95" hidden="1" customHeight="1" x14ac:dyDescent="0.25">
      <c r="A70" s="82"/>
      <c r="B70" s="225"/>
      <c r="C70" s="39"/>
      <c r="D70" s="542"/>
      <c r="E70" s="542"/>
      <c r="F70" s="542"/>
      <c r="G70" s="542"/>
      <c r="H70" s="542"/>
      <c r="I70" s="542"/>
      <c r="J70" s="542"/>
      <c r="K70" s="542"/>
      <c r="L70" s="542"/>
      <c r="M70" s="542"/>
      <c r="N70" s="542"/>
      <c r="O70" s="542"/>
      <c r="P70" s="542"/>
      <c r="Q70" s="542"/>
      <c r="R70" s="542">
        <f t="shared" si="1"/>
        <v>0</v>
      </c>
      <c r="S70" s="542"/>
      <c r="T70" s="542"/>
      <c r="U70" s="542"/>
      <c r="V70" s="542"/>
      <c r="W70" s="542"/>
      <c r="X70" s="544">
        <f t="shared" si="12"/>
        <v>0</v>
      </c>
      <c r="Y70" s="545">
        <f t="shared" si="13"/>
        <v>0</v>
      </c>
      <c r="Z70" s="546"/>
      <c r="AA70" s="342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70"/>
    </row>
    <row r="71" spans="1:42" ht="24.95" hidden="1" customHeight="1" x14ac:dyDescent="0.25">
      <c r="A71" s="82"/>
      <c r="B71" s="563"/>
      <c r="C71" s="39"/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42"/>
      <c r="Q71" s="542"/>
      <c r="R71" s="542">
        <f t="shared" si="1"/>
        <v>0</v>
      </c>
      <c r="S71" s="542"/>
      <c r="T71" s="542"/>
      <c r="U71" s="542"/>
      <c r="V71" s="542"/>
      <c r="W71" s="542"/>
      <c r="X71" s="544">
        <f t="shared" si="12"/>
        <v>0</v>
      </c>
      <c r="Y71" s="545">
        <f t="shared" si="13"/>
        <v>0</v>
      </c>
      <c r="Z71" s="546"/>
      <c r="AA71" s="342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70"/>
    </row>
    <row r="72" spans="1:42" ht="24.95" hidden="1" customHeight="1" x14ac:dyDescent="0.25">
      <c r="A72" s="82"/>
      <c r="B72" s="225"/>
      <c r="C72" s="39"/>
      <c r="D72" s="542"/>
      <c r="E72" s="542"/>
      <c r="F72" s="542"/>
      <c r="G72" s="542"/>
      <c r="H72" s="542"/>
      <c r="I72" s="542"/>
      <c r="J72" s="542"/>
      <c r="K72" s="542"/>
      <c r="L72" s="542"/>
      <c r="M72" s="542"/>
      <c r="N72" s="542"/>
      <c r="O72" s="542"/>
      <c r="P72" s="542"/>
      <c r="Q72" s="542"/>
      <c r="R72" s="542">
        <f t="shared" si="1"/>
        <v>0</v>
      </c>
      <c r="S72" s="542"/>
      <c r="T72" s="542"/>
      <c r="U72" s="542"/>
      <c r="V72" s="542"/>
      <c r="W72" s="542"/>
      <c r="X72" s="544">
        <f t="shared" si="12"/>
        <v>0</v>
      </c>
      <c r="Y72" s="545">
        <f t="shared" si="13"/>
        <v>0</v>
      </c>
      <c r="Z72" s="546"/>
      <c r="AA72" s="342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70"/>
    </row>
    <row r="73" spans="1:42" ht="24.95" hidden="1" customHeight="1" x14ac:dyDescent="0.25">
      <c r="A73" s="82"/>
      <c r="B73" s="225"/>
      <c r="C73" s="39"/>
      <c r="D73" s="542"/>
      <c r="E73" s="542"/>
      <c r="F73" s="542"/>
      <c r="G73" s="542"/>
      <c r="H73" s="542"/>
      <c r="I73" s="542"/>
      <c r="J73" s="542"/>
      <c r="K73" s="542"/>
      <c r="L73" s="542"/>
      <c r="M73" s="542"/>
      <c r="N73" s="542"/>
      <c r="O73" s="542"/>
      <c r="P73" s="542"/>
      <c r="Q73" s="542"/>
      <c r="R73" s="542">
        <f t="shared" si="1"/>
        <v>0</v>
      </c>
      <c r="S73" s="542"/>
      <c r="T73" s="542"/>
      <c r="U73" s="542"/>
      <c r="V73" s="542"/>
      <c r="W73" s="542"/>
      <c r="X73" s="544">
        <f t="shared" si="12"/>
        <v>0</v>
      </c>
      <c r="Y73" s="545">
        <f t="shared" si="13"/>
        <v>0</v>
      </c>
      <c r="Z73" s="546"/>
      <c r="AA73" s="342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70"/>
    </row>
    <row r="74" spans="1:42" ht="24.95" hidden="1" customHeight="1" x14ac:dyDescent="0.25">
      <c r="A74" s="82"/>
      <c r="B74" s="225"/>
      <c r="C74" s="39"/>
      <c r="D74" s="542"/>
      <c r="E74" s="542"/>
      <c r="F74" s="542"/>
      <c r="G74" s="542"/>
      <c r="H74" s="542"/>
      <c r="I74" s="542"/>
      <c r="J74" s="542"/>
      <c r="K74" s="542"/>
      <c r="L74" s="542"/>
      <c r="M74" s="542"/>
      <c r="N74" s="542"/>
      <c r="O74" s="542"/>
      <c r="P74" s="542"/>
      <c r="Q74" s="542"/>
      <c r="R74" s="542">
        <f t="shared" si="1"/>
        <v>0</v>
      </c>
      <c r="S74" s="542"/>
      <c r="T74" s="542"/>
      <c r="U74" s="542"/>
      <c r="V74" s="542"/>
      <c r="W74" s="542"/>
      <c r="X74" s="544">
        <f t="shared" si="12"/>
        <v>0</v>
      </c>
      <c r="Y74" s="545">
        <f t="shared" si="13"/>
        <v>0</v>
      </c>
      <c r="Z74" s="546"/>
      <c r="AA74" s="342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70"/>
    </row>
    <row r="75" spans="1:42" ht="24.95" hidden="1" customHeight="1" x14ac:dyDescent="0.25">
      <c r="A75" s="82"/>
      <c r="B75" s="225"/>
      <c r="C75" s="39"/>
      <c r="D75" s="542"/>
      <c r="E75" s="542"/>
      <c r="F75" s="542"/>
      <c r="G75" s="542"/>
      <c r="H75" s="542"/>
      <c r="I75" s="542"/>
      <c r="J75" s="542"/>
      <c r="K75" s="542"/>
      <c r="L75" s="542"/>
      <c r="M75" s="542"/>
      <c r="N75" s="542"/>
      <c r="O75" s="542"/>
      <c r="P75" s="542"/>
      <c r="Q75" s="542"/>
      <c r="R75" s="542">
        <f t="shared" si="1"/>
        <v>0</v>
      </c>
      <c r="S75" s="542"/>
      <c r="T75" s="542"/>
      <c r="U75" s="542"/>
      <c r="V75" s="542"/>
      <c r="W75" s="542"/>
      <c r="X75" s="544">
        <f t="shared" si="10"/>
        <v>0</v>
      </c>
      <c r="Y75" s="545">
        <f t="shared" si="11"/>
        <v>0</v>
      </c>
      <c r="Z75" s="546"/>
      <c r="AA75" s="342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70"/>
    </row>
    <row r="76" spans="1:42" ht="24.95" hidden="1" customHeight="1" x14ac:dyDescent="0.25">
      <c r="A76" s="82"/>
      <c r="B76" s="225"/>
      <c r="C76" s="39"/>
      <c r="D76" s="542"/>
      <c r="E76" s="542"/>
      <c r="F76" s="542"/>
      <c r="G76" s="542"/>
      <c r="H76" s="542"/>
      <c r="I76" s="542"/>
      <c r="J76" s="542"/>
      <c r="K76" s="542"/>
      <c r="L76" s="542"/>
      <c r="M76" s="542"/>
      <c r="N76" s="542"/>
      <c r="O76" s="542"/>
      <c r="P76" s="542"/>
      <c r="Q76" s="542"/>
      <c r="R76" s="542">
        <f t="shared" si="1"/>
        <v>0</v>
      </c>
      <c r="S76" s="542"/>
      <c r="T76" s="542"/>
      <c r="U76" s="542"/>
      <c r="V76" s="542"/>
      <c r="W76" s="542"/>
      <c r="X76" s="544">
        <f t="shared" si="10"/>
        <v>0</v>
      </c>
      <c r="Y76" s="545">
        <f t="shared" si="11"/>
        <v>0</v>
      </c>
      <c r="Z76" s="546"/>
      <c r="AA76" s="342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70"/>
    </row>
    <row r="77" spans="1:42" ht="24.95" hidden="1" customHeight="1" x14ac:dyDescent="0.25">
      <c r="A77" s="82"/>
      <c r="B77" s="225"/>
      <c r="C77" s="39"/>
      <c r="D77" s="542"/>
      <c r="E77" s="542"/>
      <c r="F77" s="542"/>
      <c r="G77" s="542"/>
      <c r="H77" s="542"/>
      <c r="I77" s="542"/>
      <c r="J77" s="542"/>
      <c r="K77" s="542"/>
      <c r="L77" s="542"/>
      <c r="M77" s="542"/>
      <c r="N77" s="542"/>
      <c r="O77" s="542"/>
      <c r="P77" s="542"/>
      <c r="Q77" s="542"/>
      <c r="R77" s="542">
        <f t="shared" si="1"/>
        <v>0</v>
      </c>
      <c r="S77" s="542"/>
      <c r="T77" s="542"/>
      <c r="U77" s="542"/>
      <c r="V77" s="542"/>
      <c r="W77" s="542"/>
      <c r="X77" s="544">
        <f t="shared" si="10"/>
        <v>0</v>
      </c>
      <c r="Y77" s="545">
        <f t="shared" si="11"/>
        <v>0</v>
      </c>
      <c r="Z77" s="546"/>
      <c r="AA77" s="342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70"/>
    </row>
    <row r="78" spans="1:42" ht="24.95" hidden="1" customHeight="1" x14ac:dyDescent="0.25">
      <c r="A78" s="82"/>
      <c r="B78" s="225"/>
      <c r="C78" s="39"/>
      <c r="D78" s="542"/>
      <c r="E78" s="542"/>
      <c r="F78" s="542"/>
      <c r="G78" s="542"/>
      <c r="H78" s="542"/>
      <c r="I78" s="542"/>
      <c r="J78" s="542"/>
      <c r="K78" s="542"/>
      <c r="L78" s="542"/>
      <c r="M78" s="542"/>
      <c r="N78" s="542"/>
      <c r="O78" s="542"/>
      <c r="P78" s="542"/>
      <c r="Q78" s="542"/>
      <c r="R78" s="542">
        <f t="shared" si="1"/>
        <v>0</v>
      </c>
      <c r="S78" s="542"/>
      <c r="T78" s="542"/>
      <c r="U78" s="542"/>
      <c r="V78" s="542"/>
      <c r="W78" s="542"/>
      <c r="X78" s="544">
        <f t="shared" si="10"/>
        <v>0</v>
      </c>
      <c r="Y78" s="545">
        <f t="shared" si="11"/>
        <v>0</v>
      </c>
      <c r="Z78" s="546"/>
      <c r="AA78" s="342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70"/>
    </row>
    <row r="79" spans="1:42" ht="24.95" hidden="1" customHeight="1" x14ac:dyDescent="0.25">
      <c r="A79" s="82"/>
      <c r="B79" s="225"/>
      <c r="C79" s="39"/>
      <c r="D79" s="542"/>
      <c r="E79" s="542"/>
      <c r="F79" s="542"/>
      <c r="G79" s="542"/>
      <c r="H79" s="542"/>
      <c r="I79" s="542"/>
      <c r="J79" s="542"/>
      <c r="K79" s="542"/>
      <c r="L79" s="542"/>
      <c r="M79" s="542"/>
      <c r="N79" s="542"/>
      <c r="O79" s="542"/>
      <c r="P79" s="542"/>
      <c r="Q79" s="542"/>
      <c r="R79" s="542">
        <f t="shared" si="1"/>
        <v>0</v>
      </c>
      <c r="S79" s="542"/>
      <c r="T79" s="542"/>
      <c r="U79" s="542"/>
      <c r="V79" s="542"/>
      <c r="W79" s="542"/>
      <c r="X79" s="544">
        <f t="shared" si="2"/>
        <v>0</v>
      </c>
      <c r="Y79" s="545">
        <f t="shared" si="11"/>
        <v>0</v>
      </c>
      <c r="Z79" s="546"/>
      <c r="AA79" s="342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70"/>
    </row>
    <row r="80" spans="1:42" ht="29.45" hidden="1" customHeight="1" x14ac:dyDescent="0.25">
      <c r="A80" s="82"/>
      <c r="B80" s="225"/>
      <c r="C80" s="39"/>
      <c r="D80" s="542"/>
      <c r="E80" s="542"/>
      <c r="F80" s="542"/>
      <c r="G80" s="542"/>
      <c r="H80" s="542"/>
      <c r="I80" s="542"/>
      <c r="J80" s="542"/>
      <c r="K80" s="542"/>
      <c r="L80" s="542"/>
      <c r="M80" s="542"/>
      <c r="N80" s="542"/>
      <c r="O80" s="542"/>
      <c r="P80" s="542"/>
      <c r="Q80" s="542"/>
      <c r="R80" s="542">
        <f t="shared" si="1"/>
        <v>0</v>
      </c>
      <c r="S80" s="542"/>
      <c r="T80" s="542"/>
      <c r="U80" s="542"/>
      <c r="V80" s="542"/>
      <c r="W80" s="542"/>
      <c r="X80" s="544">
        <f t="shared" ref="X80:X93" si="14">SUM(T80:W80)</f>
        <v>0</v>
      </c>
      <c r="Y80" s="545">
        <f t="shared" si="11"/>
        <v>0</v>
      </c>
      <c r="Z80" s="546"/>
      <c r="AA80" s="342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70"/>
    </row>
    <row r="81" spans="1:42" ht="24.95" hidden="1" customHeight="1" x14ac:dyDescent="0.25">
      <c r="A81" s="82"/>
      <c r="B81" s="225"/>
      <c r="C81" s="39"/>
      <c r="D81" s="542"/>
      <c r="E81" s="542"/>
      <c r="F81" s="542"/>
      <c r="G81" s="542"/>
      <c r="H81" s="542"/>
      <c r="I81" s="542"/>
      <c r="J81" s="542"/>
      <c r="K81" s="542"/>
      <c r="L81" s="542"/>
      <c r="M81" s="542"/>
      <c r="N81" s="542"/>
      <c r="O81" s="542"/>
      <c r="P81" s="542"/>
      <c r="Q81" s="542"/>
      <c r="R81" s="542">
        <f t="shared" si="1"/>
        <v>0</v>
      </c>
      <c r="S81" s="542"/>
      <c r="T81" s="542"/>
      <c r="U81" s="542"/>
      <c r="V81" s="542"/>
      <c r="W81" s="542"/>
      <c r="X81" s="544">
        <f t="shared" si="14"/>
        <v>0</v>
      </c>
      <c r="Y81" s="545">
        <f t="shared" si="11"/>
        <v>0</v>
      </c>
      <c r="Z81" s="546"/>
      <c r="AA81" s="342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70"/>
    </row>
    <row r="82" spans="1:42" ht="24.95" hidden="1" customHeight="1" x14ac:dyDescent="0.25">
      <c r="A82" s="82"/>
      <c r="B82" s="225"/>
      <c r="C82" s="39"/>
      <c r="D82" s="542"/>
      <c r="E82" s="542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>
        <f t="shared" si="1"/>
        <v>0</v>
      </c>
      <c r="S82" s="542"/>
      <c r="T82" s="542"/>
      <c r="U82" s="542"/>
      <c r="V82" s="542"/>
      <c r="W82" s="542"/>
      <c r="X82" s="544">
        <f t="shared" si="14"/>
        <v>0</v>
      </c>
      <c r="Y82" s="545">
        <f t="shared" si="11"/>
        <v>0</v>
      </c>
      <c r="Z82" s="546"/>
      <c r="AA82" s="342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70"/>
    </row>
    <row r="83" spans="1:42" ht="24.95" hidden="1" customHeight="1" x14ac:dyDescent="0.25">
      <c r="A83" s="82"/>
      <c r="B83" s="225"/>
      <c r="C83" s="39"/>
      <c r="D83" s="542"/>
      <c r="E83" s="542"/>
      <c r="F83" s="542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>
        <f t="shared" si="1"/>
        <v>0</v>
      </c>
      <c r="S83" s="542"/>
      <c r="T83" s="542"/>
      <c r="U83" s="542"/>
      <c r="V83" s="542"/>
      <c r="W83" s="542"/>
      <c r="X83" s="544">
        <f>SUM(T83:W83)</f>
        <v>0</v>
      </c>
      <c r="Y83" s="545">
        <f>R83+X83</f>
        <v>0</v>
      </c>
      <c r="Z83" s="546"/>
      <c r="AA83" s="342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70"/>
    </row>
    <row r="84" spans="1:42" ht="24.95" hidden="1" customHeight="1" x14ac:dyDescent="0.25">
      <c r="A84" s="82"/>
      <c r="B84" s="225"/>
      <c r="C84" s="39"/>
      <c r="D84" s="542"/>
      <c r="E84" s="542"/>
      <c r="F84" s="542"/>
      <c r="G84" s="542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>
        <f t="shared" si="1"/>
        <v>0</v>
      </c>
      <c r="S84" s="542"/>
      <c r="T84" s="542"/>
      <c r="U84" s="542"/>
      <c r="V84" s="542"/>
      <c r="W84" s="542"/>
      <c r="X84" s="544">
        <f t="shared" si="14"/>
        <v>0</v>
      </c>
      <c r="Y84" s="545">
        <f t="shared" si="11"/>
        <v>0</v>
      </c>
      <c r="Z84" s="546"/>
      <c r="AA84" s="342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70"/>
    </row>
    <row r="85" spans="1:42" ht="24.95" hidden="1" customHeight="1" x14ac:dyDescent="0.25">
      <c r="A85" s="82"/>
      <c r="B85" s="225"/>
      <c r="C85" s="39"/>
      <c r="D85" s="542"/>
      <c r="E85" s="542"/>
      <c r="F85" s="542"/>
      <c r="G85" s="542"/>
      <c r="H85" s="542"/>
      <c r="I85" s="542"/>
      <c r="J85" s="542"/>
      <c r="K85" s="542"/>
      <c r="L85" s="542"/>
      <c r="M85" s="542"/>
      <c r="N85" s="542"/>
      <c r="O85" s="542"/>
      <c r="P85" s="542"/>
      <c r="Q85" s="542"/>
      <c r="R85" s="542">
        <f t="shared" si="1"/>
        <v>0</v>
      </c>
      <c r="S85" s="542"/>
      <c r="T85" s="542"/>
      <c r="U85" s="542"/>
      <c r="V85" s="542"/>
      <c r="W85" s="542"/>
      <c r="X85" s="544">
        <f t="shared" si="14"/>
        <v>0</v>
      </c>
      <c r="Y85" s="545">
        <f t="shared" ref="Y85:Y93" si="15">R85+X85</f>
        <v>0</v>
      </c>
      <c r="Z85" s="546"/>
      <c r="AA85" s="342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70"/>
    </row>
    <row r="86" spans="1:42" ht="24.95" hidden="1" customHeight="1" x14ac:dyDescent="0.25">
      <c r="A86" s="82"/>
      <c r="B86" s="225"/>
      <c r="C86" s="39"/>
      <c r="D86" s="542"/>
      <c r="E86" s="542"/>
      <c r="F86" s="542"/>
      <c r="G86" s="542"/>
      <c r="H86" s="542"/>
      <c r="I86" s="542"/>
      <c r="J86" s="542"/>
      <c r="K86" s="542"/>
      <c r="L86" s="542"/>
      <c r="M86" s="542"/>
      <c r="N86" s="542"/>
      <c r="O86" s="542"/>
      <c r="P86" s="542"/>
      <c r="Q86" s="542"/>
      <c r="R86" s="542">
        <f t="shared" si="1"/>
        <v>0</v>
      </c>
      <c r="S86" s="542"/>
      <c r="T86" s="542"/>
      <c r="U86" s="542"/>
      <c r="V86" s="542"/>
      <c r="W86" s="542"/>
      <c r="X86" s="544">
        <f t="shared" si="14"/>
        <v>0</v>
      </c>
      <c r="Y86" s="545">
        <f t="shared" si="15"/>
        <v>0</v>
      </c>
      <c r="Z86" s="546"/>
      <c r="AA86" s="342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70"/>
    </row>
    <row r="87" spans="1:42" ht="24.95" hidden="1" customHeight="1" x14ac:dyDescent="0.25">
      <c r="A87" s="224"/>
      <c r="B87" s="225"/>
      <c r="C87" s="39"/>
      <c r="D87" s="542"/>
      <c r="E87" s="542"/>
      <c r="F87" s="542"/>
      <c r="G87" s="542"/>
      <c r="H87" s="542"/>
      <c r="I87" s="542"/>
      <c r="J87" s="542"/>
      <c r="K87" s="542"/>
      <c r="L87" s="542"/>
      <c r="M87" s="542"/>
      <c r="N87" s="542"/>
      <c r="O87" s="542"/>
      <c r="P87" s="542"/>
      <c r="Q87" s="542"/>
      <c r="R87" s="542">
        <f t="shared" si="1"/>
        <v>0</v>
      </c>
      <c r="S87" s="542"/>
      <c r="T87" s="542"/>
      <c r="U87" s="542"/>
      <c r="V87" s="542"/>
      <c r="W87" s="542"/>
      <c r="X87" s="544">
        <f t="shared" si="14"/>
        <v>0</v>
      </c>
      <c r="Y87" s="545">
        <f t="shared" si="15"/>
        <v>0</v>
      </c>
      <c r="Z87" s="546"/>
      <c r="AA87" s="342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70"/>
    </row>
    <row r="88" spans="1:42" ht="24.95" hidden="1" customHeight="1" x14ac:dyDescent="0.25">
      <c r="A88" s="82"/>
      <c r="C88" s="39"/>
      <c r="D88" s="542"/>
      <c r="E88" s="542"/>
      <c r="F88" s="542"/>
      <c r="G88" s="542"/>
      <c r="H88" s="542"/>
      <c r="I88" s="542"/>
      <c r="J88" s="542"/>
      <c r="K88" s="542"/>
      <c r="L88" s="542"/>
      <c r="M88" s="542"/>
      <c r="N88" s="542"/>
      <c r="O88" s="542"/>
      <c r="P88" s="542"/>
      <c r="Q88" s="542"/>
      <c r="R88" s="542">
        <f t="shared" si="1"/>
        <v>0</v>
      </c>
      <c r="S88" s="542"/>
      <c r="T88" s="542"/>
      <c r="U88" s="542"/>
      <c r="V88" s="542"/>
      <c r="W88" s="542"/>
      <c r="X88" s="544">
        <f t="shared" si="14"/>
        <v>0</v>
      </c>
      <c r="Y88" s="545">
        <f t="shared" si="15"/>
        <v>0</v>
      </c>
      <c r="Z88" s="546"/>
      <c r="AA88" s="342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70"/>
    </row>
    <row r="89" spans="1:42" ht="24.95" hidden="1" customHeight="1" x14ac:dyDescent="0.25">
      <c r="A89" s="82"/>
      <c r="C89" s="139"/>
      <c r="D89" s="542"/>
      <c r="E89" s="542"/>
      <c r="F89" s="542"/>
      <c r="G89" s="542"/>
      <c r="H89" s="542"/>
      <c r="I89" s="542"/>
      <c r="J89" s="542"/>
      <c r="K89" s="542"/>
      <c r="L89" s="542"/>
      <c r="M89" s="542"/>
      <c r="N89" s="542"/>
      <c r="O89" s="542"/>
      <c r="P89" s="542"/>
      <c r="Q89" s="542"/>
      <c r="R89" s="542">
        <f t="shared" si="1"/>
        <v>0</v>
      </c>
      <c r="S89" s="542"/>
      <c r="T89" s="542"/>
      <c r="U89" s="542"/>
      <c r="V89" s="542"/>
      <c r="W89" s="542"/>
      <c r="X89" s="544">
        <f t="shared" si="14"/>
        <v>0</v>
      </c>
      <c r="Y89" s="545">
        <f t="shared" si="15"/>
        <v>0</v>
      </c>
      <c r="Z89" s="546"/>
      <c r="AA89" s="342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70"/>
    </row>
    <row r="90" spans="1:42" ht="24.95" hidden="1" customHeight="1" x14ac:dyDescent="0.25">
      <c r="A90" s="82"/>
      <c r="B90" s="139"/>
      <c r="C90" s="39"/>
      <c r="D90" s="542"/>
      <c r="E90" s="542"/>
      <c r="F90" s="542"/>
      <c r="G90" s="542"/>
      <c r="H90" s="542"/>
      <c r="I90" s="542"/>
      <c r="J90" s="542"/>
      <c r="K90" s="542"/>
      <c r="L90" s="542"/>
      <c r="M90" s="542"/>
      <c r="N90" s="542"/>
      <c r="O90" s="542"/>
      <c r="P90" s="542"/>
      <c r="Q90" s="542"/>
      <c r="R90" s="542">
        <f t="shared" si="1"/>
        <v>0</v>
      </c>
      <c r="S90" s="542"/>
      <c r="T90" s="542"/>
      <c r="U90" s="542"/>
      <c r="V90" s="542"/>
      <c r="W90" s="542"/>
      <c r="X90" s="544">
        <f t="shared" si="14"/>
        <v>0</v>
      </c>
      <c r="Y90" s="545">
        <f t="shared" si="15"/>
        <v>0</v>
      </c>
      <c r="Z90" s="546"/>
      <c r="AA90" s="342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70"/>
    </row>
    <row r="91" spans="1:42" ht="24.95" hidden="1" customHeight="1" x14ac:dyDescent="0.25">
      <c r="A91" s="82"/>
      <c r="B91" s="139"/>
      <c r="C91" s="39"/>
      <c r="D91" s="542"/>
      <c r="E91" s="542"/>
      <c r="F91" s="542"/>
      <c r="G91" s="542"/>
      <c r="H91" s="542"/>
      <c r="I91" s="542"/>
      <c r="J91" s="542"/>
      <c r="K91" s="542"/>
      <c r="L91" s="542"/>
      <c r="M91" s="542"/>
      <c r="N91" s="542"/>
      <c r="O91" s="542"/>
      <c r="P91" s="542"/>
      <c r="Q91" s="542"/>
      <c r="R91" s="542">
        <f t="shared" si="1"/>
        <v>0</v>
      </c>
      <c r="S91" s="542"/>
      <c r="T91" s="542"/>
      <c r="U91" s="542"/>
      <c r="V91" s="542"/>
      <c r="W91" s="542"/>
      <c r="X91" s="544">
        <f t="shared" si="14"/>
        <v>0</v>
      </c>
      <c r="Y91" s="545">
        <f t="shared" si="15"/>
        <v>0</v>
      </c>
      <c r="Z91" s="546"/>
      <c r="AA91" s="342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70"/>
    </row>
    <row r="92" spans="1:42" ht="24.95" hidden="1" customHeight="1" x14ac:dyDescent="0.25">
      <c r="A92" s="82"/>
      <c r="B92" s="139"/>
      <c r="C92" s="39"/>
      <c r="D92" s="542"/>
      <c r="E92" s="542"/>
      <c r="F92" s="542"/>
      <c r="G92" s="542"/>
      <c r="H92" s="542"/>
      <c r="I92" s="542"/>
      <c r="J92" s="542"/>
      <c r="K92" s="542"/>
      <c r="L92" s="542"/>
      <c r="M92" s="542"/>
      <c r="N92" s="542"/>
      <c r="O92" s="542"/>
      <c r="P92" s="542"/>
      <c r="Q92" s="542"/>
      <c r="R92" s="542">
        <f t="shared" si="1"/>
        <v>0</v>
      </c>
      <c r="S92" s="542"/>
      <c r="T92" s="542"/>
      <c r="U92" s="542"/>
      <c r="V92" s="542"/>
      <c r="W92" s="542"/>
      <c r="X92" s="544">
        <f t="shared" si="14"/>
        <v>0</v>
      </c>
      <c r="Y92" s="545">
        <f t="shared" si="15"/>
        <v>0</v>
      </c>
      <c r="Z92" s="546"/>
      <c r="AA92" s="342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70"/>
    </row>
    <row r="93" spans="1:42" ht="24.95" hidden="1" customHeight="1" x14ac:dyDescent="0.25">
      <c r="A93" s="82"/>
      <c r="B93" s="139"/>
      <c r="C93" s="39"/>
      <c r="D93" s="542"/>
      <c r="E93" s="542"/>
      <c r="F93" s="542"/>
      <c r="G93" s="542"/>
      <c r="H93" s="542"/>
      <c r="I93" s="542"/>
      <c r="J93" s="542"/>
      <c r="K93" s="542"/>
      <c r="L93" s="542"/>
      <c r="M93" s="542"/>
      <c r="N93" s="542"/>
      <c r="O93" s="542"/>
      <c r="P93" s="542"/>
      <c r="Q93" s="542"/>
      <c r="R93" s="542">
        <f t="shared" si="1"/>
        <v>0</v>
      </c>
      <c r="S93" s="542"/>
      <c r="T93" s="542"/>
      <c r="U93" s="542"/>
      <c r="V93" s="542"/>
      <c r="W93" s="542"/>
      <c r="X93" s="544">
        <f t="shared" si="14"/>
        <v>0</v>
      </c>
      <c r="Y93" s="545">
        <f t="shared" si="15"/>
        <v>0</v>
      </c>
      <c r="Z93" s="546"/>
      <c r="AA93" s="342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70"/>
    </row>
    <row r="94" spans="1:42" ht="30" hidden="1" customHeight="1" x14ac:dyDescent="0.25">
      <c r="A94" s="82"/>
      <c r="B94" s="139"/>
      <c r="C94" s="28"/>
      <c r="D94" s="542"/>
      <c r="E94" s="542"/>
      <c r="F94" s="542"/>
      <c r="G94" s="542"/>
      <c r="H94" s="542"/>
      <c r="I94" s="542"/>
      <c r="J94" s="542"/>
      <c r="K94" s="542"/>
      <c r="L94" s="542"/>
      <c r="M94" s="542"/>
      <c r="N94" s="542"/>
      <c r="O94" s="542"/>
      <c r="P94" s="542"/>
      <c r="Q94" s="542"/>
      <c r="R94" s="542">
        <f t="shared" si="1"/>
        <v>0</v>
      </c>
      <c r="S94" s="542"/>
      <c r="T94" s="542"/>
      <c r="U94" s="542"/>
      <c r="V94" s="542"/>
      <c r="W94" s="542"/>
      <c r="X94" s="544">
        <f t="shared" si="2"/>
        <v>0</v>
      </c>
      <c r="Y94" s="545">
        <f t="shared" si="3"/>
        <v>0</v>
      </c>
      <c r="Z94" s="546"/>
      <c r="AA94" s="342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70"/>
    </row>
    <row r="95" spans="1:42" ht="17.25" hidden="1" customHeight="1" thickBot="1" x14ac:dyDescent="0.25">
      <c r="A95" s="82"/>
      <c r="B95" s="128"/>
      <c r="C95" s="161"/>
      <c r="D95" s="547"/>
      <c r="E95" s="547"/>
      <c r="F95" s="547"/>
      <c r="G95" s="547"/>
      <c r="H95" s="547"/>
      <c r="I95" s="547"/>
      <c r="J95" s="547"/>
      <c r="K95" s="547"/>
      <c r="L95" s="547"/>
      <c r="M95" s="547"/>
      <c r="N95" s="547"/>
      <c r="O95" s="547"/>
      <c r="P95" s="547"/>
      <c r="Q95" s="547"/>
      <c r="R95" s="547"/>
      <c r="S95" s="547"/>
      <c r="T95" s="547"/>
      <c r="U95" s="547"/>
      <c r="V95" s="547"/>
      <c r="W95" s="547"/>
      <c r="X95" s="548"/>
      <c r="Y95" s="564"/>
      <c r="Z95" s="549"/>
      <c r="AA95" s="342"/>
    </row>
    <row r="96" spans="1:42" ht="35.1" hidden="1" customHeight="1" thickTop="1" thickBot="1" x14ac:dyDescent="0.25">
      <c r="A96" s="136"/>
      <c r="B96" s="90"/>
      <c r="C96" s="44" t="s">
        <v>19</v>
      </c>
      <c r="D96" s="457">
        <f t="shared" ref="D96:Q96" si="16">SUM(D18:D95)</f>
        <v>4059</v>
      </c>
      <c r="E96" s="457">
        <f t="shared" si="16"/>
        <v>1058</v>
      </c>
      <c r="F96" s="457">
        <f t="shared" si="16"/>
        <v>11268.936999999998</v>
      </c>
      <c r="G96" s="457">
        <f t="shared" si="16"/>
        <v>500</v>
      </c>
      <c r="H96" s="457">
        <f t="shared" si="16"/>
        <v>0</v>
      </c>
      <c r="I96" s="457">
        <f t="shared" si="16"/>
        <v>-2400</v>
      </c>
      <c r="J96" s="457">
        <f t="shared" si="16"/>
        <v>2306</v>
      </c>
      <c r="K96" s="457">
        <f t="shared" si="16"/>
        <v>-78923.406000000003</v>
      </c>
      <c r="L96" s="457">
        <f t="shared" si="16"/>
        <v>20800</v>
      </c>
      <c r="M96" s="457">
        <f t="shared" si="16"/>
        <v>-1000</v>
      </c>
      <c r="N96" s="457">
        <f t="shared" si="16"/>
        <v>0</v>
      </c>
      <c r="O96" s="457">
        <f t="shared" si="16"/>
        <v>0</v>
      </c>
      <c r="P96" s="457">
        <f t="shared" si="16"/>
        <v>0</v>
      </c>
      <c r="Q96" s="457">
        <f t="shared" si="16"/>
        <v>2500</v>
      </c>
      <c r="R96" s="457">
        <f>SUM(D96:Q96)</f>
        <v>-39831.469000000005</v>
      </c>
      <c r="S96" s="457"/>
      <c r="T96" s="457">
        <f>SUM(T18:T95)</f>
        <v>0</v>
      </c>
      <c r="U96" s="457">
        <f>SUM(U18:U95)</f>
        <v>3740000</v>
      </c>
      <c r="V96" s="457">
        <f>SUM(V18:V95)</f>
        <v>3.5000000000000003E-2</v>
      </c>
      <c r="W96" s="457">
        <f>SUM(W18:W95)</f>
        <v>0</v>
      </c>
      <c r="X96" s="457">
        <f>SUM(X18:X95)</f>
        <v>3740000.0350000001</v>
      </c>
      <c r="Y96" s="458">
        <f t="shared" si="3"/>
        <v>3700168.5660000001</v>
      </c>
      <c r="Z96" s="459">
        <f>SUM(Z18:Z95)</f>
        <v>95005.524999999994</v>
      </c>
      <c r="AA96" s="343"/>
    </row>
    <row r="97" spans="1:74" ht="9.9499999999999993" hidden="1" customHeight="1" thickTop="1" x14ac:dyDescent="0.2">
      <c r="A97" s="566"/>
      <c r="B97" s="188"/>
      <c r="C97" s="189"/>
      <c r="D97" s="567"/>
      <c r="E97" s="567"/>
      <c r="F97" s="567"/>
      <c r="G97" s="567"/>
      <c r="H97" s="567"/>
      <c r="I97" s="567"/>
      <c r="J97" s="567"/>
      <c r="K97" s="567"/>
      <c r="L97" s="567"/>
      <c r="M97" s="567"/>
      <c r="N97" s="567"/>
      <c r="O97" s="567"/>
      <c r="P97" s="567"/>
      <c r="Q97" s="567"/>
      <c r="R97" s="567"/>
      <c r="S97" s="567"/>
      <c r="T97" s="567"/>
      <c r="U97" s="567"/>
      <c r="V97" s="567"/>
      <c r="W97" s="567"/>
      <c r="X97" s="568"/>
      <c r="Y97" s="568"/>
      <c r="Z97" s="569"/>
      <c r="AA97" s="343"/>
    </row>
    <row r="98" spans="1:74" ht="24.95" hidden="1" customHeight="1" x14ac:dyDescent="0.2">
      <c r="A98" s="570"/>
      <c r="B98" s="227"/>
      <c r="C98" s="571"/>
      <c r="D98" s="572"/>
      <c r="E98" s="572"/>
      <c r="F98" s="572"/>
      <c r="G98" s="572"/>
      <c r="H98" s="572"/>
      <c r="I98" s="572"/>
      <c r="J98" s="572"/>
      <c r="K98" s="572"/>
      <c r="L98" s="572"/>
      <c r="M98" s="572"/>
      <c r="N98" s="572"/>
      <c r="O98" s="572"/>
      <c r="P98" s="572"/>
      <c r="Q98" s="572"/>
      <c r="R98" s="572">
        <f>SUM(D98:Q98)</f>
        <v>0</v>
      </c>
      <c r="S98" s="572"/>
      <c r="T98" s="572"/>
      <c r="U98" s="572"/>
      <c r="V98" s="572"/>
      <c r="W98" s="572"/>
      <c r="X98" s="573">
        <f>SUM(T98:W98)</f>
        <v>0</v>
      </c>
      <c r="Y98" s="574">
        <f>R98+X98</f>
        <v>0</v>
      </c>
      <c r="Z98" s="575"/>
      <c r="AA98" s="343"/>
    </row>
    <row r="99" spans="1:74" ht="9.9499999999999993" hidden="1" customHeight="1" thickBot="1" x14ac:dyDescent="0.25">
      <c r="A99" s="576"/>
      <c r="B99" s="197"/>
      <c r="C99" s="198"/>
      <c r="D99" s="577"/>
      <c r="E99" s="577"/>
      <c r="F99" s="577"/>
      <c r="G99" s="577"/>
      <c r="H99" s="577"/>
      <c r="I99" s="577"/>
      <c r="J99" s="577"/>
      <c r="K99" s="577"/>
      <c r="L99" s="577"/>
      <c r="M99" s="577"/>
      <c r="N99" s="577"/>
      <c r="O99" s="577"/>
      <c r="P99" s="577"/>
      <c r="Q99" s="577"/>
      <c r="R99" s="577"/>
      <c r="S99" s="577"/>
      <c r="T99" s="577"/>
      <c r="U99" s="577"/>
      <c r="V99" s="577"/>
      <c r="W99" s="577"/>
      <c r="X99" s="578"/>
      <c r="Y99" s="578"/>
      <c r="Z99" s="579"/>
      <c r="AA99" s="343"/>
    </row>
    <row r="100" spans="1:74" ht="35.1" hidden="1" customHeight="1" thickTop="1" thickBot="1" x14ac:dyDescent="0.25">
      <c r="A100" s="136"/>
      <c r="B100" s="90"/>
      <c r="C100" s="44" t="s">
        <v>141</v>
      </c>
      <c r="D100" s="539">
        <f t="shared" ref="D100:K100" si="17">D17+D96</f>
        <v>149232</v>
      </c>
      <c r="E100" s="539">
        <f t="shared" si="17"/>
        <v>35229</v>
      </c>
      <c r="F100" s="603">
        <f t="shared" si="17"/>
        <v>4375205.4410000006</v>
      </c>
      <c r="G100" s="539">
        <f t="shared" si="17"/>
        <v>172665</v>
      </c>
      <c r="H100" s="539">
        <f t="shared" si="17"/>
        <v>150591.49600000001</v>
      </c>
      <c r="I100" s="539">
        <f t="shared" si="17"/>
        <v>52112</v>
      </c>
      <c r="J100" s="539">
        <f t="shared" si="17"/>
        <v>671638</v>
      </c>
      <c r="K100" s="539">
        <f t="shared" si="17"/>
        <v>2242890.594</v>
      </c>
      <c r="L100" s="539">
        <f>L17+L96+L98</f>
        <v>1899199</v>
      </c>
      <c r="M100" s="539">
        <f>M17+M96</f>
        <v>24420</v>
      </c>
      <c r="N100" s="539">
        <f>N17+N96</f>
        <v>600</v>
      </c>
      <c r="O100" s="539">
        <f>O17+O96</f>
        <v>10000</v>
      </c>
      <c r="P100" s="539">
        <f>P17+P96</f>
        <v>0</v>
      </c>
      <c r="Q100" s="539">
        <f>Q17+Q96</f>
        <v>443128</v>
      </c>
      <c r="R100" s="539">
        <f>SUM(D100:Q100)</f>
        <v>10226910.531000001</v>
      </c>
      <c r="S100" s="539"/>
      <c r="T100" s="539">
        <f>T17+T96</f>
        <v>0</v>
      </c>
      <c r="U100" s="539">
        <f>U17+U96</f>
        <v>3740000</v>
      </c>
      <c r="V100" s="539">
        <f>V17+V96</f>
        <v>66267.035000000003</v>
      </c>
      <c r="W100" s="539">
        <f>W17+W96</f>
        <v>0</v>
      </c>
      <c r="X100" s="540">
        <f t="shared" si="2"/>
        <v>3806267.0350000001</v>
      </c>
      <c r="Y100" s="540">
        <f>R100+X100</f>
        <v>14033177.566000002</v>
      </c>
      <c r="Z100" s="541">
        <f>Z17+Z96+Z98</f>
        <v>6390963.5250000004</v>
      </c>
      <c r="AA100" s="344"/>
      <c r="AB100" s="85">
        <f>Y100+Z100</f>
        <v>20424141.091000002</v>
      </c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</row>
    <row r="101" spans="1:74" ht="17.25" hidden="1" customHeight="1" thickTop="1" x14ac:dyDescent="0.2">
      <c r="A101" s="26"/>
      <c r="B101" s="137" t="s">
        <v>21</v>
      </c>
      <c r="C101" s="94" t="s">
        <v>134</v>
      </c>
      <c r="D101" s="95"/>
      <c r="E101" s="95"/>
      <c r="F101" s="95"/>
      <c r="G101" s="95"/>
      <c r="H101" s="95"/>
      <c r="I101" s="95"/>
      <c r="J101" s="95"/>
      <c r="K101" s="95">
        <f>845+70000+200000+338894</f>
        <v>609739</v>
      </c>
      <c r="L101" s="95"/>
      <c r="M101" s="95"/>
      <c r="N101" s="95"/>
      <c r="O101" s="95"/>
      <c r="P101" s="95"/>
      <c r="Q101" s="95"/>
      <c r="R101" s="95">
        <f t="shared" ref="R101:R144" si="18">SUM(D101:Q101)</f>
        <v>609739</v>
      </c>
      <c r="S101" s="95"/>
      <c r="T101" s="95"/>
      <c r="U101" s="95"/>
      <c r="V101" s="95"/>
      <c r="W101" s="95"/>
      <c r="X101" s="99">
        <f t="shared" si="2"/>
        <v>0</v>
      </c>
      <c r="Y101" s="360">
        <f t="shared" si="3"/>
        <v>609739</v>
      </c>
      <c r="Z101" s="367">
        <v>1048</v>
      </c>
      <c r="AA101" s="345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</row>
    <row r="102" spans="1:74" ht="16.5" hidden="1" customHeight="1" x14ac:dyDescent="0.2">
      <c r="A102" s="26"/>
      <c r="B102" s="74" t="s">
        <v>61</v>
      </c>
      <c r="C102" s="96" t="s">
        <v>134</v>
      </c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>
        <f t="shared" si="18"/>
        <v>0</v>
      </c>
      <c r="S102" s="131"/>
      <c r="T102" s="131"/>
      <c r="U102" s="131"/>
      <c r="V102" s="131"/>
      <c r="W102" s="131"/>
      <c r="X102" s="437">
        <f t="shared" si="2"/>
        <v>0</v>
      </c>
      <c r="Y102" s="361">
        <f t="shared" si="3"/>
        <v>0</v>
      </c>
      <c r="Z102" s="368"/>
      <c r="AA102" s="345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</row>
    <row r="103" spans="1:74" ht="16.5" hidden="1" customHeight="1" x14ac:dyDescent="0.2">
      <c r="A103" s="26"/>
      <c r="B103" s="74" t="s">
        <v>23</v>
      </c>
      <c r="C103" s="96" t="s">
        <v>134</v>
      </c>
      <c r="D103" s="97"/>
      <c r="E103" s="97"/>
      <c r="F103" s="597">
        <f>0.468+52952</f>
        <v>52952.468000000001</v>
      </c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>
        <f t="shared" si="18"/>
        <v>52952.468000000001</v>
      </c>
      <c r="S103" s="97"/>
      <c r="T103" s="97"/>
      <c r="U103" s="97"/>
      <c r="V103" s="97"/>
      <c r="W103" s="97"/>
      <c r="X103" s="100">
        <f t="shared" si="2"/>
        <v>0</v>
      </c>
      <c r="Y103" s="361">
        <f t="shared" si="3"/>
        <v>52952.468000000001</v>
      </c>
      <c r="Z103" s="369"/>
      <c r="AA103" s="345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</row>
    <row r="104" spans="1:74" ht="16.5" hidden="1" customHeight="1" x14ac:dyDescent="0.2">
      <c r="A104" s="26"/>
      <c r="B104" s="74" t="s">
        <v>59</v>
      </c>
      <c r="C104" s="96" t="s">
        <v>134</v>
      </c>
      <c r="D104" s="97"/>
      <c r="E104" s="97"/>
      <c r="F104" s="97">
        <v>885</v>
      </c>
      <c r="G104" s="97"/>
      <c r="H104" s="97"/>
      <c r="I104" s="97"/>
      <c r="J104" s="97"/>
      <c r="K104" s="97"/>
      <c r="L104" s="97"/>
      <c r="M104" s="97"/>
      <c r="O104" s="97"/>
      <c r="P104" s="97"/>
      <c r="Q104" s="97"/>
      <c r="R104" s="97">
        <f t="shared" si="18"/>
        <v>885</v>
      </c>
      <c r="S104" s="97"/>
      <c r="T104" s="97"/>
      <c r="U104" s="97"/>
      <c r="V104" s="97"/>
      <c r="W104" s="97"/>
      <c r="X104" s="100">
        <f t="shared" si="2"/>
        <v>0</v>
      </c>
      <c r="Y104" s="361">
        <f t="shared" si="3"/>
        <v>885</v>
      </c>
      <c r="Z104" s="369"/>
      <c r="AA104" s="345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</row>
    <row r="105" spans="1:74" ht="16.5" hidden="1" customHeight="1" x14ac:dyDescent="0.2">
      <c r="A105" s="26"/>
      <c r="B105" s="74" t="s">
        <v>73</v>
      </c>
      <c r="C105" s="96" t="s">
        <v>134</v>
      </c>
      <c r="D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>
        <f t="shared" si="18"/>
        <v>0</v>
      </c>
      <c r="S105" s="97"/>
      <c r="T105" s="97"/>
      <c r="U105" s="97"/>
      <c r="V105" s="97"/>
      <c r="W105" s="97"/>
      <c r="X105" s="100">
        <f t="shared" si="2"/>
        <v>0</v>
      </c>
      <c r="Y105" s="361">
        <f t="shared" si="3"/>
        <v>0</v>
      </c>
      <c r="Z105" s="369"/>
      <c r="AA105" s="345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</row>
    <row r="106" spans="1:74" ht="16.5" hidden="1" customHeight="1" x14ac:dyDescent="0.2">
      <c r="A106" s="26"/>
      <c r="B106" s="74" t="s">
        <v>49</v>
      </c>
      <c r="C106" s="96" t="s">
        <v>134</v>
      </c>
      <c r="D106" s="97"/>
      <c r="E106" s="97"/>
      <c r="F106" s="97"/>
      <c r="G106" s="97"/>
      <c r="H106" s="97"/>
      <c r="I106" s="97"/>
      <c r="J106" s="97">
        <v>884</v>
      </c>
      <c r="K106" s="97">
        <v>2000</v>
      </c>
      <c r="L106" s="97"/>
      <c r="M106" s="97"/>
      <c r="N106" s="97"/>
      <c r="O106" s="97"/>
      <c r="P106" s="97"/>
      <c r="Q106" s="97"/>
      <c r="R106" s="97">
        <f t="shared" si="18"/>
        <v>2884</v>
      </c>
      <c r="S106" s="97"/>
      <c r="T106" s="97"/>
      <c r="U106" s="97"/>
      <c r="V106" s="97"/>
      <c r="W106" s="97"/>
      <c r="X106" s="100">
        <f t="shared" si="2"/>
        <v>0</v>
      </c>
      <c r="Y106" s="361">
        <f t="shared" si="3"/>
        <v>2884</v>
      </c>
      <c r="Z106" s="369"/>
      <c r="AA106" s="345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</row>
    <row r="107" spans="1:74" ht="16.5" hidden="1" customHeight="1" x14ac:dyDescent="0.2">
      <c r="A107" s="26"/>
      <c r="B107" s="74" t="s">
        <v>50</v>
      </c>
      <c r="C107" s="96" t="s">
        <v>134</v>
      </c>
      <c r="D107" s="97"/>
      <c r="E107" s="97"/>
      <c r="F107" s="97"/>
      <c r="G107" s="97"/>
      <c r="H107" s="97"/>
      <c r="I107" s="97"/>
      <c r="J107" s="97"/>
      <c r="K107" s="97">
        <v>600</v>
      </c>
      <c r="L107" s="97"/>
      <c r="M107" s="97"/>
      <c r="N107" s="97"/>
      <c r="O107" s="97"/>
      <c r="P107" s="97"/>
      <c r="Q107" s="97">
        <v>1000</v>
      </c>
      <c r="R107" s="97">
        <f t="shared" si="18"/>
        <v>1600</v>
      </c>
      <c r="S107" s="97"/>
      <c r="T107" s="97"/>
      <c r="U107" s="97"/>
      <c r="V107" s="97"/>
      <c r="W107" s="97"/>
      <c r="X107" s="100">
        <f t="shared" si="2"/>
        <v>0</v>
      </c>
      <c r="Y107" s="361">
        <f t="shared" si="3"/>
        <v>1600</v>
      </c>
      <c r="Z107" s="369"/>
      <c r="AA107" s="345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</row>
    <row r="108" spans="1:74" ht="16.5" hidden="1" customHeight="1" x14ac:dyDescent="0.2">
      <c r="A108" s="26"/>
      <c r="B108" s="74" t="s">
        <v>51</v>
      </c>
      <c r="C108" s="96" t="s">
        <v>134</v>
      </c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>
        <f t="shared" si="18"/>
        <v>0</v>
      </c>
      <c r="S108" s="97"/>
      <c r="T108" s="97"/>
      <c r="U108" s="97"/>
      <c r="V108" s="97"/>
      <c r="W108" s="97"/>
      <c r="X108" s="100">
        <f t="shared" si="2"/>
        <v>0</v>
      </c>
      <c r="Y108" s="361">
        <f t="shared" si="3"/>
        <v>0</v>
      </c>
      <c r="Z108" s="369"/>
      <c r="AA108" s="345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</row>
    <row r="109" spans="1:74" ht="16.5" hidden="1" customHeight="1" x14ac:dyDescent="0.2">
      <c r="A109" s="26"/>
      <c r="B109" s="74" t="s">
        <v>52</v>
      </c>
      <c r="C109" s="96" t="s">
        <v>134</v>
      </c>
      <c r="D109" s="97">
        <v>675</v>
      </c>
      <c r="E109" s="97">
        <v>166</v>
      </c>
      <c r="F109" s="97">
        <f>255+69</f>
        <v>324</v>
      </c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>
        <f t="shared" si="18"/>
        <v>1165</v>
      </c>
      <c r="S109" s="97"/>
      <c r="T109" s="97"/>
      <c r="U109" s="97"/>
      <c r="V109" s="97"/>
      <c r="W109" s="97"/>
      <c r="X109" s="100">
        <f t="shared" si="2"/>
        <v>0</v>
      </c>
      <c r="Y109" s="361">
        <f t="shared" si="3"/>
        <v>1165</v>
      </c>
      <c r="Z109" s="369"/>
      <c r="AA109" s="345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</row>
    <row r="110" spans="1:74" ht="16.5" hidden="1" customHeight="1" x14ac:dyDescent="0.2">
      <c r="A110" s="26"/>
      <c r="B110" s="74" t="s">
        <v>53</v>
      </c>
      <c r="C110" s="96" t="s">
        <v>134</v>
      </c>
      <c r="D110" s="97"/>
      <c r="E110" s="97"/>
      <c r="F110" s="97">
        <f>24+7</f>
        <v>31</v>
      </c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>
        <f t="shared" si="18"/>
        <v>31</v>
      </c>
      <c r="S110" s="97"/>
      <c r="T110" s="97"/>
      <c r="U110" s="97"/>
      <c r="V110" s="97"/>
      <c r="W110" s="97"/>
      <c r="X110" s="100">
        <f t="shared" si="2"/>
        <v>0</v>
      </c>
      <c r="Y110" s="361">
        <f t="shared" si="3"/>
        <v>31</v>
      </c>
      <c r="Z110" s="369"/>
      <c r="AA110" s="345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</row>
    <row r="111" spans="1:74" ht="16.5" hidden="1" customHeight="1" x14ac:dyDescent="0.2">
      <c r="A111" s="26"/>
      <c r="B111" s="74" t="s">
        <v>175</v>
      </c>
      <c r="C111" s="96" t="s">
        <v>134</v>
      </c>
      <c r="D111" s="97"/>
      <c r="E111" s="97"/>
      <c r="F111" s="97">
        <f>319+86</f>
        <v>405</v>
      </c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>
        <f t="shared" si="18"/>
        <v>405</v>
      </c>
      <c r="S111" s="97"/>
      <c r="T111" s="97"/>
      <c r="U111" s="97"/>
      <c r="V111" s="97"/>
      <c r="W111" s="97"/>
      <c r="X111" s="100">
        <f t="shared" si="2"/>
        <v>0</v>
      </c>
      <c r="Y111" s="361">
        <f t="shared" si="3"/>
        <v>405</v>
      </c>
      <c r="Z111" s="369"/>
      <c r="AA111" s="345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</row>
    <row r="112" spans="1:74" ht="16.5" hidden="1" customHeight="1" x14ac:dyDescent="0.2">
      <c r="A112" s="26"/>
      <c r="B112" s="74" t="s">
        <v>55</v>
      </c>
      <c r="C112" s="96" t="s">
        <v>134</v>
      </c>
      <c r="D112" s="97"/>
      <c r="E112" s="97"/>
      <c r="F112" s="97">
        <f>470+30100+8120</f>
        <v>38690</v>
      </c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>
        <f t="shared" si="18"/>
        <v>38690</v>
      </c>
      <c r="S112" s="97"/>
      <c r="T112" s="97"/>
      <c r="U112" s="97"/>
      <c r="V112" s="97"/>
      <c r="W112" s="97"/>
      <c r="X112" s="100">
        <f t="shared" si="2"/>
        <v>0</v>
      </c>
      <c r="Y112" s="361">
        <f t="shared" si="3"/>
        <v>38690</v>
      </c>
      <c r="Z112" s="369"/>
      <c r="AA112" s="345"/>
      <c r="AB112" s="85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</row>
    <row r="113" spans="1:74" ht="16.5" hidden="1" customHeight="1" x14ac:dyDescent="0.2">
      <c r="A113" s="26"/>
      <c r="B113" s="74" t="s">
        <v>74</v>
      </c>
      <c r="C113" s="96" t="s">
        <v>134</v>
      </c>
      <c r="D113" s="97"/>
      <c r="E113" s="97"/>
      <c r="F113" s="97">
        <f>6984+1886+950+257+3200+864+780+7500+2025+1500+405+1563+422+393+107+1000+270</f>
        <v>30106</v>
      </c>
      <c r="G113" s="97"/>
      <c r="H113" s="97"/>
      <c r="I113" s="97"/>
      <c r="J113" s="97"/>
      <c r="K113" s="97"/>
      <c r="L113" s="97">
        <f>58075+15680</f>
        <v>73755</v>
      </c>
      <c r="M113" s="97"/>
      <c r="N113" s="97"/>
      <c r="O113" s="97"/>
      <c r="P113" s="97"/>
      <c r="Q113" s="97"/>
      <c r="R113" s="97">
        <f t="shared" si="18"/>
        <v>103861</v>
      </c>
      <c r="S113" s="97"/>
      <c r="T113" s="97"/>
      <c r="U113" s="97"/>
      <c r="V113" s="97"/>
      <c r="W113" s="97"/>
      <c r="X113" s="100">
        <f t="shared" si="2"/>
        <v>0</v>
      </c>
      <c r="Y113" s="361">
        <f t="shared" si="3"/>
        <v>103861</v>
      </c>
      <c r="Z113" s="369"/>
      <c r="AA113" s="345"/>
      <c r="AB113" s="85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</row>
    <row r="114" spans="1:74" ht="16.5" hidden="1" customHeight="1" x14ac:dyDescent="0.2">
      <c r="A114" s="26"/>
      <c r="B114" s="74" t="s">
        <v>212</v>
      </c>
      <c r="C114" s="96" t="s">
        <v>134</v>
      </c>
      <c r="D114" s="97">
        <v>4000</v>
      </c>
      <c r="E114" s="97">
        <v>880</v>
      </c>
      <c r="F114" s="97">
        <v>917</v>
      </c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>
        <f t="shared" si="18"/>
        <v>5797</v>
      </c>
      <c r="S114" s="97"/>
      <c r="T114" s="97"/>
      <c r="U114" s="97"/>
      <c r="V114" s="97"/>
      <c r="W114" s="97"/>
      <c r="X114" s="100">
        <f>SUM(T114:W114)</f>
        <v>0</v>
      </c>
      <c r="Y114" s="361">
        <f>R114+X114</f>
        <v>5797</v>
      </c>
      <c r="Z114" s="369"/>
      <c r="AA114" s="345"/>
      <c r="AB114" s="85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</row>
    <row r="115" spans="1:74" ht="16.5" hidden="1" customHeight="1" x14ac:dyDescent="0.2">
      <c r="A115" s="26"/>
      <c r="B115" s="74" t="s">
        <v>56</v>
      </c>
      <c r="C115" s="96" t="s">
        <v>134</v>
      </c>
      <c r="D115" s="97">
        <v>111</v>
      </c>
      <c r="E115" s="97">
        <v>121</v>
      </c>
      <c r="F115" s="97">
        <f>298+52000+14040+760+205+1600+421</f>
        <v>69324</v>
      </c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>
        <f t="shared" si="18"/>
        <v>69556</v>
      </c>
      <c r="S115" s="97"/>
      <c r="T115" s="97"/>
      <c r="U115" s="97"/>
      <c r="V115" s="97"/>
      <c r="W115" s="97"/>
      <c r="X115" s="100">
        <f t="shared" si="2"/>
        <v>0</v>
      </c>
      <c r="Y115" s="361">
        <f t="shared" si="3"/>
        <v>69556</v>
      </c>
      <c r="Z115" s="369"/>
      <c r="AA115" s="345"/>
      <c r="AB115" s="85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</row>
    <row r="116" spans="1:74" ht="16.5" hidden="1" customHeight="1" x14ac:dyDescent="0.2">
      <c r="A116" s="26"/>
      <c r="B116" s="75" t="s">
        <v>25</v>
      </c>
      <c r="C116" s="98" t="s">
        <v>134</v>
      </c>
      <c r="D116" s="97"/>
      <c r="E116" s="97"/>
      <c r="F116" s="97">
        <f>512+138+1291+1625+249+227+61+165+45+195+53</f>
        <v>4561</v>
      </c>
      <c r="G116" s="97">
        <v>3275</v>
      </c>
      <c r="H116" s="97"/>
      <c r="I116" s="97"/>
      <c r="J116" s="97">
        <f>526+2330+3980</f>
        <v>6836</v>
      </c>
      <c r="K116" s="97"/>
      <c r="L116" s="97"/>
      <c r="M116" s="97"/>
      <c r="N116" s="97"/>
      <c r="O116" s="97"/>
      <c r="P116" s="97"/>
      <c r="Q116" s="97"/>
      <c r="R116" s="97">
        <f t="shared" si="18"/>
        <v>14672</v>
      </c>
      <c r="S116" s="97"/>
      <c r="T116" s="97"/>
      <c r="U116" s="97"/>
      <c r="V116" s="97"/>
      <c r="W116" s="97"/>
      <c r="X116" s="100">
        <f t="shared" si="2"/>
        <v>0</v>
      </c>
      <c r="Y116" s="361">
        <f t="shared" si="3"/>
        <v>14672</v>
      </c>
      <c r="Z116" s="369"/>
      <c r="AA116" s="345"/>
      <c r="AB116" s="85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</row>
    <row r="117" spans="1:74" ht="16.5" hidden="1" customHeight="1" x14ac:dyDescent="0.2">
      <c r="A117" s="26"/>
      <c r="B117" s="75" t="s">
        <v>67</v>
      </c>
      <c r="C117" s="98" t="s">
        <v>134</v>
      </c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>
        <f t="shared" si="18"/>
        <v>0</v>
      </c>
      <c r="S117" s="97"/>
      <c r="T117" s="97"/>
      <c r="U117" s="97"/>
      <c r="V117" s="97"/>
      <c r="W117" s="97"/>
      <c r="X117" s="100">
        <f t="shared" si="2"/>
        <v>0</v>
      </c>
      <c r="Y117" s="361">
        <f t="shared" si="3"/>
        <v>0</v>
      </c>
      <c r="Z117" s="369">
        <f>13710+30661</f>
        <v>44371</v>
      </c>
      <c r="AA117" s="345"/>
      <c r="AB117" s="85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</row>
    <row r="118" spans="1:74" ht="16.5" hidden="1" customHeight="1" x14ac:dyDescent="0.2">
      <c r="A118" s="26"/>
      <c r="B118" s="75" t="s">
        <v>26</v>
      </c>
      <c r="C118" s="98" t="s">
        <v>134</v>
      </c>
      <c r="D118" s="97"/>
      <c r="E118" s="97"/>
      <c r="F118" s="97">
        <f>1055+1000+270</f>
        <v>2325</v>
      </c>
      <c r="G118" s="97">
        <f>10000+500+6600+800+2100+1000+500</f>
        <v>21500</v>
      </c>
      <c r="H118" s="97"/>
      <c r="I118" s="97"/>
      <c r="J118" s="97">
        <f>2170+770+2247</f>
        <v>5187</v>
      </c>
      <c r="K118" s="97"/>
      <c r="L118" s="97"/>
      <c r="M118" s="97"/>
      <c r="N118" s="97"/>
      <c r="O118" s="97"/>
      <c r="P118" s="97"/>
      <c r="Q118" s="97">
        <v>600</v>
      </c>
      <c r="R118" s="97">
        <f t="shared" si="18"/>
        <v>29612</v>
      </c>
      <c r="S118" s="97"/>
      <c r="T118" s="97"/>
      <c r="U118" s="97"/>
      <c r="V118" s="97"/>
      <c r="W118" s="97"/>
      <c r="X118" s="100">
        <f t="shared" si="2"/>
        <v>0</v>
      </c>
      <c r="Y118" s="361">
        <f t="shared" si="3"/>
        <v>29612</v>
      </c>
      <c r="Z118" s="369"/>
      <c r="AA118" s="345"/>
      <c r="AB118" s="85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</row>
    <row r="119" spans="1:74" ht="16.5" hidden="1" customHeight="1" x14ac:dyDescent="0.2">
      <c r="A119" s="26"/>
      <c r="B119" s="75" t="s">
        <v>321</v>
      </c>
      <c r="C119" s="98" t="s">
        <v>134</v>
      </c>
      <c r="D119" s="97"/>
      <c r="E119" s="97"/>
      <c r="F119" s="97"/>
      <c r="G119" s="97"/>
      <c r="H119" s="97"/>
      <c r="I119" s="97"/>
      <c r="J119" s="97"/>
      <c r="K119" s="97"/>
      <c r="L119" s="97"/>
      <c r="M119" s="97">
        <f>4892+1321</f>
        <v>6213</v>
      </c>
      <c r="N119" s="97"/>
      <c r="O119" s="97"/>
      <c r="P119" s="97"/>
      <c r="Q119" s="97"/>
      <c r="R119" s="97">
        <f t="shared" si="18"/>
        <v>6213</v>
      </c>
      <c r="S119" s="97"/>
      <c r="T119" s="97"/>
      <c r="U119" s="97"/>
      <c r="V119" s="97"/>
      <c r="W119" s="97"/>
      <c r="X119" s="100">
        <f t="shared" si="2"/>
        <v>0</v>
      </c>
      <c r="Y119" s="361">
        <f t="shared" si="3"/>
        <v>6213</v>
      </c>
      <c r="Z119" s="369"/>
      <c r="AA119" s="345"/>
      <c r="AB119" s="85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</row>
    <row r="120" spans="1:74" ht="16.5" hidden="1" customHeight="1" x14ac:dyDescent="0.2">
      <c r="A120" s="26"/>
      <c r="B120" s="32">
        <v>103</v>
      </c>
      <c r="C120" s="98" t="s">
        <v>134</v>
      </c>
      <c r="D120" s="97"/>
      <c r="E120" s="97"/>
      <c r="F120" s="97">
        <f>85+23</f>
        <v>108</v>
      </c>
      <c r="G120" s="97"/>
      <c r="H120" s="97"/>
      <c r="I120" s="97"/>
      <c r="J120" s="97"/>
      <c r="K120" s="97"/>
      <c r="L120" s="97"/>
      <c r="M120" s="97">
        <f>3151+851</f>
        <v>4002</v>
      </c>
      <c r="N120" s="97"/>
      <c r="O120" s="97"/>
      <c r="P120" s="97"/>
      <c r="Q120" s="97"/>
      <c r="R120" s="97">
        <f t="shared" si="18"/>
        <v>4110</v>
      </c>
      <c r="S120" s="97"/>
      <c r="T120" s="97"/>
      <c r="U120" s="97"/>
      <c r="V120" s="97"/>
      <c r="W120" s="97"/>
      <c r="X120" s="100">
        <f t="shared" si="2"/>
        <v>0</v>
      </c>
      <c r="Y120" s="361">
        <f t="shared" si="3"/>
        <v>4110</v>
      </c>
      <c r="Z120" s="369"/>
      <c r="AA120" s="345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</row>
    <row r="121" spans="1:74" ht="16.5" hidden="1" customHeight="1" x14ac:dyDescent="0.2">
      <c r="A121" s="26"/>
      <c r="B121" s="32">
        <v>105</v>
      </c>
      <c r="C121" s="98" t="s">
        <v>134</v>
      </c>
      <c r="D121" s="97"/>
      <c r="E121" s="97"/>
      <c r="F121" s="97">
        <f>3008+812+925+250+1233+333+487+132+855+231+676+183+2904+784+282+76</f>
        <v>13171</v>
      </c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>
        <f t="shared" si="18"/>
        <v>13171</v>
      </c>
      <c r="S121" s="97"/>
      <c r="T121" s="97"/>
      <c r="U121" s="97"/>
      <c r="V121" s="97"/>
      <c r="W121" s="97"/>
      <c r="X121" s="100">
        <f t="shared" si="2"/>
        <v>0</v>
      </c>
      <c r="Y121" s="361">
        <f t="shared" si="3"/>
        <v>13171</v>
      </c>
      <c r="Z121" s="369"/>
      <c r="AA121" s="345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</row>
    <row r="122" spans="1:74" ht="16.5" hidden="1" customHeight="1" x14ac:dyDescent="0.2">
      <c r="A122" s="26"/>
      <c r="B122" s="32">
        <v>106</v>
      </c>
      <c r="C122" s="98" t="s">
        <v>134</v>
      </c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>
        <f t="shared" si="18"/>
        <v>0</v>
      </c>
      <c r="S122" s="97"/>
      <c r="T122" s="97"/>
      <c r="U122" s="97"/>
      <c r="V122" s="97"/>
      <c r="W122" s="97"/>
      <c r="X122" s="100">
        <f t="shared" si="2"/>
        <v>0</v>
      </c>
      <c r="Y122" s="361">
        <f t="shared" si="3"/>
        <v>0</v>
      </c>
      <c r="Z122" s="369"/>
      <c r="AA122" s="345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</row>
    <row r="123" spans="1:74" ht="16.5" hidden="1" customHeight="1" x14ac:dyDescent="0.2">
      <c r="A123" s="26"/>
      <c r="B123" s="32">
        <v>111</v>
      </c>
      <c r="C123" s="98" t="s">
        <v>134</v>
      </c>
      <c r="D123" s="97"/>
      <c r="E123" s="97"/>
      <c r="F123" s="97">
        <f>450+122+80+15135+4088</f>
        <v>19875</v>
      </c>
      <c r="G123" s="97"/>
      <c r="H123" s="97"/>
      <c r="I123" s="97"/>
      <c r="J123" s="97"/>
      <c r="K123" s="97"/>
      <c r="L123" s="97"/>
      <c r="M123" s="97">
        <f>136+36+1891+510</f>
        <v>2573</v>
      </c>
      <c r="N123" s="97"/>
      <c r="O123" s="97"/>
      <c r="P123" s="97"/>
      <c r="Q123" s="97">
        <f>6230+20089+2881+86230</f>
        <v>115430</v>
      </c>
      <c r="R123" s="97">
        <f t="shared" si="18"/>
        <v>137878</v>
      </c>
      <c r="S123" s="97"/>
      <c r="T123" s="97"/>
      <c r="U123" s="97"/>
      <c r="V123" s="97"/>
      <c r="W123" s="97"/>
      <c r="X123" s="100">
        <f t="shared" si="2"/>
        <v>0</v>
      </c>
      <c r="Y123" s="361">
        <f t="shared" si="3"/>
        <v>137878</v>
      </c>
      <c r="Z123" s="369"/>
      <c r="AA123" s="345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</row>
    <row r="124" spans="1:74" ht="16.5" hidden="1" customHeight="1" x14ac:dyDescent="0.2">
      <c r="A124" s="26"/>
      <c r="B124" s="32">
        <v>112</v>
      </c>
      <c r="C124" s="98" t="s">
        <v>134</v>
      </c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>
        <f t="shared" si="18"/>
        <v>0</v>
      </c>
      <c r="S124" s="97"/>
      <c r="T124" s="97"/>
      <c r="U124" s="97"/>
      <c r="V124" s="97"/>
      <c r="W124" s="97"/>
      <c r="X124" s="100">
        <f t="shared" si="2"/>
        <v>0</v>
      </c>
      <c r="Y124" s="361">
        <f t="shared" si="3"/>
        <v>0</v>
      </c>
      <c r="Z124" s="369"/>
      <c r="AA124" s="345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</row>
    <row r="125" spans="1:74" ht="16.5" hidden="1" customHeight="1" x14ac:dyDescent="0.2">
      <c r="A125" s="26"/>
      <c r="B125" s="32">
        <v>120</v>
      </c>
      <c r="C125" s="76" t="s">
        <v>134</v>
      </c>
      <c r="D125" s="77"/>
      <c r="E125" s="77"/>
      <c r="F125" s="77">
        <f>90+24+90+24+3359+901+3310+12290+3315+3692+996+672</f>
        <v>28763</v>
      </c>
      <c r="G125" s="77"/>
      <c r="H125" s="77"/>
      <c r="I125" s="78"/>
      <c r="J125" s="78"/>
      <c r="K125" s="78"/>
      <c r="L125" s="78">
        <f>4268+1152+451+122+14989+4046+533+144+113000+30510+8409+2269+1984+536</f>
        <v>182413</v>
      </c>
      <c r="M125" s="78"/>
      <c r="N125" s="78"/>
      <c r="O125" s="78"/>
      <c r="P125" s="78"/>
      <c r="Q125" s="78"/>
      <c r="R125" s="78">
        <f t="shared" si="18"/>
        <v>211176</v>
      </c>
      <c r="S125" s="78"/>
      <c r="T125" s="78"/>
      <c r="U125" s="78"/>
      <c r="V125" s="78"/>
      <c r="W125" s="78"/>
      <c r="X125" s="438">
        <f t="shared" si="2"/>
        <v>0</v>
      </c>
      <c r="Y125" s="361">
        <f t="shared" si="3"/>
        <v>211176</v>
      </c>
      <c r="Z125" s="370"/>
      <c r="AA125" s="346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</row>
    <row r="126" spans="1:74" ht="16.5" hidden="1" customHeight="1" x14ac:dyDescent="0.2">
      <c r="A126" s="26"/>
      <c r="B126" s="32">
        <v>121</v>
      </c>
      <c r="C126" s="76" t="s">
        <v>134</v>
      </c>
      <c r="D126" s="77"/>
      <c r="E126" s="77"/>
      <c r="F126" s="97">
        <f>450+122+80+450+122+80+712+233+61+17+35953+9708+2574+695+1308+353+500+135+2378+643+700+189+484+131+300+81+2086+563+699+180+1388+385+8998+2430</f>
        <v>75188</v>
      </c>
      <c r="G126" s="77"/>
      <c r="H126" s="77"/>
      <c r="I126" s="78"/>
      <c r="J126" s="78">
        <f>785</f>
        <v>785</v>
      </c>
      <c r="K126" s="78"/>
      <c r="L126" s="97">
        <f>2743+741+78894+21301+92109+20867+58420+15773+45079+12172+12937+3497+10218+2759+11014+2974+9449+2551+20920+5649+3000+810+24975+6744+2843+768+1544+417+108236+29224</f>
        <v>608628</v>
      </c>
      <c r="M126" s="78"/>
      <c r="N126" s="78">
        <v>57243</v>
      </c>
      <c r="O126" s="78"/>
      <c r="P126" s="78"/>
      <c r="Q126" s="78"/>
      <c r="R126" s="78">
        <f t="shared" si="18"/>
        <v>741844</v>
      </c>
      <c r="S126" s="78"/>
      <c r="T126" s="78"/>
      <c r="U126" s="78"/>
      <c r="V126" s="78"/>
      <c r="W126" s="78"/>
      <c r="X126" s="438">
        <f t="shared" si="2"/>
        <v>0</v>
      </c>
      <c r="Y126" s="361">
        <f t="shared" si="3"/>
        <v>741844</v>
      </c>
      <c r="Z126" s="370"/>
      <c r="AA126" s="347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</row>
    <row r="127" spans="1:74" ht="16.5" hidden="1" customHeight="1" x14ac:dyDescent="0.2">
      <c r="A127" s="26"/>
      <c r="B127" s="32">
        <v>150</v>
      </c>
      <c r="C127" s="76" t="s">
        <v>134</v>
      </c>
      <c r="D127" s="77"/>
      <c r="E127" s="77"/>
      <c r="F127" s="97">
        <f>6806+197+53+35+345+93</f>
        <v>7529</v>
      </c>
      <c r="G127" s="77"/>
      <c r="H127" s="77"/>
      <c r="I127" s="78"/>
      <c r="J127" s="78"/>
      <c r="K127" s="78"/>
      <c r="L127" s="78">
        <f>2050+554</f>
        <v>2604</v>
      </c>
      <c r="M127" s="78"/>
      <c r="N127" s="78"/>
      <c r="O127" s="78"/>
      <c r="P127" s="78"/>
      <c r="Q127" s="78"/>
      <c r="R127" s="78">
        <f t="shared" si="18"/>
        <v>10133</v>
      </c>
      <c r="S127" s="78"/>
      <c r="T127" s="78"/>
      <c r="U127" s="78"/>
      <c r="V127" s="78"/>
      <c r="W127" s="78"/>
      <c r="X127" s="438">
        <f t="shared" si="2"/>
        <v>0</v>
      </c>
      <c r="Y127" s="361">
        <f t="shared" si="3"/>
        <v>10133</v>
      </c>
      <c r="Z127" s="370"/>
      <c r="AA127" s="347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</row>
    <row r="128" spans="1:74" ht="16.5" hidden="1" customHeight="1" x14ac:dyDescent="0.2">
      <c r="A128" s="26"/>
      <c r="B128" s="32">
        <v>152</v>
      </c>
      <c r="C128" s="76" t="s">
        <v>134</v>
      </c>
      <c r="D128" s="77"/>
      <c r="E128" s="77"/>
      <c r="F128" s="97">
        <f>253+68+45</f>
        <v>366</v>
      </c>
      <c r="G128" s="77"/>
      <c r="H128" s="77"/>
      <c r="I128" s="78"/>
      <c r="J128" s="78"/>
      <c r="K128" s="78"/>
      <c r="L128" s="78"/>
      <c r="M128" s="78"/>
      <c r="N128" s="78"/>
      <c r="O128" s="78"/>
      <c r="P128" s="78"/>
      <c r="Q128" s="78"/>
      <c r="R128" s="78">
        <f t="shared" si="18"/>
        <v>366</v>
      </c>
      <c r="S128" s="78"/>
      <c r="T128" s="78"/>
      <c r="U128" s="78"/>
      <c r="V128" s="78"/>
      <c r="W128" s="78"/>
      <c r="X128" s="438">
        <f t="shared" ref="X128" si="19">SUM(T128:W128)</f>
        <v>0</v>
      </c>
      <c r="Y128" s="361">
        <f t="shared" ref="Y128" si="20">R128+X128</f>
        <v>366</v>
      </c>
      <c r="Z128" s="370"/>
      <c r="AA128" s="347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</row>
    <row r="129" spans="1:74" ht="16.5" hidden="1" customHeight="1" x14ac:dyDescent="0.2">
      <c r="A129" s="26"/>
      <c r="B129" s="32">
        <v>180</v>
      </c>
      <c r="C129" s="76" t="s">
        <v>134</v>
      </c>
      <c r="D129" s="77"/>
      <c r="E129" s="77"/>
      <c r="F129" s="97">
        <f>5953+1607+2000</f>
        <v>9560</v>
      </c>
      <c r="G129" s="77"/>
      <c r="H129" s="77"/>
      <c r="I129" s="78"/>
      <c r="J129" s="78"/>
      <c r="K129" s="78"/>
      <c r="L129" s="78">
        <f>7850+175000+47250</f>
        <v>230100</v>
      </c>
      <c r="M129" s="78"/>
      <c r="N129" s="78"/>
      <c r="O129" s="78"/>
      <c r="P129" s="78"/>
      <c r="Q129" s="78"/>
      <c r="R129" s="78">
        <f t="shared" si="18"/>
        <v>239660</v>
      </c>
      <c r="S129" s="78"/>
      <c r="T129" s="78"/>
      <c r="U129" s="78"/>
      <c r="V129" s="78"/>
      <c r="W129" s="78"/>
      <c r="X129" s="438">
        <f t="shared" si="2"/>
        <v>0</v>
      </c>
      <c r="Y129" s="361">
        <f t="shared" si="3"/>
        <v>239660</v>
      </c>
      <c r="Z129" s="370"/>
      <c r="AA129" s="347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</row>
    <row r="130" spans="1:74" ht="16.5" hidden="1" customHeight="1" x14ac:dyDescent="0.2">
      <c r="A130" s="26"/>
      <c r="B130" s="32">
        <v>190</v>
      </c>
      <c r="C130" s="76" t="s">
        <v>134</v>
      </c>
      <c r="D130" s="77"/>
      <c r="E130" s="77"/>
      <c r="F130" s="77"/>
      <c r="G130" s="77"/>
      <c r="H130" s="77"/>
      <c r="I130" s="78"/>
      <c r="J130" s="78"/>
      <c r="K130" s="78"/>
      <c r="L130" s="78"/>
      <c r="M130" s="78"/>
      <c r="N130" s="78"/>
      <c r="O130" s="78"/>
      <c r="P130" s="78"/>
      <c r="Q130" s="78"/>
      <c r="R130" s="78">
        <f t="shared" si="18"/>
        <v>0</v>
      </c>
      <c r="S130" s="78"/>
      <c r="T130" s="78"/>
      <c r="U130" s="78"/>
      <c r="V130" s="78"/>
      <c r="W130" s="78"/>
      <c r="X130" s="438">
        <f t="shared" si="2"/>
        <v>0</v>
      </c>
      <c r="Y130" s="361">
        <f t="shared" si="3"/>
        <v>0</v>
      </c>
      <c r="Z130" s="370"/>
      <c r="AA130" s="347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</row>
    <row r="131" spans="1:74" ht="16.5" hidden="1" customHeight="1" x14ac:dyDescent="0.2">
      <c r="A131" s="26"/>
      <c r="B131" s="32">
        <v>200</v>
      </c>
      <c r="C131" s="76" t="s">
        <v>134</v>
      </c>
      <c r="D131" s="77"/>
      <c r="E131" s="77"/>
      <c r="F131" s="77"/>
      <c r="G131" s="77"/>
      <c r="H131" s="77"/>
      <c r="I131" s="78"/>
      <c r="J131" s="78"/>
      <c r="K131" s="78"/>
      <c r="L131" s="78"/>
      <c r="M131" s="78"/>
      <c r="N131" s="78"/>
      <c r="O131" s="78"/>
      <c r="P131" s="78"/>
      <c r="Q131" s="78">
        <v>3135</v>
      </c>
      <c r="R131" s="78">
        <f t="shared" si="18"/>
        <v>3135</v>
      </c>
      <c r="S131" s="78"/>
      <c r="T131" s="78"/>
      <c r="U131" s="78"/>
      <c r="V131" s="78"/>
      <c r="W131" s="78"/>
      <c r="X131" s="438">
        <f t="shared" si="2"/>
        <v>0</v>
      </c>
      <c r="Y131" s="361">
        <f t="shared" si="3"/>
        <v>3135</v>
      </c>
      <c r="Z131" s="370"/>
      <c r="AA131" s="347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</row>
    <row r="132" spans="1:74" ht="16.5" hidden="1" customHeight="1" x14ac:dyDescent="0.2">
      <c r="A132" s="26"/>
      <c r="B132" s="32">
        <v>220</v>
      </c>
      <c r="C132" s="76" t="s">
        <v>134</v>
      </c>
      <c r="D132" s="77"/>
      <c r="E132" s="77"/>
      <c r="F132" s="77"/>
      <c r="G132" s="77"/>
      <c r="H132" s="77"/>
      <c r="I132" s="78"/>
      <c r="J132" s="78"/>
      <c r="K132" s="78"/>
      <c r="L132" s="78"/>
      <c r="M132" s="78"/>
      <c r="N132" s="79"/>
      <c r="O132" s="78"/>
      <c r="P132" s="78"/>
      <c r="Q132" s="78"/>
      <c r="R132" s="78">
        <f t="shared" si="18"/>
        <v>0</v>
      </c>
      <c r="S132" s="78"/>
      <c r="T132" s="78"/>
      <c r="U132" s="78"/>
      <c r="V132" s="78"/>
      <c r="W132" s="78"/>
      <c r="X132" s="438">
        <f t="shared" si="2"/>
        <v>0</v>
      </c>
      <c r="Y132" s="361">
        <f t="shared" si="3"/>
        <v>0</v>
      </c>
      <c r="Z132" s="370"/>
      <c r="AA132" s="347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</row>
    <row r="133" spans="1:74" ht="16.5" hidden="1" customHeight="1" x14ac:dyDescent="0.2">
      <c r="A133" s="26"/>
      <c r="B133" s="32">
        <v>407</v>
      </c>
      <c r="C133" s="76" t="s">
        <v>134</v>
      </c>
      <c r="D133" s="77"/>
      <c r="E133" s="77"/>
      <c r="F133" s="77"/>
      <c r="G133" s="77"/>
      <c r="H133" s="77"/>
      <c r="I133" s="78"/>
      <c r="J133" s="78"/>
      <c r="K133" s="78"/>
      <c r="L133" s="78"/>
      <c r="M133" s="78"/>
      <c r="N133" s="78"/>
      <c r="O133" s="78"/>
      <c r="P133" s="78"/>
      <c r="Q133" s="78"/>
      <c r="R133" s="78">
        <f t="shared" si="18"/>
        <v>0</v>
      </c>
      <c r="S133" s="78"/>
      <c r="T133" s="78"/>
      <c r="U133" s="78"/>
      <c r="V133" s="78"/>
      <c r="W133" s="78"/>
      <c r="X133" s="438">
        <f t="shared" si="2"/>
        <v>0</v>
      </c>
      <c r="Y133" s="361">
        <f t="shared" si="3"/>
        <v>0</v>
      </c>
      <c r="Z133" s="370"/>
      <c r="AA133" s="347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</row>
    <row r="134" spans="1:74" ht="16.5" hidden="1" customHeight="1" x14ac:dyDescent="0.2">
      <c r="A134" s="26"/>
      <c r="B134" s="32">
        <v>418</v>
      </c>
      <c r="C134" s="76" t="s">
        <v>134</v>
      </c>
      <c r="D134" s="77"/>
      <c r="E134" s="77"/>
      <c r="F134" s="77"/>
      <c r="G134" s="77"/>
      <c r="H134" s="77"/>
      <c r="I134" s="78"/>
      <c r="J134" s="78"/>
      <c r="K134" s="78"/>
      <c r="L134" s="78"/>
      <c r="M134" s="78"/>
      <c r="N134" s="78"/>
      <c r="O134" s="78"/>
      <c r="P134" s="78"/>
      <c r="Q134" s="78"/>
      <c r="R134" s="78">
        <f t="shared" si="18"/>
        <v>0</v>
      </c>
      <c r="S134" s="78"/>
      <c r="T134" s="78"/>
      <c r="U134" s="78"/>
      <c r="V134" s="78"/>
      <c r="W134" s="78"/>
      <c r="X134" s="438">
        <f t="shared" si="2"/>
        <v>0</v>
      </c>
      <c r="Y134" s="361">
        <f t="shared" si="3"/>
        <v>0</v>
      </c>
      <c r="Z134" s="370"/>
      <c r="AA134" s="347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</row>
    <row r="135" spans="1:74" ht="16.5" hidden="1" customHeight="1" x14ac:dyDescent="0.2">
      <c r="A135" s="26"/>
      <c r="B135" s="32">
        <v>419</v>
      </c>
      <c r="C135" s="76" t="s">
        <v>134</v>
      </c>
      <c r="D135" s="77"/>
      <c r="E135" s="77"/>
      <c r="F135" s="77"/>
      <c r="G135" s="77"/>
      <c r="H135" s="77"/>
      <c r="I135" s="78"/>
      <c r="J135" s="78"/>
      <c r="K135" s="78"/>
      <c r="L135" s="78"/>
      <c r="M135" s="78"/>
      <c r="N135" s="78"/>
      <c r="O135" s="78"/>
      <c r="P135" s="78"/>
      <c r="Q135" s="78"/>
      <c r="R135" s="78">
        <f t="shared" si="18"/>
        <v>0</v>
      </c>
      <c r="S135" s="78"/>
      <c r="T135" s="78"/>
      <c r="U135" s="78"/>
      <c r="V135" s="78"/>
      <c r="W135" s="78"/>
      <c r="X135" s="438">
        <f t="shared" si="2"/>
        <v>0</v>
      </c>
      <c r="Y135" s="361">
        <f t="shared" si="3"/>
        <v>0</v>
      </c>
      <c r="Z135" s="370"/>
      <c r="AA135" s="347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</row>
    <row r="136" spans="1:74" ht="16.5" hidden="1" customHeight="1" x14ac:dyDescent="0.2">
      <c r="A136" s="26"/>
      <c r="B136" s="32">
        <v>420</v>
      </c>
      <c r="C136" s="76" t="s">
        <v>134</v>
      </c>
      <c r="D136" s="77"/>
      <c r="E136" s="77"/>
      <c r="F136" s="77"/>
      <c r="G136" s="77"/>
      <c r="H136" s="77"/>
      <c r="I136" s="78"/>
      <c r="J136" s="78"/>
      <c r="K136" s="78"/>
      <c r="L136" s="78">
        <f>2950+797</f>
        <v>3747</v>
      </c>
      <c r="M136" s="78"/>
      <c r="N136" s="78"/>
      <c r="O136" s="78"/>
      <c r="P136" s="78"/>
      <c r="Q136" s="78"/>
      <c r="R136" s="78">
        <f t="shared" si="18"/>
        <v>3747</v>
      </c>
      <c r="S136" s="78"/>
      <c r="T136" s="78"/>
      <c r="U136" s="78"/>
      <c r="V136" s="78"/>
      <c r="W136" s="78"/>
      <c r="X136" s="438">
        <f t="shared" si="2"/>
        <v>0</v>
      </c>
      <c r="Y136" s="361">
        <f t="shared" si="3"/>
        <v>3747</v>
      </c>
      <c r="Z136" s="370"/>
      <c r="AA136" s="347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</row>
    <row r="137" spans="1:74" ht="16.5" hidden="1" customHeight="1" x14ac:dyDescent="0.2">
      <c r="A137" s="26"/>
      <c r="B137" s="32">
        <v>423</v>
      </c>
      <c r="C137" s="76" t="s">
        <v>134</v>
      </c>
      <c r="D137" s="77"/>
      <c r="E137" s="77"/>
      <c r="F137" s="77"/>
      <c r="G137" s="77"/>
      <c r="H137" s="77"/>
      <c r="I137" s="78"/>
      <c r="J137" s="78"/>
      <c r="K137" s="78"/>
      <c r="L137" s="78"/>
      <c r="M137" s="78"/>
      <c r="N137" s="78"/>
      <c r="O137" s="78"/>
      <c r="P137" s="78"/>
      <c r="Q137" s="78"/>
      <c r="R137" s="78">
        <f t="shared" si="18"/>
        <v>0</v>
      </c>
      <c r="S137" s="78"/>
      <c r="T137" s="78"/>
      <c r="U137" s="78"/>
      <c r="V137" s="78"/>
      <c r="W137" s="78"/>
      <c r="X137" s="438">
        <f t="shared" si="2"/>
        <v>0</v>
      </c>
      <c r="Y137" s="361">
        <f t="shared" si="3"/>
        <v>0</v>
      </c>
      <c r="Z137" s="370"/>
      <c r="AA137" s="347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</row>
    <row r="138" spans="1:74" ht="16.5" hidden="1" customHeight="1" x14ac:dyDescent="0.2">
      <c r="A138" s="26"/>
      <c r="B138" s="32">
        <v>424</v>
      </c>
      <c r="C138" s="76" t="s">
        <v>134</v>
      </c>
      <c r="D138" s="77"/>
      <c r="E138" s="77"/>
      <c r="F138" s="77"/>
      <c r="G138" s="77"/>
      <c r="H138" s="77"/>
      <c r="I138" s="78"/>
      <c r="J138" s="78"/>
      <c r="K138" s="78"/>
      <c r="L138" s="78">
        <f>750+203+7950+2147</f>
        <v>11050</v>
      </c>
      <c r="M138" s="78"/>
      <c r="N138" s="78"/>
      <c r="O138" s="78"/>
      <c r="P138" s="78"/>
      <c r="Q138" s="78"/>
      <c r="R138" s="78">
        <f t="shared" si="18"/>
        <v>11050</v>
      </c>
      <c r="S138" s="78"/>
      <c r="T138" s="78"/>
      <c r="U138" s="78"/>
      <c r="V138" s="78"/>
      <c r="W138" s="78"/>
      <c r="X138" s="438">
        <f t="shared" si="2"/>
        <v>0</v>
      </c>
      <c r="Y138" s="361">
        <f t="shared" si="3"/>
        <v>11050</v>
      </c>
      <c r="Z138" s="370"/>
      <c r="AA138" s="347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</row>
    <row r="139" spans="1:74" ht="16.5" hidden="1" customHeight="1" x14ac:dyDescent="0.2">
      <c r="A139" s="26"/>
      <c r="B139" s="32"/>
      <c r="C139" s="76" t="s">
        <v>134</v>
      </c>
      <c r="D139" s="77"/>
      <c r="E139" s="77"/>
      <c r="F139" s="77"/>
      <c r="G139" s="77"/>
      <c r="H139" s="77"/>
      <c r="I139" s="78"/>
      <c r="J139" s="78"/>
      <c r="K139" s="78"/>
      <c r="L139" s="78"/>
      <c r="M139" s="78"/>
      <c r="N139" s="78"/>
      <c r="O139" s="78"/>
      <c r="P139" s="78"/>
      <c r="Q139" s="78"/>
      <c r="R139" s="78">
        <f t="shared" si="18"/>
        <v>0</v>
      </c>
      <c r="S139" s="78"/>
      <c r="T139" s="78"/>
      <c r="U139" s="78"/>
      <c r="V139" s="78"/>
      <c r="W139" s="78"/>
      <c r="X139" s="438">
        <f t="shared" ref="X139:X231" si="21">SUM(T139:W139)</f>
        <v>0</v>
      </c>
      <c r="Y139" s="361">
        <f t="shared" ref="Y139:Y231" si="22">R139+X139</f>
        <v>0</v>
      </c>
      <c r="Z139" s="370"/>
      <c r="AA139" s="347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</row>
    <row r="140" spans="1:74" ht="16.5" hidden="1" customHeight="1" x14ac:dyDescent="0.2">
      <c r="A140" s="26"/>
      <c r="B140" s="32"/>
      <c r="C140" s="76" t="s">
        <v>134</v>
      </c>
      <c r="D140" s="77"/>
      <c r="E140" s="77"/>
      <c r="F140" s="77"/>
      <c r="G140" s="77"/>
      <c r="H140" s="77"/>
      <c r="I140" s="78"/>
      <c r="J140" s="78"/>
      <c r="K140" s="78"/>
      <c r="L140" s="78"/>
      <c r="M140" s="78"/>
      <c r="N140" s="78"/>
      <c r="O140" s="78"/>
      <c r="P140" s="78"/>
      <c r="Q140" s="78"/>
      <c r="R140" s="78">
        <f t="shared" si="18"/>
        <v>0</v>
      </c>
      <c r="S140" s="78"/>
      <c r="T140" s="78"/>
      <c r="U140" s="78"/>
      <c r="V140" s="78"/>
      <c r="W140" s="78"/>
      <c r="X140" s="438">
        <f t="shared" si="21"/>
        <v>0</v>
      </c>
      <c r="Y140" s="361">
        <f t="shared" si="22"/>
        <v>0</v>
      </c>
      <c r="Z140" s="370"/>
      <c r="AA140" s="347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</row>
    <row r="141" spans="1:74" ht="16.5" hidden="1" customHeight="1" x14ac:dyDescent="0.2">
      <c r="A141" s="26"/>
      <c r="B141" s="32"/>
      <c r="C141" s="76" t="s">
        <v>134</v>
      </c>
      <c r="D141" s="77"/>
      <c r="E141" s="77"/>
      <c r="F141" s="77"/>
      <c r="G141" s="77"/>
      <c r="H141" s="77"/>
      <c r="I141" s="78"/>
      <c r="J141" s="78"/>
      <c r="K141" s="78"/>
      <c r="L141" s="78"/>
      <c r="M141" s="78"/>
      <c r="N141" s="78"/>
      <c r="O141" s="78"/>
      <c r="P141" s="78"/>
      <c r="Q141" s="78"/>
      <c r="R141" s="78">
        <f t="shared" si="18"/>
        <v>0</v>
      </c>
      <c r="S141" s="78"/>
      <c r="T141" s="78"/>
      <c r="U141" s="78"/>
      <c r="V141" s="78"/>
      <c r="W141" s="78"/>
      <c r="X141" s="438">
        <f t="shared" si="21"/>
        <v>0</v>
      </c>
      <c r="Y141" s="361">
        <f t="shared" si="22"/>
        <v>0</v>
      </c>
      <c r="Z141" s="370"/>
      <c r="AA141" s="347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</row>
    <row r="142" spans="1:74" ht="16.5" hidden="1" customHeight="1" x14ac:dyDescent="0.2">
      <c r="A142" s="26"/>
      <c r="B142" s="32"/>
      <c r="C142" s="76" t="s">
        <v>134</v>
      </c>
      <c r="D142" s="77"/>
      <c r="E142" s="77"/>
      <c r="F142" s="77"/>
      <c r="G142" s="77"/>
      <c r="H142" s="77"/>
      <c r="I142" s="78"/>
      <c r="J142" s="78"/>
      <c r="K142" s="78"/>
      <c r="L142" s="78"/>
      <c r="M142" s="78"/>
      <c r="N142" s="78"/>
      <c r="O142" s="78"/>
      <c r="P142" s="78"/>
      <c r="Q142" s="78"/>
      <c r="R142" s="78">
        <f t="shared" si="18"/>
        <v>0</v>
      </c>
      <c r="S142" s="78"/>
      <c r="T142" s="78"/>
      <c r="U142" s="78"/>
      <c r="V142" s="78"/>
      <c r="W142" s="78"/>
      <c r="X142" s="438">
        <f t="shared" si="21"/>
        <v>0</v>
      </c>
      <c r="Y142" s="361">
        <f t="shared" si="22"/>
        <v>0</v>
      </c>
      <c r="Z142" s="370"/>
      <c r="AA142" s="347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</row>
    <row r="143" spans="1:74" ht="16.5" hidden="1" customHeight="1" x14ac:dyDescent="0.2">
      <c r="A143" s="26"/>
      <c r="B143" s="313"/>
      <c r="C143" s="76" t="s">
        <v>134</v>
      </c>
      <c r="D143" s="311"/>
      <c r="E143" s="311"/>
      <c r="F143" s="311"/>
      <c r="G143" s="311"/>
      <c r="H143" s="311"/>
      <c r="I143" s="312"/>
      <c r="J143" s="312"/>
      <c r="K143" s="312"/>
      <c r="L143" s="312"/>
      <c r="M143" s="312"/>
      <c r="N143" s="312"/>
      <c r="O143" s="312"/>
      <c r="P143" s="312"/>
      <c r="Q143" s="312"/>
      <c r="R143" s="78">
        <f t="shared" si="18"/>
        <v>0</v>
      </c>
      <c r="S143" s="312"/>
      <c r="T143" s="312"/>
      <c r="U143" s="312"/>
      <c r="V143" s="312"/>
      <c r="W143" s="312"/>
      <c r="X143" s="439">
        <f t="shared" si="21"/>
        <v>0</v>
      </c>
      <c r="Y143" s="361">
        <f t="shared" si="22"/>
        <v>0</v>
      </c>
      <c r="Z143" s="371"/>
      <c r="AA143" s="347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</row>
    <row r="144" spans="1:74" ht="16.5" hidden="1" customHeight="1" x14ac:dyDescent="0.2">
      <c r="A144" s="26"/>
      <c r="B144" s="315"/>
      <c r="C144" s="76" t="s">
        <v>134</v>
      </c>
      <c r="D144" s="311"/>
      <c r="E144" s="311"/>
      <c r="F144" s="311"/>
      <c r="G144" s="311"/>
      <c r="H144" s="311"/>
      <c r="I144" s="312"/>
      <c r="J144" s="312"/>
      <c r="K144" s="312"/>
      <c r="L144" s="312"/>
      <c r="M144" s="312"/>
      <c r="N144" s="312"/>
      <c r="O144" s="312"/>
      <c r="P144" s="312"/>
      <c r="Q144" s="312"/>
      <c r="R144" s="78">
        <f t="shared" si="18"/>
        <v>0</v>
      </c>
      <c r="S144" s="312"/>
      <c r="T144" s="312"/>
      <c r="U144" s="312"/>
      <c r="V144" s="312"/>
      <c r="W144" s="312"/>
      <c r="X144" s="439">
        <f t="shared" si="21"/>
        <v>0</v>
      </c>
      <c r="Y144" s="361">
        <f t="shared" si="22"/>
        <v>0</v>
      </c>
      <c r="Z144" s="371"/>
      <c r="AA144" s="347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</row>
    <row r="145" spans="1:74" ht="17.25" hidden="1" customHeight="1" thickBot="1" x14ac:dyDescent="0.25">
      <c r="A145" s="151"/>
      <c r="B145" s="314"/>
      <c r="C145" s="146"/>
      <c r="D145" s="147"/>
      <c r="E145" s="147"/>
      <c r="F145" s="147"/>
      <c r="G145" s="147"/>
      <c r="H145" s="147"/>
      <c r="I145" s="148"/>
      <c r="J145" s="148"/>
      <c r="K145" s="148"/>
      <c r="L145" s="148"/>
      <c r="M145" s="148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440"/>
      <c r="Y145" s="362"/>
      <c r="Z145" s="372"/>
      <c r="AA145" s="348"/>
      <c r="AB145" s="132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</row>
    <row r="146" spans="1:74" s="81" customFormat="1" ht="30" hidden="1" customHeight="1" thickTop="1" thickBot="1" x14ac:dyDescent="0.25">
      <c r="A146" s="150"/>
      <c r="B146" s="145"/>
      <c r="C146" s="39" t="s">
        <v>213</v>
      </c>
      <c r="D146" s="52">
        <f t="shared" ref="D146:Q146" si="23">SUM(D101:D145)</f>
        <v>4786</v>
      </c>
      <c r="E146" s="52">
        <f t="shared" si="23"/>
        <v>1167</v>
      </c>
      <c r="F146" s="52">
        <f t="shared" si="23"/>
        <v>355080.46799999999</v>
      </c>
      <c r="G146" s="52">
        <f t="shared" si="23"/>
        <v>24775</v>
      </c>
      <c r="H146" s="52">
        <f t="shared" si="23"/>
        <v>0</v>
      </c>
      <c r="I146" s="52">
        <f t="shared" si="23"/>
        <v>0</v>
      </c>
      <c r="J146" s="52">
        <f t="shared" si="23"/>
        <v>13692</v>
      </c>
      <c r="K146" s="52">
        <f t="shared" si="23"/>
        <v>612339</v>
      </c>
      <c r="L146" s="52">
        <f t="shared" si="23"/>
        <v>1112297</v>
      </c>
      <c r="M146" s="52">
        <f t="shared" si="23"/>
        <v>12788</v>
      </c>
      <c r="N146" s="52">
        <f t="shared" si="23"/>
        <v>57243</v>
      </c>
      <c r="O146" s="52">
        <f t="shared" si="23"/>
        <v>0</v>
      </c>
      <c r="P146" s="52">
        <f t="shared" si="23"/>
        <v>0</v>
      </c>
      <c r="Q146" s="52">
        <f t="shared" si="23"/>
        <v>120165</v>
      </c>
      <c r="R146" s="52">
        <f t="shared" ref="R146:R272" si="24">SUM(D146:Q146)</f>
        <v>2314332.4679999999</v>
      </c>
      <c r="S146" s="52"/>
      <c r="T146" s="52">
        <f>SUM(T101:T145)</f>
        <v>0</v>
      </c>
      <c r="U146" s="52">
        <f>SUM(U101:U145)</f>
        <v>0</v>
      </c>
      <c r="V146" s="52">
        <f>SUM(V101:V145)</f>
        <v>0</v>
      </c>
      <c r="W146" s="52">
        <f>SUM(W101:W145)</f>
        <v>0</v>
      </c>
      <c r="X146" s="441">
        <f t="shared" si="21"/>
        <v>0</v>
      </c>
      <c r="Y146" s="363">
        <f t="shared" si="22"/>
        <v>2314332.4679999999</v>
      </c>
      <c r="Z146" s="373">
        <f>SUM(Z101:Z145)</f>
        <v>45419</v>
      </c>
      <c r="AA146" s="34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</row>
    <row r="147" spans="1:74" ht="35.1" hidden="1" customHeight="1" thickTop="1" thickBot="1" x14ac:dyDescent="0.35">
      <c r="A147" s="135"/>
      <c r="B147" s="533" t="s">
        <v>160</v>
      </c>
      <c r="C147" s="44" t="s">
        <v>215</v>
      </c>
      <c r="D147" s="86">
        <f t="shared" ref="D147:Q147" si="25">D100+D146</f>
        <v>154018</v>
      </c>
      <c r="E147" s="86">
        <f t="shared" si="25"/>
        <v>36396</v>
      </c>
      <c r="F147" s="129">
        <f t="shared" si="25"/>
        <v>4730285.9090000009</v>
      </c>
      <c r="G147" s="129">
        <f t="shared" si="25"/>
        <v>197440</v>
      </c>
      <c r="H147" s="129">
        <f t="shared" si="25"/>
        <v>150591.49600000001</v>
      </c>
      <c r="I147" s="129">
        <f t="shared" si="25"/>
        <v>52112</v>
      </c>
      <c r="J147" s="86">
        <f t="shared" si="25"/>
        <v>685330</v>
      </c>
      <c r="K147" s="86">
        <f t="shared" si="25"/>
        <v>2855229.594</v>
      </c>
      <c r="L147" s="86">
        <f t="shared" si="25"/>
        <v>3011496</v>
      </c>
      <c r="M147" s="86">
        <f t="shared" si="25"/>
        <v>37208</v>
      </c>
      <c r="N147" s="86">
        <f t="shared" si="25"/>
        <v>57843</v>
      </c>
      <c r="O147" s="129">
        <f t="shared" si="25"/>
        <v>10000</v>
      </c>
      <c r="P147" s="86">
        <f t="shared" si="25"/>
        <v>0</v>
      </c>
      <c r="Q147" s="86">
        <f t="shared" si="25"/>
        <v>563293</v>
      </c>
      <c r="R147" s="86">
        <f t="shared" si="24"/>
        <v>12541242.999000002</v>
      </c>
      <c r="S147" s="86"/>
      <c r="T147" s="86">
        <f>T100+T146</f>
        <v>0</v>
      </c>
      <c r="U147" s="86">
        <f>U100+U146</f>
        <v>3740000</v>
      </c>
      <c r="V147" s="86">
        <f>V100+V146</f>
        <v>66267.035000000003</v>
      </c>
      <c r="W147" s="86">
        <f>W100+W146</f>
        <v>0</v>
      </c>
      <c r="X147" s="87">
        <f t="shared" si="21"/>
        <v>3806267.0350000001</v>
      </c>
      <c r="Y147" s="87">
        <f t="shared" si="22"/>
        <v>16347510.034000002</v>
      </c>
      <c r="Z147" s="265">
        <f>Z100+Z146</f>
        <v>6436382.5250000004</v>
      </c>
      <c r="AA147" s="343"/>
      <c r="AB147" s="85">
        <f>Y147+Z147</f>
        <v>22783892.559</v>
      </c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</row>
    <row r="148" spans="1:74" ht="24.95" customHeight="1" thickTop="1" thickBot="1" x14ac:dyDescent="0.3">
      <c r="A148" s="212"/>
      <c r="B148" s="213"/>
      <c r="C148" s="214" t="s">
        <v>18</v>
      </c>
      <c r="D148" s="317">
        <f t="shared" ref="D148:W148" si="26">D147</f>
        <v>154018</v>
      </c>
      <c r="E148" s="317">
        <f>E147</f>
        <v>36396</v>
      </c>
      <c r="F148" s="317">
        <f>F147</f>
        <v>4730285.9090000009</v>
      </c>
      <c r="G148" s="317">
        <f>G147</f>
        <v>197440</v>
      </c>
      <c r="H148" s="317">
        <f t="shared" si="26"/>
        <v>150591.49600000001</v>
      </c>
      <c r="I148" s="317">
        <f t="shared" si="26"/>
        <v>52112</v>
      </c>
      <c r="J148" s="317">
        <f t="shared" si="26"/>
        <v>685330</v>
      </c>
      <c r="K148" s="317">
        <f>K147</f>
        <v>2855229.594</v>
      </c>
      <c r="L148" s="317">
        <f>L147</f>
        <v>3011496</v>
      </c>
      <c r="M148" s="317">
        <f t="shared" si="26"/>
        <v>37208</v>
      </c>
      <c r="N148" s="317">
        <f t="shared" si="26"/>
        <v>57843</v>
      </c>
      <c r="O148" s="317">
        <f t="shared" si="26"/>
        <v>10000</v>
      </c>
      <c r="P148" s="317">
        <f t="shared" si="26"/>
        <v>0</v>
      </c>
      <c r="Q148" s="317">
        <f t="shared" si="26"/>
        <v>563293</v>
      </c>
      <c r="R148" s="317">
        <f t="shared" si="24"/>
        <v>12541242.999000002</v>
      </c>
      <c r="S148" s="317"/>
      <c r="T148" s="317">
        <f t="shared" si="26"/>
        <v>0</v>
      </c>
      <c r="U148" s="317">
        <f>U147</f>
        <v>3740000</v>
      </c>
      <c r="V148" s="317">
        <f>V147</f>
        <v>66267.035000000003</v>
      </c>
      <c r="W148" s="317">
        <f t="shared" si="26"/>
        <v>0</v>
      </c>
      <c r="X148" s="442">
        <f t="shared" si="21"/>
        <v>3806267.0350000001</v>
      </c>
      <c r="Y148" s="638">
        <f t="shared" si="22"/>
        <v>16347510.034000002</v>
      </c>
      <c r="Z148" s="374">
        <f>Z147</f>
        <v>6436382.5250000004</v>
      </c>
      <c r="AA148" s="349"/>
    </row>
    <row r="149" spans="1:74" ht="24.95" customHeight="1" x14ac:dyDescent="0.2">
      <c r="A149" s="40">
        <v>1</v>
      </c>
      <c r="B149" s="613" t="s">
        <v>334</v>
      </c>
      <c r="C149" s="28" t="s">
        <v>311</v>
      </c>
      <c r="D149" s="157"/>
      <c r="E149" s="157"/>
      <c r="F149" s="157"/>
      <c r="G149" s="157"/>
      <c r="H149" s="157"/>
      <c r="I149" s="157"/>
      <c r="J149" s="157">
        <f>85</f>
        <v>85</v>
      </c>
      <c r="K149" s="157">
        <f>-85</f>
        <v>-85</v>
      </c>
      <c r="L149" s="157"/>
      <c r="M149" s="157"/>
      <c r="N149" s="157"/>
      <c r="O149" s="157"/>
      <c r="P149" s="157"/>
      <c r="Q149" s="157"/>
      <c r="R149" s="157">
        <f>SUM(D149:Q149)</f>
        <v>0</v>
      </c>
      <c r="S149" s="157"/>
      <c r="T149" s="157"/>
      <c r="U149" s="157"/>
      <c r="V149" s="157"/>
      <c r="W149" s="157"/>
      <c r="X149" s="163">
        <f>SUM(T149:W149)</f>
        <v>0</v>
      </c>
      <c r="Y149" s="235">
        <f>R149+X149</f>
        <v>0</v>
      </c>
      <c r="Z149" s="157"/>
      <c r="AA149" s="349"/>
    </row>
    <row r="150" spans="1:74" ht="24" customHeight="1" x14ac:dyDescent="0.2">
      <c r="A150" s="82">
        <v>2</v>
      </c>
      <c r="B150" s="614" t="s">
        <v>322</v>
      </c>
      <c r="C150" s="28" t="s">
        <v>326</v>
      </c>
      <c r="D150" s="162"/>
      <c r="E150" s="162"/>
      <c r="F150" s="157"/>
      <c r="G150" s="157"/>
      <c r="H150" s="157"/>
      <c r="I150" s="157"/>
      <c r="J150" s="157">
        <f>-500-400-1500</f>
        <v>-2400</v>
      </c>
      <c r="K150" s="157"/>
      <c r="L150" s="157"/>
      <c r="M150" s="157"/>
      <c r="N150" s="157"/>
      <c r="O150" s="157"/>
      <c r="P150" s="157"/>
      <c r="Q150" s="157"/>
      <c r="R150" s="157">
        <f>SUM(D150:Q150)</f>
        <v>-2400</v>
      </c>
      <c r="S150" s="157"/>
      <c r="T150" s="157"/>
      <c r="U150" s="157"/>
      <c r="W150" s="157"/>
      <c r="X150" s="163">
        <f>SUM(T150:W150)</f>
        <v>0</v>
      </c>
      <c r="Y150" s="235">
        <f>R150+X150</f>
        <v>-2400</v>
      </c>
      <c r="Z150" s="157">
        <f>2400</f>
        <v>2400</v>
      </c>
      <c r="AA150" s="350"/>
    </row>
    <row r="151" spans="1:74" ht="24" customHeight="1" x14ac:dyDescent="0.2">
      <c r="A151" s="40">
        <v>3</v>
      </c>
      <c r="B151" s="614" t="s">
        <v>323</v>
      </c>
      <c r="C151" s="28" t="s">
        <v>327</v>
      </c>
      <c r="D151" s="162"/>
      <c r="E151" s="162"/>
      <c r="F151" s="157">
        <f>-378.9</f>
        <v>-378.9</v>
      </c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>
        <f>SUM(D151:Q151)</f>
        <v>-378.9</v>
      </c>
      <c r="S151" s="157"/>
      <c r="T151" s="162"/>
      <c r="U151" s="162"/>
      <c r="W151" s="157"/>
      <c r="X151" s="163">
        <f>SUM(T151:W151)</f>
        <v>0</v>
      </c>
      <c r="Y151" s="235">
        <f>R151+X151</f>
        <v>-378.9</v>
      </c>
      <c r="Z151" s="162">
        <f>378.9</f>
        <v>378.9</v>
      </c>
      <c r="AA151" s="350"/>
    </row>
    <row r="152" spans="1:74" ht="24" customHeight="1" x14ac:dyDescent="0.2">
      <c r="A152" s="82">
        <v>4</v>
      </c>
      <c r="B152" s="614" t="s">
        <v>324</v>
      </c>
      <c r="C152" s="28" t="s">
        <v>328</v>
      </c>
      <c r="D152" s="162"/>
      <c r="E152" s="162"/>
      <c r="F152" s="157">
        <f>-2500</f>
        <v>-2500</v>
      </c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>
        <f>SUM(D152:Q152)</f>
        <v>-2500</v>
      </c>
      <c r="S152" s="157"/>
      <c r="T152" s="162"/>
      <c r="U152" s="162"/>
      <c r="W152" s="157"/>
      <c r="X152" s="163">
        <f>SUM(T152:W152)</f>
        <v>0</v>
      </c>
      <c r="Y152" s="235">
        <f>R152+X152</f>
        <v>-2500</v>
      </c>
      <c r="Z152" s="162">
        <f>2500</f>
        <v>2500</v>
      </c>
      <c r="AA152" s="350"/>
    </row>
    <row r="153" spans="1:74" ht="24" customHeight="1" x14ac:dyDescent="0.2">
      <c r="A153" s="40">
        <v>5</v>
      </c>
      <c r="B153" s="614" t="s">
        <v>325</v>
      </c>
      <c r="C153" s="28" t="s">
        <v>329</v>
      </c>
      <c r="D153" s="162"/>
      <c r="E153" s="162"/>
      <c r="F153" s="157">
        <f>-702.648</f>
        <v>-702.64800000000002</v>
      </c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>
        <f>SUM(D153:Q153)</f>
        <v>-702.64800000000002</v>
      </c>
      <c r="S153" s="157"/>
      <c r="T153" s="162"/>
      <c r="U153" s="162"/>
      <c r="W153" s="157"/>
      <c r="X153" s="163">
        <f>SUM(T153:W153)</f>
        <v>0</v>
      </c>
      <c r="Y153" s="235">
        <f>R153+X153</f>
        <v>-702.64800000000002</v>
      </c>
      <c r="Z153" s="162">
        <f>702.648</f>
        <v>702.64800000000002</v>
      </c>
      <c r="AA153" s="350"/>
    </row>
    <row r="154" spans="1:74" ht="24" customHeight="1" x14ac:dyDescent="0.2">
      <c r="A154" s="82">
        <v>6</v>
      </c>
      <c r="B154" s="614" t="s">
        <v>335</v>
      </c>
      <c r="C154" s="28" t="s">
        <v>272</v>
      </c>
      <c r="D154" s="162"/>
      <c r="E154" s="162"/>
      <c r="F154" s="157"/>
      <c r="G154" s="157"/>
      <c r="H154" s="157"/>
      <c r="I154" s="157"/>
      <c r="J154" s="157">
        <f>747</f>
        <v>747</v>
      </c>
      <c r="K154" s="157">
        <f>-747</f>
        <v>-747</v>
      </c>
      <c r="L154" s="157"/>
      <c r="M154" s="157"/>
      <c r="N154" s="157"/>
      <c r="O154" s="157"/>
      <c r="P154" s="157"/>
      <c r="Q154" s="157"/>
      <c r="R154" s="157">
        <f t="shared" si="24"/>
        <v>0</v>
      </c>
      <c r="S154" s="157"/>
      <c r="T154" s="162"/>
      <c r="U154" s="162"/>
      <c r="W154" s="157"/>
      <c r="X154" s="163">
        <f t="shared" si="21"/>
        <v>0</v>
      </c>
      <c r="Y154" s="235">
        <f t="shared" si="22"/>
        <v>0</v>
      </c>
      <c r="Z154" s="162"/>
      <c r="AA154" s="350"/>
    </row>
    <row r="155" spans="1:74" ht="24" customHeight="1" x14ac:dyDescent="0.2">
      <c r="A155" s="40">
        <v>7</v>
      </c>
      <c r="B155" s="615" t="s">
        <v>336</v>
      </c>
      <c r="C155" s="28" t="s">
        <v>272</v>
      </c>
      <c r="D155" s="162"/>
      <c r="E155" s="162"/>
      <c r="F155" s="157"/>
      <c r="G155" s="157"/>
      <c r="H155" s="157"/>
      <c r="I155" s="157">
        <f>50</f>
        <v>50</v>
      </c>
      <c r="J155" s="157"/>
      <c r="K155" s="157">
        <f>-50</f>
        <v>-50</v>
      </c>
      <c r="L155" s="157"/>
      <c r="M155" s="157"/>
      <c r="N155" s="157"/>
      <c r="O155" s="157"/>
      <c r="P155" s="157"/>
      <c r="Q155" s="157"/>
      <c r="R155" s="157">
        <f t="shared" si="24"/>
        <v>0</v>
      </c>
      <c r="S155" s="157"/>
      <c r="T155" s="162"/>
      <c r="U155" s="162"/>
      <c r="W155" s="157"/>
      <c r="X155" s="163">
        <f t="shared" si="21"/>
        <v>0</v>
      </c>
      <c r="Y155" s="235">
        <f t="shared" si="22"/>
        <v>0</v>
      </c>
      <c r="Z155" s="162"/>
      <c r="AA155" s="350"/>
    </row>
    <row r="156" spans="1:74" ht="24" customHeight="1" x14ac:dyDescent="0.2">
      <c r="A156" s="82">
        <v>8</v>
      </c>
      <c r="B156" s="615" t="s">
        <v>337</v>
      </c>
      <c r="C156" s="41" t="s">
        <v>338</v>
      </c>
      <c r="D156" s="162">
        <f>-596+198</f>
        <v>-398</v>
      </c>
      <c r="E156" s="162">
        <f>-132-87+52+35</f>
        <v>-132</v>
      </c>
      <c r="F156" s="157">
        <f>375+155</f>
        <v>530</v>
      </c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>
        <f t="shared" si="24"/>
        <v>0</v>
      </c>
      <c r="S156" s="157"/>
      <c r="T156" s="162"/>
      <c r="U156" s="162"/>
      <c r="W156" s="157"/>
      <c r="X156" s="163">
        <f t="shared" si="21"/>
        <v>0</v>
      </c>
      <c r="Y156" s="235">
        <f t="shared" si="22"/>
        <v>0</v>
      </c>
      <c r="Z156" s="162"/>
      <c r="AA156" s="350"/>
    </row>
    <row r="157" spans="1:74" ht="24" customHeight="1" x14ac:dyDescent="0.2">
      <c r="A157" s="40">
        <v>9</v>
      </c>
      <c r="B157" s="615" t="s">
        <v>339</v>
      </c>
      <c r="C157" s="41" t="s">
        <v>340</v>
      </c>
      <c r="D157" s="162"/>
      <c r="E157" s="162"/>
      <c r="F157" s="157"/>
      <c r="G157" s="157"/>
      <c r="H157" s="157"/>
      <c r="I157" s="157"/>
      <c r="J157" s="157"/>
      <c r="K157" s="157"/>
      <c r="L157" s="157">
        <f>30158.597+8142.821+26079.68+7041.513</f>
        <v>71422.611000000004</v>
      </c>
      <c r="M157" s="157"/>
      <c r="N157" s="157"/>
      <c r="O157" s="157"/>
      <c r="P157" s="157"/>
      <c r="Q157" s="157"/>
      <c r="R157" s="157">
        <f t="shared" si="24"/>
        <v>71422.611000000004</v>
      </c>
      <c r="S157" s="157"/>
      <c r="T157" s="162"/>
      <c r="U157" s="162"/>
      <c r="W157" s="157"/>
      <c r="X157" s="163">
        <f t="shared" si="21"/>
        <v>0</v>
      </c>
      <c r="Y157" s="235">
        <f t="shared" si="22"/>
        <v>71422.611000000004</v>
      </c>
      <c r="Z157" s="162"/>
      <c r="AA157" s="350"/>
    </row>
    <row r="158" spans="1:74" ht="24" customHeight="1" x14ac:dyDescent="0.2">
      <c r="A158" s="82">
        <v>10</v>
      </c>
      <c r="B158" s="615" t="s">
        <v>341</v>
      </c>
      <c r="C158" s="41" t="s">
        <v>342</v>
      </c>
      <c r="D158" s="162"/>
      <c r="E158" s="162"/>
      <c r="F158" s="157">
        <f>3024+816</f>
        <v>3840</v>
      </c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>
        <f t="shared" si="24"/>
        <v>3840</v>
      </c>
      <c r="S158" s="157"/>
      <c r="T158" s="162"/>
      <c r="U158" s="162"/>
      <c r="W158" s="157"/>
      <c r="X158" s="163">
        <f t="shared" si="21"/>
        <v>0</v>
      </c>
      <c r="Y158" s="235">
        <f t="shared" si="22"/>
        <v>3840</v>
      </c>
      <c r="Z158" s="162"/>
      <c r="AA158" s="350"/>
    </row>
    <row r="159" spans="1:74" ht="24" customHeight="1" x14ac:dyDescent="0.2">
      <c r="A159" s="40">
        <v>11</v>
      </c>
      <c r="B159" s="615" t="s">
        <v>343</v>
      </c>
      <c r="C159" s="41" t="s">
        <v>311</v>
      </c>
      <c r="D159" s="162"/>
      <c r="E159" s="162"/>
      <c r="F159" s="157"/>
      <c r="G159" s="157"/>
      <c r="H159" s="157"/>
      <c r="I159" s="157"/>
      <c r="J159" s="157">
        <f>300</f>
        <v>300</v>
      </c>
      <c r="K159" s="157">
        <f>-300</f>
        <v>-300</v>
      </c>
      <c r="L159" s="157"/>
      <c r="M159" s="157"/>
      <c r="N159" s="157"/>
      <c r="O159" s="157"/>
      <c r="P159" s="157"/>
      <c r="Q159" s="157"/>
      <c r="R159" s="157">
        <f t="shared" si="24"/>
        <v>0</v>
      </c>
      <c r="S159" s="157"/>
      <c r="T159" s="162"/>
      <c r="U159" s="162"/>
      <c r="W159" s="157"/>
      <c r="X159" s="163">
        <f t="shared" si="21"/>
        <v>0</v>
      </c>
      <c r="Y159" s="235">
        <f t="shared" si="22"/>
        <v>0</v>
      </c>
      <c r="Z159" s="162"/>
      <c r="AA159" s="350"/>
    </row>
    <row r="160" spans="1:74" ht="24" customHeight="1" x14ac:dyDescent="0.2">
      <c r="A160" s="82">
        <v>12</v>
      </c>
      <c r="B160" s="615" t="s">
        <v>344</v>
      </c>
      <c r="C160" s="41" t="s">
        <v>353</v>
      </c>
      <c r="D160" s="162"/>
      <c r="E160" s="162"/>
      <c r="F160" s="157">
        <f>-800-216</f>
        <v>-1016</v>
      </c>
      <c r="G160" s="157"/>
      <c r="H160" s="157"/>
      <c r="I160" s="157"/>
      <c r="J160" s="157"/>
      <c r="K160" s="157"/>
      <c r="L160" s="157">
        <f>800+216</f>
        <v>1016</v>
      </c>
      <c r="M160" s="157"/>
      <c r="N160" s="157"/>
      <c r="O160" s="157"/>
      <c r="P160" s="157"/>
      <c r="Q160" s="157"/>
      <c r="R160" s="157">
        <f t="shared" si="24"/>
        <v>0</v>
      </c>
      <c r="S160" s="157"/>
      <c r="T160" s="162"/>
      <c r="U160" s="162"/>
      <c r="W160" s="157"/>
      <c r="X160" s="163">
        <f t="shared" si="21"/>
        <v>0</v>
      </c>
      <c r="Y160" s="235">
        <f t="shared" si="22"/>
        <v>0</v>
      </c>
      <c r="Z160" s="162"/>
      <c r="AA160" s="350"/>
    </row>
    <row r="161" spans="1:27" ht="24" customHeight="1" x14ac:dyDescent="0.2">
      <c r="A161" s="40">
        <v>13</v>
      </c>
      <c r="B161" s="615" t="s">
        <v>345</v>
      </c>
      <c r="C161" s="604" t="s">
        <v>346</v>
      </c>
      <c r="D161" s="162"/>
      <c r="E161" s="162"/>
      <c r="F161" s="157">
        <f>-787-213</f>
        <v>-1000</v>
      </c>
      <c r="G161" s="157"/>
      <c r="H161" s="157"/>
      <c r="I161" s="157">
        <f>1000</f>
        <v>1000</v>
      </c>
      <c r="J161" s="157"/>
      <c r="K161" s="157"/>
      <c r="L161" s="157"/>
      <c r="M161" s="157"/>
      <c r="N161" s="157"/>
      <c r="O161" s="157"/>
      <c r="P161" s="157"/>
      <c r="Q161" s="157"/>
      <c r="R161" s="157">
        <f t="shared" si="24"/>
        <v>0</v>
      </c>
      <c r="S161" s="157"/>
      <c r="T161" s="162"/>
      <c r="U161" s="162"/>
      <c r="W161" s="157"/>
      <c r="X161" s="163">
        <f t="shared" si="21"/>
        <v>0</v>
      </c>
      <c r="Y161" s="235">
        <f t="shared" si="22"/>
        <v>0</v>
      </c>
      <c r="Z161" s="162"/>
      <c r="AA161" s="350"/>
    </row>
    <row r="162" spans="1:27" ht="24" customHeight="1" x14ac:dyDescent="0.2">
      <c r="A162" s="82">
        <v>14</v>
      </c>
      <c r="B162" s="615" t="s">
        <v>347</v>
      </c>
      <c r="C162" s="41" t="s">
        <v>348</v>
      </c>
      <c r="D162" s="162"/>
      <c r="E162" s="162"/>
      <c r="F162" s="157">
        <f>376+102</f>
        <v>478</v>
      </c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>
        <f t="shared" si="24"/>
        <v>478</v>
      </c>
      <c r="S162" s="157"/>
      <c r="T162" s="162"/>
      <c r="U162" s="162"/>
      <c r="W162" s="157"/>
      <c r="X162" s="163">
        <f t="shared" si="21"/>
        <v>0</v>
      </c>
      <c r="Y162" s="235">
        <f t="shared" si="22"/>
        <v>478</v>
      </c>
      <c r="Z162" s="162"/>
      <c r="AA162" s="350"/>
    </row>
    <row r="163" spans="1:27" ht="24" customHeight="1" x14ac:dyDescent="0.2">
      <c r="A163" s="40">
        <v>15</v>
      </c>
      <c r="B163" s="615" t="s">
        <v>349</v>
      </c>
      <c r="C163" s="41" t="s">
        <v>350</v>
      </c>
      <c r="D163" s="162"/>
      <c r="E163" s="162"/>
      <c r="F163" s="157">
        <f>290+79</f>
        <v>369</v>
      </c>
      <c r="G163" s="157"/>
      <c r="H163" s="157"/>
      <c r="I163" s="157"/>
      <c r="J163" s="157"/>
      <c r="K163" s="157">
        <f>-369</f>
        <v>-369</v>
      </c>
      <c r="L163" s="157"/>
      <c r="M163" s="157"/>
      <c r="N163" s="157"/>
      <c r="O163" s="157"/>
      <c r="P163" s="157"/>
      <c r="Q163" s="157"/>
      <c r="R163" s="157">
        <f t="shared" si="24"/>
        <v>0</v>
      </c>
      <c r="S163" s="157"/>
      <c r="T163" s="162"/>
      <c r="U163" s="162"/>
      <c r="W163" s="157"/>
      <c r="X163" s="163">
        <f t="shared" si="21"/>
        <v>0</v>
      </c>
      <c r="Y163" s="235">
        <f t="shared" si="22"/>
        <v>0</v>
      </c>
      <c r="Z163" s="162"/>
      <c r="AA163" s="350"/>
    </row>
    <row r="164" spans="1:27" ht="24" customHeight="1" x14ac:dyDescent="0.2">
      <c r="A164" s="82">
        <v>16</v>
      </c>
      <c r="B164" s="615" t="s">
        <v>351</v>
      </c>
      <c r="C164" s="41" t="s">
        <v>352</v>
      </c>
      <c r="D164" s="162">
        <f>-869</f>
        <v>-869</v>
      </c>
      <c r="E164" s="162">
        <f>-191</f>
        <v>-191</v>
      </c>
      <c r="F164" s="157"/>
      <c r="G164" s="157"/>
      <c r="H164" s="157"/>
      <c r="I164" s="157"/>
      <c r="J164" s="157">
        <f>1060</f>
        <v>1060</v>
      </c>
      <c r="K164" s="157"/>
      <c r="L164" s="157"/>
      <c r="M164" s="157"/>
      <c r="N164" s="157"/>
      <c r="O164" s="157"/>
      <c r="P164" s="157"/>
      <c r="Q164" s="157"/>
      <c r="R164" s="157">
        <f t="shared" si="24"/>
        <v>0</v>
      </c>
      <c r="S164" s="157"/>
      <c r="T164" s="162"/>
      <c r="U164" s="162"/>
      <c r="W164" s="157"/>
      <c r="X164" s="163">
        <f t="shared" si="21"/>
        <v>0</v>
      </c>
      <c r="Y164" s="235">
        <f t="shared" si="22"/>
        <v>0</v>
      </c>
      <c r="Z164" s="162"/>
      <c r="AA164" s="350"/>
    </row>
    <row r="165" spans="1:27" ht="24" customHeight="1" x14ac:dyDescent="0.2">
      <c r="A165" s="40">
        <v>17</v>
      </c>
      <c r="B165" s="615" t="s">
        <v>354</v>
      </c>
      <c r="C165" s="41" t="s">
        <v>355</v>
      </c>
      <c r="D165" s="162"/>
      <c r="E165" s="162"/>
      <c r="F165" s="157"/>
      <c r="G165" s="157"/>
      <c r="H165" s="157"/>
      <c r="I165" s="157"/>
      <c r="J165" s="157"/>
      <c r="K165" s="157">
        <f>-77985</f>
        <v>-77985</v>
      </c>
      <c r="L165" s="157">
        <f>77985</f>
        <v>77985</v>
      </c>
      <c r="M165" s="157"/>
      <c r="N165" s="157"/>
      <c r="O165" s="157"/>
      <c r="P165" s="157"/>
      <c r="Q165" s="157"/>
      <c r="R165" s="157">
        <f t="shared" si="24"/>
        <v>0</v>
      </c>
      <c r="S165" s="157"/>
      <c r="T165" s="162"/>
      <c r="U165" s="162"/>
      <c r="W165" s="157"/>
      <c r="X165" s="163">
        <f t="shared" si="21"/>
        <v>0</v>
      </c>
      <c r="Y165" s="235">
        <f t="shared" si="22"/>
        <v>0</v>
      </c>
      <c r="Z165" s="162"/>
      <c r="AA165" s="350"/>
    </row>
    <row r="166" spans="1:27" ht="24" customHeight="1" x14ac:dyDescent="0.2">
      <c r="A166" s="82">
        <v>18</v>
      </c>
      <c r="B166" s="615" t="s">
        <v>356</v>
      </c>
      <c r="C166" s="41" t="s">
        <v>357</v>
      </c>
      <c r="D166" s="162"/>
      <c r="E166" s="162"/>
      <c r="F166" s="157">
        <f>0.468</f>
        <v>0.46800000000000003</v>
      </c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>
        <f t="shared" si="24"/>
        <v>0.46800000000000003</v>
      </c>
      <c r="S166" s="157"/>
      <c r="T166" s="162"/>
      <c r="U166" s="162"/>
      <c r="W166" s="157"/>
      <c r="X166" s="163">
        <f t="shared" si="21"/>
        <v>0</v>
      </c>
      <c r="Y166" s="235">
        <f t="shared" si="22"/>
        <v>0.46800000000000003</v>
      </c>
      <c r="Z166" s="162"/>
      <c r="AA166" s="350"/>
    </row>
    <row r="167" spans="1:27" ht="24" customHeight="1" x14ac:dyDescent="0.2">
      <c r="A167" s="40">
        <v>19</v>
      </c>
      <c r="B167" s="610" t="s">
        <v>359</v>
      </c>
      <c r="C167" s="28" t="s">
        <v>358</v>
      </c>
      <c r="D167" s="157"/>
      <c r="E167" s="157"/>
      <c r="F167" s="157"/>
      <c r="G167" s="157"/>
      <c r="H167" s="157"/>
      <c r="I167" s="157"/>
      <c r="J167" s="157"/>
      <c r="K167" s="157">
        <f>87740</f>
        <v>87740</v>
      </c>
      <c r="L167" s="157"/>
      <c r="M167" s="157"/>
      <c r="N167" s="157"/>
      <c r="O167" s="157"/>
      <c r="P167" s="157"/>
      <c r="Q167" s="157"/>
      <c r="R167" s="157">
        <f t="shared" si="24"/>
        <v>87740</v>
      </c>
      <c r="S167" s="157"/>
      <c r="T167" s="157"/>
      <c r="U167" s="157"/>
      <c r="W167" s="157"/>
      <c r="X167" s="163">
        <f t="shared" si="21"/>
        <v>0</v>
      </c>
      <c r="Y167" s="235">
        <f t="shared" si="22"/>
        <v>87740</v>
      </c>
      <c r="Z167" s="157"/>
      <c r="AA167" s="350"/>
    </row>
    <row r="168" spans="1:27" ht="24" customHeight="1" x14ac:dyDescent="0.2">
      <c r="A168" s="82">
        <v>20</v>
      </c>
      <c r="B168" s="610" t="s">
        <v>360</v>
      </c>
      <c r="C168" s="28" t="s">
        <v>283</v>
      </c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>
        <f t="shared" si="24"/>
        <v>0</v>
      </c>
      <c r="S168" s="157"/>
      <c r="T168" s="157"/>
      <c r="U168" s="542">
        <v>1700000</v>
      </c>
      <c r="W168" s="157"/>
      <c r="X168" s="544">
        <f t="shared" si="21"/>
        <v>1700000</v>
      </c>
      <c r="Y168" s="235">
        <f t="shared" si="22"/>
        <v>1700000</v>
      </c>
      <c r="Z168" s="157"/>
      <c r="AA168" s="350"/>
    </row>
    <row r="169" spans="1:27" ht="24" customHeight="1" x14ac:dyDescent="0.2">
      <c r="A169" s="40">
        <v>21</v>
      </c>
      <c r="B169" s="610" t="s">
        <v>361</v>
      </c>
      <c r="C169" s="28" t="s">
        <v>362</v>
      </c>
      <c r="D169" s="157"/>
      <c r="E169" s="157"/>
      <c r="F169" s="157"/>
      <c r="G169" s="157"/>
      <c r="H169" s="157"/>
      <c r="I169" s="157"/>
      <c r="J169" s="157">
        <f>2700</f>
        <v>2700</v>
      </c>
      <c r="K169" s="157"/>
      <c r="L169" s="157"/>
      <c r="M169" s="157"/>
      <c r="N169" s="157"/>
      <c r="O169" s="157"/>
      <c r="P169" s="157"/>
      <c r="Q169" s="157"/>
      <c r="R169" s="157">
        <f t="shared" si="24"/>
        <v>2700</v>
      </c>
      <c r="S169" s="157"/>
      <c r="T169" s="162"/>
      <c r="U169" s="162"/>
      <c r="W169" s="157"/>
      <c r="X169" s="163">
        <f t="shared" si="21"/>
        <v>0</v>
      </c>
      <c r="Y169" s="235">
        <f t="shared" si="22"/>
        <v>2700</v>
      </c>
      <c r="Z169" s="162"/>
      <c r="AA169" s="350"/>
    </row>
    <row r="170" spans="1:27" ht="24" customHeight="1" x14ac:dyDescent="0.2">
      <c r="A170" s="82">
        <v>22</v>
      </c>
      <c r="B170" s="610" t="s">
        <v>363</v>
      </c>
      <c r="C170" s="28" t="s">
        <v>364</v>
      </c>
      <c r="D170" s="157"/>
      <c r="E170" s="157"/>
      <c r="F170" s="157"/>
      <c r="G170" s="157"/>
      <c r="H170" s="157"/>
      <c r="I170" s="157"/>
      <c r="J170" s="157"/>
      <c r="K170" s="157">
        <f>-1288</f>
        <v>-1288</v>
      </c>
      <c r="L170" s="157"/>
      <c r="M170" s="157"/>
      <c r="N170" s="157"/>
      <c r="O170" s="157"/>
      <c r="P170" s="157"/>
      <c r="Q170" s="157"/>
      <c r="R170" s="157">
        <f t="shared" si="24"/>
        <v>-1288</v>
      </c>
      <c r="S170" s="157"/>
      <c r="T170" s="162"/>
      <c r="U170" s="162"/>
      <c r="W170" s="157"/>
      <c r="X170" s="163">
        <f>SUM(T170:W170)</f>
        <v>0</v>
      </c>
      <c r="Y170" s="235">
        <f>R170+X170</f>
        <v>-1288</v>
      </c>
      <c r="Z170" s="162">
        <f>1288</f>
        <v>1288</v>
      </c>
      <c r="AA170" s="350"/>
    </row>
    <row r="171" spans="1:27" ht="24" customHeight="1" x14ac:dyDescent="0.2">
      <c r="A171" s="40">
        <v>23</v>
      </c>
      <c r="B171" s="610" t="s">
        <v>365</v>
      </c>
      <c r="C171" s="28" t="s">
        <v>366</v>
      </c>
      <c r="D171" s="157">
        <f>-100</f>
        <v>-100</v>
      </c>
      <c r="E171" s="157">
        <f>-22</f>
        <v>-22</v>
      </c>
      <c r="F171" s="157">
        <f>-204-300-540</f>
        <v>-1044</v>
      </c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>
        <f t="shared" si="24"/>
        <v>-1166</v>
      </c>
      <c r="S171" s="157"/>
      <c r="T171" s="162"/>
      <c r="U171" s="162"/>
      <c r="W171" s="157"/>
      <c r="X171" s="163">
        <f t="shared" si="21"/>
        <v>0</v>
      </c>
      <c r="Y171" s="235">
        <f t="shared" si="22"/>
        <v>-1166</v>
      </c>
      <c r="Z171" s="162">
        <f>1166</f>
        <v>1166</v>
      </c>
      <c r="AA171" s="350"/>
    </row>
    <row r="172" spans="1:27" ht="33.75" customHeight="1" x14ac:dyDescent="0.2">
      <c r="A172" s="82">
        <v>24</v>
      </c>
      <c r="B172" s="610" t="s">
        <v>367</v>
      </c>
      <c r="C172" s="28" t="s">
        <v>368</v>
      </c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>
        <f t="shared" si="24"/>
        <v>0</v>
      </c>
      <c r="S172" s="157"/>
      <c r="T172" s="162"/>
      <c r="U172" s="162"/>
      <c r="W172" s="157"/>
      <c r="X172" s="163">
        <f t="shared" si="21"/>
        <v>0</v>
      </c>
      <c r="Y172" s="235">
        <f t="shared" si="22"/>
        <v>0</v>
      </c>
      <c r="Z172" s="162">
        <f>4816.56</f>
        <v>4816.5600000000004</v>
      </c>
      <c r="AA172" s="350"/>
    </row>
    <row r="173" spans="1:27" ht="24" customHeight="1" x14ac:dyDescent="0.2">
      <c r="A173" s="40">
        <v>25</v>
      </c>
      <c r="B173" s="610" t="s">
        <v>369</v>
      </c>
      <c r="C173" s="28" t="s">
        <v>370</v>
      </c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>
        <f t="shared" si="24"/>
        <v>0</v>
      </c>
      <c r="S173" s="157"/>
      <c r="T173" s="157"/>
      <c r="U173" s="157"/>
      <c r="W173" s="157"/>
      <c r="X173" s="163">
        <f t="shared" si="21"/>
        <v>0</v>
      </c>
      <c r="Y173" s="235">
        <f t="shared" si="22"/>
        <v>0</v>
      </c>
      <c r="Z173" s="157">
        <f>4976.624</f>
        <v>4976.6239999999998</v>
      </c>
      <c r="AA173" s="350"/>
    </row>
    <row r="174" spans="1:27" ht="30" customHeight="1" x14ac:dyDescent="0.2">
      <c r="A174" s="82">
        <v>26</v>
      </c>
      <c r="B174" s="610" t="s">
        <v>380</v>
      </c>
      <c r="C174" s="28" t="s">
        <v>262</v>
      </c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>
        <f t="shared" si="24"/>
        <v>0</v>
      </c>
      <c r="S174" s="157"/>
      <c r="T174" s="157"/>
      <c r="U174" s="157"/>
      <c r="W174" s="157"/>
      <c r="X174" s="163">
        <f t="shared" ref="X174" si="27">SUM(T174:W174)</f>
        <v>0</v>
      </c>
      <c r="Y174" s="235">
        <f t="shared" ref="Y174" si="28">R174+X174</f>
        <v>0</v>
      </c>
      <c r="Z174" s="157">
        <v>1913.8140000000001</v>
      </c>
      <c r="AA174" s="350"/>
    </row>
    <row r="175" spans="1:27" ht="33.75" customHeight="1" x14ac:dyDescent="0.2">
      <c r="A175" s="40">
        <v>27</v>
      </c>
      <c r="B175" s="610" t="s">
        <v>371</v>
      </c>
      <c r="C175" s="28" t="s">
        <v>373</v>
      </c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>
        <f t="shared" si="24"/>
        <v>0</v>
      </c>
      <c r="S175" s="157"/>
      <c r="T175" s="162"/>
      <c r="U175" s="162"/>
      <c r="W175" s="157"/>
      <c r="X175" s="163">
        <f t="shared" si="21"/>
        <v>0</v>
      </c>
      <c r="Y175" s="235">
        <f t="shared" si="22"/>
        <v>0</v>
      </c>
      <c r="Z175" s="162">
        <f>23507.261</f>
        <v>23507.260999999999</v>
      </c>
      <c r="AA175" s="350"/>
    </row>
    <row r="176" spans="1:27" ht="24" customHeight="1" x14ac:dyDescent="0.2">
      <c r="A176" s="82">
        <v>28</v>
      </c>
      <c r="B176" s="610" t="s">
        <v>374</v>
      </c>
      <c r="C176" s="28" t="s">
        <v>375</v>
      </c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>
        <f t="shared" si="24"/>
        <v>0</v>
      </c>
      <c r="S176" s="157"/>
      <c r="T176" s="157"/>
      <c r="U176" s="157"/>
      <c r="W176" s="157"/>
      <c r="X176" s="163">
        <f t="shared" si="21"/>
        <v>0</v>
      </c>
      <c r="Y176" s="235">
        <f t="shared" si="22"/>
        <v>0</v>
      </c>
      <c r="Z176" s="157">
        <f>7290.774</f>
        <v>7290.7740000000003</v>
      </c>
      <c r="AA176" s="350"/>
    </row>
    <row r="177" spans="1:27" ht="24" customHeight="1" x14ac:dyDescent="0.2">
      <c r="A177" s="40">
        <v>29</v>
      </c>
      <c r="B177" s="610" t="s">
        <v>376</v>
      </c>
      <c r="C177" s="28" t="s">
        <v>377</v>
      </c>
      <c r="D177" s="157"/>
      <c r="E177" s="157"/>
      <c r="F177" s="157"/>
      <c r="G177" s="157"/>
      <c r="H177" s="157"/>
      <c r="I177" s="157"/>
      <c r="J177" s="157">
        <f>-1570</f>
        <v>-1570</v>
      </c>
      <c r="K177" s="157"/>
      <c r="L177" s="157"/>
      <c r="M177" s="157"/>
      <c r="N177" s="157"/>
      <c r="O177" s="157"/>
      <c r="P177" s="157"/>
      <c r="Q177" s="157"/>
      <c r="R177" s="157">
        <f t="shared" si="24"/>
        <v>-1570</v>
      </c>
      <c r="S177" s="157"/>
      <c r="T177" s="157"/>
      <c r="U177" s="157"/>
      <c r="W177" s="157"/>
      <c r="X177" s="163">
        <f t="shared" si="21"/>
        <v>0</v>
      </c>
      <c r="Y177" s="235">
        <f t="shared" si="22"/>
        <v>-1570</v>
      </c>
      <c r="Z177" s="157">
        <f>1570</f>
        <v>1570</v>
      </c>
      <c r="AA177" s="350"/>
    </row>
    <row r="178" spans="1:27" ht="24" customHeight="1" x14ac:dyDescent="0.2">
      <c r="A178" s="82">
        <v>30</v>
      </c>
      <c r="B178" s="610" t="s">
        <v>379</v>
      </c>
      <c r="C178" s="28" t="s">
        <v>378</v>
      </c>
      <c r="D178" s="157"/>
      <c r="E178" s="157"/>
      <c r="F178" s="157"/>
      <c r="G178" s="157"/>
      <c r="H178" s="157"/>
      <c r="I178" s="157"/>
      <c r="J178" s="157"/>
      <c r="K178" s="157">
        <f>-10550</f>
        <v>-10550</v>
      </c>
      <c r="L178" s="157"/>
      <c r="M178" s="157"/>
      <c r="N178" s="157"/>
      <c r="O178" s="157"/>
      <c r="P178" s="157"/>
      <c r="Q178" s="157"/>
      <c r="R178" s="157">
        <f t="shared" si="24"/>
        <v>-10550</v>
      </c>
      <c r="S178" s="157"/>
      <c r="T178" s="157"/>
      <c r="U178" s="157"/>
      <c r="W178" s="157"/>
      <c r="X178" s="163">
        <f t="shared" si="21"/>
        <v>0</v>
      </c>
      <c r="Y178" s="235">
        <f t="shared" si="22"/>
        <v>-10550</v>
      </c>
      <c r="Z178" s="157">
        <f>10550</f>
        <v>10550</v>
      </c>
      <c r="AA178" s="350"/>
    </row>
    <row r="179" spans="1:27" ht="24" customHeight="1" x14ac:dyDescent="0.2">
      <c r="A179" s="40">
        <v>31</v>
      </c>
      <c r="B179" s="610" t="s">
        <v>382</v>
      </c>
      <c r="C179" s="28" t="s">
        <v>383</v>
      </c>
      <c r="D179" s="157"/>
      <c r="E179" s="157"/>
      <c r="F179" s="157"/>
      <c r="G179" s="157"/>
      <c r="H179" s="157"/>
      <c r="I179" s="157">
        <f>1000</f>
        <v>1000</v>
      </c>
      <c r="J179" s="157">
        <f>-1000</f>
        <v>-1000</v>
      </c>
      <c r="K179" s="157"/>
      <c r="L179" s="157"/>
      <c r="M179" s="157"/>
      <c r="N179" s="157"/>
      <c r="O179" s="157"/>
      <c r="P179" s="157"/>
      <c r="Q179" s="157"/>
      <c r="R179" s="157">
        <f t="shared" si="24"/>
        <v>0</v>
      </c>
      <c r="S179" s="157"/>
      <c r="T179" s="157"/>
      <c r="U179" s="157"/>
      <c r="W179" s="157"/>
      <c r="X179" s="163">
        <f t="shared" si="21"/>
        <v>0</v>
      </c>
      <c r="Y179" s="235">
        <f t="shared" si="22"/>
        <v>0</v>
      </c>
      <c r="Z179" s="157"/>
      <c r="AA179" s="350"/>
    </row>
    <row r="180" spans="1:27" ht="24" customHeight="1" x14ac:dyDescent="0.2">
      <c r="A180" s="82">
        <v>32</v>
      </c>
      <c r="B180" s="610" t="s">
        <v>384</v>
      </c>
      <c r="C180" s="28" t="s">
        <v>385</v>
      </c>
      <c r="D180" s="157"/>
      <c r="E180" s="157"/>
      <c r="F180" s="157"/>
      <c r="G180" s="157"/>
      <c r="H180" s="157"/>
      <c r="I180" s="157"/>
      <c r="J180" s="157"/>
      <c r="K180" s="157">
        <f>-12540</f>
        <v>-12540</v>
      </c>
      <c r="L180" s="157">
        <f>9874+2666</f>
        <v>12540</v>
      </c>
      <c r="M180" s="157"/>
      <c r="N180" s="157"/>
      <c r="O180" s="157"/>
      <c r="P180" s="157"/>
      <c r="Q180" s="157"/>
      <c r="R180" s="157">
        <f t="shared" si="24"/>
        <v>0</v>
      </c>
      <c r="S180" s="157"/>
      <c r="T180" s="157"/>
      <c r="U180" s="157"/>
      <c r="W180" s="157"/>
      <c r="X180" s="163">
        <f t="shared" si="21"/>
        <v>0</v>
      </c>
      <c r="Y180" s="235">
        <f t="shared" si="22"/>
        <v>0</v>
      </c>
      <c r="Z180" s="157"/>
      <c r="AA180" s="350"/>
    </row>
    <row r="181" spans="1:27" ht="24" customHeight="1" x14ac:dyDescent="0.2">
      <c r="A181" s="40">
        <v>33</v>
      </c>
      <c r="B181" s="610" t="s">
        <v>386</v>
      </c>
      <c r="C181" s="41" t="s">
        <v>272</v>
      </c>
      <c r="D181" s="157"/>
      <c r="E181" s="157"/>
      <c r="F181" s="157"/>
      <c r="G181" s="157"/>
      <c r="H181" s="157"/>
      <c r="I181" s="157"/>
      <c r="J181" s="157">
        <f>300</f>
        <v>300</v>
      </c>
      <c r="K181" s="157">
        <f>-300</f>
        <v>-300</v>
      </c>
      <c r="L181" s="157"/>
      <c r="M181" s="157"/>
      <c r="N181" s="157"/>
      <c r="O181" s="157"/>
      <c r="P181" s="157"/>
      <c r="Q181" s="157"/>
      <c r="R181" s="157">
        <f t="shared" si="24"/>
        <v>0</v>
      </c>
      <c r="S181" s="157"/>
      <c r="T181" s="157"/>
      <c r="U181" s="157"/>
      <c r="W181" s="157"/>
      <c r="X181" s="163">
        <f t="shared" si="21"/>
        <v>0</v>
      </c>
      <c r="Y181" s="235">
        <f t="shared" si="22"/>
        <v>0</v>
      </c>
      <c r="Z181" s="157"/>
      <c r="AA181" s="350"/>
    </row>
    <row r="182" spans="1:27" ht="24" customHeight="1" x14ac:dyDescent="0.2">
      <c r="A182" s="82">
        <v>34</v>
      </c>
      <c r="B182" s="610" t="s">
        <v>387</v>
      </c>
      <c r="C182" s="41" t="s">
        <v>272</v>
      </c>
      <c r="D182" s="157"/>
      <c r="E182" s="157"/>
      <c r="F182" s="157"/>
      <c r="G182" s="157"/>
      <c r="H182" s="157"/>
      <c r="I182" s="157"/>
      <c r="J182" s="157">
        <f>200</f>
        <v>200</v>
      </c>
      <c r="K182" s="157">
        <f>-200</f>
        <v>-200</v>
      </c>
      <c r="L182" s="157"/>
      <c r="M182" s="157"/>
      <c r="N182" s="157"/>
      <c r="O182" s="157"/>
      <c r="P182" s="157"/>
      <c r="Q182" s="157"/>
      <c r="R182" s="157">
        <f t="shared" si="24"/>
        <v>0</v>
      </c>
      <c r="S182" s="157"/>
      <c r="T182" s="157"/>
      <c r="U182" s="157"/>
      <c r="W182" s="157"/>
      <c r="X182" s="163">
        <f t="shared" si="21"/>
        <v>0</v>
      </c>
      <c r="Y182" s="235">
        <f t="shared" si="22"/>
        <v>0</v>
      </c>
      <c r="Z182" s="157"/>
      <c r="AA182" s="350"/>
    </row>
    <row r="183" spans="1:27" ht="24" customHeight="1" x14ac:dyDescent="0.2">
      <c r="A183" s="40">
        <v>35</v>
      </c>
      <c r="B183" s="610" t="s">
        <v>388</v>
      </c>
      <c r="C183" s="28" t="s">
        <v>389</v>
      </c>
      <c r="D183" s="157"/>
      <c r="E183" s="157"/>
      <c r="F183" s="157"/>
      <c r="G183" s="157"/>
      <c r="H183" s="157"/>
      <c r="I183" s="157"/>
      <c r="J183" s="157"/>
      <c r="K183" s="157">
        <f>-3867</f>
        <v>-3867</v>
      </c>
      <c r="L183" s="157"/>
      <c r="M183" s="157"/>
      <c r="N183" s="157"/>
      <c r="O183" s="157"/>
      <c r="P183" s="157"/>
      <c r="Q183" s="157">
        <f>3867</f>
        <v>3867</v>
      </c>
      <c r="R183" s="157">
        <f t="shared" si="24"/>
        <v>0</v>
      </c>
      <c r="S183" s="157"/>
      <c r="T183" s="157"/>
      <c r="U183" s="157"/>
      <c r="W183" s="157"/>
      <c r="X183" s="163">
        <f t="shared" si="21"/>
        <v>0</v>
      </c>
      <c r="Y183" s="235">
        <f t="shared" si="22"/>
        <v>0</v>
      </c>
      <c r="Z183" s="157"/>
      <c r="AA183" s="350"/>
    </row>
    <row r="184" spans="1:27" ht="24" customHeight="1" x14ac:dyDescent="0.2">
      <c r="A184" s="82">
        <v>36</v>
      </c>
      <c r="B184" s="610" t="s">
        <v>390</v>
      </c>
      <c r="C184" s="28" t="s">
        <v>391</v>
      </c>
      <c r="D184" s="157"/>
      <c r="E184" s="157"/>
      <c r="F184" s="157">
        <f>35+10</f>
        <v>45</v>
      </c>
      <c r="G184" s="157"/>
      <c r="H184" s="157"/>
      <c r="I184" s="157"/>
      <c r="J184" s="157"/>
      <c r="K184" s="157">
        <f>-9831</f>
        <v>-9831</v>
      </c>
      <c r="L184" s="157">
        <f>7705+2081</f>
        <v>9786</v>
      </c>
      <c r="M184" s="157"/>
      <c r="N184" s="157"/>
      <c r="O184" s="157"/>
      <c r="P184" s="157"/>
      <c r="Q184" s="157"/>
      <c r="R184" s="157">
        <f t="shared" si="24"/>
        <v>0</v>
      </c>
      <c r="S184" s="157"/>
      <c r="T184" s="162"/>
      <c r="U184" s="162"/>
      <c r="W184" s="157"/>
      <c r="X184" s="163">
        <f t="shared" si="21"/>
        <v>0</v>
      </c>
      <c r="Y184" s="235">
        <f t="shared" si="22"/>
        <v>0</v>
      </c>
      <c r="Z184" s="162"/>
      <c r="AA184" s="350"/>
    </row>
    <row r="185" spans="1:27" ht="24" customHeight="1" x14ac:dyDescent="0.2">
      <c r="A185" s="40">
        <v>37</v>
      </c>
      <c r="B185" s="610" t="s">
        <v>392</v>
      </c>
      <c r="C185" s="41" t="s">
        <v>393</v>
      </c>
      <c r="D185" s="157"/>
      <c r="E185" s="157"/>
      <c r="F185" s="157"/>
      <c r="G185" s="157"/>
      <c r="H185" s="157"/>
      <c r="I185" s="157"/>
      <c r="J185" s="157"/>
      <c r="K185" s="157"/>
      <c r="L185" s="157">
        <f>-2329-629</f>
        <v>-2958</v>
      </c>
      <c r="M185" s="157"/>
      <c r="N185" s="157"/>
      <c r="O185" s="157"/>
      <c r="P185" s="157"/>
      <c r="Q185" s="157"/>
      <c r="R185" s="157">
        <f t="shared" si="24"/>
        <v>-2958</v>
      </c>
      <c r="S185" s="157"/>
      <c r="T185" s="157"/>
      <c r="U185" s="157"/>
      <c r="V185" s="157"/>
      <c r="W185" s="157"/>
      <c r="X185" s="163">
        <f t="shared" si="21"/>
        <v>0</v>
      </c>
      <c r="Y185" s="235">
        <f t="shared" si="22"/>
        <v>-2958</v>
      </c>
      <c r="Z185" s="326">
        <f>2958</f>
        <v>2958</v>
      </c>
      <c r="AA185" s="350"/>
    </row>
    <row r="186" spans="1:27" ht="24" customHeight="1" x14ac:dyDescent="0.2">
      <c r="A186" s="82">
        <v>38</v>
      </c>
      <c r="B186" s="610" t="s">
        <v>394</v>
      </c>
      <c r="C186" s="28" t="s">
        <v>395</v>
      </c>
      <c r="D186" s="157"/>
      <c r="E186" s="157"/>
      <c r="F186" s="157"/>
      <c r="G186" s="157"/>
      <c r="H186" s="157"/>
      <c r="I186" s="157"/>
      <c r="J186" s="157"/>
      <c r="K186" s="157"/>
      <c r="L186" s="157">
        <f>-1939-523</f>
        <v>-2462</v>
      </c>
      <c r="M186" s="157"/>
      <c r="N186" s="157"/>
      <c r="O186" s="157"/>
      <c r="P186" s="157"/>
      <c r="Q186" s="157"/>
      <c r="R186" s="157">
        <f t="shared" si="24"/>
        <v>-2462</v>
      </c>
      <c r="S186" s="157"/>
      <c r="T186" s="157"/>
      <c r="U186" s="157"/>
      <c r="V186" s="157"/>
      <c r="W186" s="157"/>
      <c r="X186" s="163">
        <f t="shared" si="21"/>
        <v>0</v>
      </c>
      <c r="Y186" s="235">
        <f t="shared" si="22"/>
        <v>-2462</v>
      </c>
      <c r="Z186" s="326">
        <f>2462</f>
        <v>2462</v>
      </c>
      <c r="AA186" s="350"/>
    </row>
    <row r="187" spans="1:27" ht="24" customHeight="1" x14ac:dyDescent="0.2">
      <c r="A187" s="40">
        <v>39</v>
      </c>
      <c r="B187" s="610" t="s">
        <v>398</v>
      </c>
      <c r="C187" s="28" t="s">
        <v>399</v>
      </c>
      <c r="D187" s="157">
        <f>-3600</f>
        <v>-3600</v>
      </c>
      <c r="E187" s="157">
        <f>-792</f>
        <v>-792</v>
      </c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>
        <f t="shared" si="24"/>
        <v>-4392</v>
      </c>
      <c r="S187" s="157"/>
      <c r="T187" s="157"/>
      <c r="U187" s="157"/>
      <c r="V187" s="157"/>
      <c r="W187" s="157"/>
      <c r="X187" s="163">
        <f t="shared" si="21"/>
        <v>0</v>
      </c>
      <c r="Y187" s="235">
        <f t="shared" si="22"/>
        <v>-4392</v>
      </c>
      <c r="Z187" s="326">
        <f>4392</f>
        <v>4392</v>
      </c>
      <c r="AA187" s="350"/>
    </row>
    <row r="188" spans="1:27" ht="24" customHeight="1" x14ac:dyDescent="0.2">
      <c r="A188" s="82">
        <v>40</v>
      </c>
      <c r="B188" s="610" t="s">
        <v>400</v>
      </c>
      <c r="C188" s="28" t="s">
        <v>401</v>
      </c>
      <c r="D188" s="157">
        <f>-3700</f>
        <v>-3700</v>
      </c>
      <c r="E188" s="157">
        <f>-814</f>
        <v>-814</v>
      </c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>
        <f t="shared" si="24"/>
        <v>-4514</v>
      </c>
      <c r="S188" s="157"/>
      <c r="T188" s="157"/>
      <c r="U188" s="157"/>
      <c r="V188" s="157"/>
      <c r="W188" s="157"/>
      <c r="X188" s="163">
        <f t="shared" si="21"/>
        <v>0</v>
      </c>
      <c r="Y188" s="460">
        <f t="shared" si="22"/>
        <v>-4514</v>
      </c>
      <c r="Z188" s="326">
        <f>4514</f>
        <v>4514</v>
      </c>
      <c r="AA188" s="350"/>
    </row>
    <row r="189" spans="1:27" ht="24" customHeight="1" x14ac:dyDescent="0.2">
      <c r="A189" s="40">
        <v>41</v>
      </c>
      <c r="B189" s="610" t="s">
        <v>402</v>
      </c>
      <c r="C189" s="41" t="s">
        <v>403</v>
      </c>
      <c r="D189" s="157">
        <f>-200</f>
        <v>-200</v>
      </c>
      <c r="E189" s="157">
        <f>-44</f>
        <v>-44</v>
      </c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>
        <f t="shared" si="24"/>
        <v>-244</v>
      </c>
      <c r="S189" s="157"/>
      <c r="T189" s="157"/>
      <c r="U189" s="157"/>
      <c r="V189" s="157"/>
      <c r="W189" s="157"/>
      <c r="X189" s="163">
        <f t="shared" si="21"/>
        <v>0</v>
      </c>
      <c r="Y189" s="235">
        <f t="shared" si="22"/>
        <v>-244</v>
      </c>
      <c r="Z189" s="326">
        <f>244</f>
        <v>244</v>
      </c>
      <c r="AA189" s="350"/>
    </row>
    <row r="190" spans="1:27" ht="24" customHeight="1" x14ac:dyDescent="0.2">
      <c r="A190" s="82">
        <v>42</v>
      </c>
      <c r="B190" s="610" t="s">
        <v>404</v>
      </c>
      <c r="C190" s="28" t="s">
        <v>405</v>
      </c>
      <c r="D190" s="157">
        <f>-1200</f>
        <v>-1200</v>
      </c>
      <c r="E190" s="157">
        <f>-264</f>
        <v>-264</v>
      </c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>
        <f t="shared" si="24"/>
        <v>-1464</v>
      </c>
      <c r="S190" s="157"/>
      <c r="T190" s="157"/>
      <c r="U190" s="157"/>
      <c r="V190" s="157"/>
      <c r="W190" s="157"/>
      <c r="X190" s="163">
        <f t="shared" si="21"/>
        <v>0</v>
      </c>
      <c r="Y190" s="235">
        <f t="shared" si="22"/>
        <v>-1464</v>
      </c>
      <c r="Z190" s="326">
        <f>1464</f>
        <v>1464</v>
      </c>
      <c r="AA190" s="350"/>
    </row>
    <row r="191" spans="1:27" ht="24" customHeight="1" x14ac:dyDescent="0.2">
      <c r="A191" s="40">
        <v>43</v>
      </c>
      <c r="B191" s="610" t="s">
        <v>406</v>
      </c>
      <c r="C191" s="33" t="s">
        <v>413</v>
      </c>
      <c r="D191" s="157"/>
      <c r="E191" s="157"/>
      <c r="F191" s="157"/>
      <c r="G191" s="157"/>
      <c r="H191" s="157"/>
      <c r="I191" s="157"/>
      <c r="J191" s="157"/>
      <c r="K191" s="157">
        <f>-6600</f>
        <v>-6600</v>
      </c>
      <c r="L191" s="157"/>
      <c r="M191" s="157"/>
      <c r="N191" s="157"/>
      <c r="O191" s="157"/>
      <c r="P191" s="157"/>
      <c r="Q191" s="157"/>
      <c r="R191" s="157">
        <f t="shared" si="24"/>
        <v>-6600</v>
      </c>
      <c r="S191" s="157"/>
      <c r="T191" s="157"/>
      <c r="U191" s="157"/>
      <c r="V191" s="157"/>
      <c r="W191" s="157"/>
      <c r="X191" s="163">
        <f t="shared" si="21"/>
        <v>0</v>
      </c>
      <c r="Y191" s="235">
        <f t="shared" si="22"/>
        <v>-6600</v>
      </c>
      <c r="Z191" s="326">
        <f>6600</f>
        <v>6600</v>
      </c>
      <c r="AA191" s="350"/>
    </row>
    <row r="192" spans="1:27" ht="24" customHeight="1" x14ac:dyDescent="0.2">
      <c r="A192" s="82">
        <v>44</v>
      </c>
      <c r="B192" s="610" t="s">
        <v>407</v>
      </c>
      <c r="C192" s="41" t="s">
        <v>408</v>
      </c>
      <c r="D192" s="157"/>
      <c r="E192" s="157"/>
      <c r="F192" s="157"/>
      <c r="G192" s="157"/>
      <c r="H192" s="157"/>
      <c r="I192" s="157"/>
      <c r="J192" s="157"/>
      <c r="K192" s="157">
        <f>-10000</f>
        <v>-10000</v>
      </c>
      <c r="L192" s="157"/>
      <c r="M192" s="157"/>
      <c r="N192" s="157"/>
      <c r="O192" s="157"/>
      <c r="P192" s="157"/>
      <c r="Q192" s="157"/>
      <c r="R192" s="157">
        <f t="shared" si="24"/>
        <v>-10000</v>
      </c>
      <c r="S192" s="157"/>
      <c r="T192" s="157"/>
      <c r="U192" s="157"/>
      <c r="V192" s="157"/>
      <c r="W192" s="157"/>
      <c r="X192" s="163">
        <f t="shared" si="21"/>
        <v>0</v>
      </c>
      <c r="Y192" s="235">
        <f t="shared" si="22"/>
        <v>-10000</v>
      </c>
      <c r="Z192" s="326">
        <f>10000</f>
        <v>10000</v>
      </c>
      <c r="AA192" s="350"/>
    </row>
    <row r="193" spans="1:27" ht="24" customHeight="1" x14ac:dyDescent="0.2">
      <c r="A193" s="40">
        <v>45</v>
      </c>
      <c r="B193" s="610" t="s">
        <v>417</v>
      </c>
      <c r="C193" s="41" t="s">
        <v>416</v>
      </c>
      <c r="D193" s="157"/>
      <c r="E193" s="157"/>
      <c r="F193" s="157">
        <f>-236-64</f>
        <v>-300</v>
      </c>
      <c r="G193" s="157"/>
      <c r="H193" s="157"/>
      <c r="I193" s="157"/>
      <c r="J193" s="157"/>
      <c r="K193" s="157"/>
      <c r="L193" s="157"/>
      <c r="M193" s="157">
        <f>236+64</f>
        <v>300</v>
      </c>
      <c r="N193" s="157"/>
      <c r="O193" s="157"/>
      <c r="P193" s="157"/>
      <c r="Q193" s="157"/>
      <c r="R193" s="157">
        <f t="shared" si="24"/>
        <v>0</v>
      </c>
      <c r="S193" s="157"/>
      <c r="T193" s="157"/>
      <c r="U193" s="157"/>
      <c r="V193" s="157"/>
      <c r="W193" s="157"/>
      <c r="X193" s="163">
        <f t="shared" si="21"/>
        <v>0</v>
      </c>
      <c r="Y193" s="235">
        <f t="shared" si="22"/>
        <v>0</v>
      </c>
      <c r="Z193" s="326"/>
      <c r="AA193" s="350"/>
    </row>
    <row r="194" spans="1:27" ht="24" customHeight="1" x14ac:dyDescent="0.2">
      <c r="A194" s="82">
        <v>46</v>
      </c>
      <c r="B194" s="610" t="s">
        <v>418</v>
      </c>
      <c r="C194" s="41" t="s">
        <v>419</v>
      </c>
      <c r="D194" s="157"/>
      <c r="E194" s="157"/>
      <c r="F194" s="157">
        <f>-2280-616</f>
        <v>-2896</v>
      </c>
      <c r="G194" s="157"/>
      <c r="H194" s="157"/>
      <c r="I194" s="157"/>
      <c r="J194" s="157"/>
      <c r="K194" s="157"/>
      <c r="L194" s="157">
        <f>2280+616</f>
        <v>2896</v>
      </c>
      <c r="M194" s="157"/>
      <c r="N194" s="157"/>
      <c r="O194" s="157"/>
      <c r="P194" s="157"/>
      <c r="Q194" s="157"/>
      <c r="R194" s="157">
        <f t="shared" si="24"/>
        <v>0</v>
      </c>
      <c r="S194" s="157"/>
      <c r="T194" s="157"/>
      <c r="U194" s="157"/>
      <c r="V194" s="157"/>
      <c r="W194" s="157"/>
      <c r="X194" s="163">
        <f t="shared" si="21"/>
        <v>0</v>
      </c>
      <c r="Y194" s="235">
        <f t="shared" si="22"/>
        <v>0</v>
      </c>
      <c r="Z194" s="326"/>
      <c r="AA194" s="350"/>
    </row>
    <row r="195" spans="1:27" ht="24" customHeight="1" x14ac:dyDescent="0.2">
      <c r="A195" s="40">
        <v>47</v>
      </c>
      <c r="B195" s="616" t="s">
        <v>409</v>
      </c>
      <c r="C195" s="41" t="s">
        <v>410</v>
      </c>
      <c r="D195" s="157">
        <f>-2178.8</f>
        <v>-2178.8000000000002</v>
      </c>
      <c r="E195" s="157">
        <f>-479.336</f>
        <v>-479.33600000000001</v>
      </c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>
        <f t="shared" si="24"/>
        <v>-2658.1360000000004</v>
      </c>
      <c r="S195" s="157"/>
      <c r="T195" s="157"/>
      <c r="U195" s="157"/>
      <c r="V195" s="157"/>
      <c r="W195" s="157"/>
      <c r="X195" s="163">
        <f t="shared" si="21"/>
        <v>0</v>
      </c>
      <c r="Y195" s="235">
        <f t="shared" si="22"/>
        <v>-2658.1360000000004</v>
      </c>
      <c r="Z195" s="326">
        <f>2658.136</f>
        <v>2658.136</v>
      </c>
      <c r="AA195" s="350"/>
    </row>
    <row r="196" spans="1:27" ht="24" customHeight="1" x14ac:dyDescent="0.2">
      <c r="A196" s="82">
        <v>48</v>
      </c>
      <c r="B196" s="616" t="s">
        <v>411</v>
      </c>
      <c r="C196" s="28" t="s">
        <v>412</v>
      </c>
      <c r="D196" s="157"/>
      <c r="E196" s="157"/>
      <c r="F196" s="157">
        <f>-1291</f>
        <v>-1291</v>
      </c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>
        <f t="shared" si="24"/>
        <v>-1291</v>
      </c>
      <c r="S196" s="157"/>
      <c r="T196" s="157"/>
      <c r="U196" s="157"/>
      <c r="V196" s="157"/>
      <c r="W196" s="157"/>
      <c r="X196" s="163">
        <f t="shared" si="21"/>
        <v>0</v>
      </c>
      <c r="Y196" s="235">
        <f t="shared" si="22"/>
        <v>-1291</v>
      </c>
      <c r="Z196" s="326">
        <f>1291</f>
        <v>1291</v>
      </c>
      <c r="AA196" s="350"/>
    </row>
    <row r="197" spans="1:27" ht="24" customHeight="1" x14ac:dyDescent="0.2">
      <c r="A197" s="40">
        <v>49</v>
      </c>
      <c r="B197" s="616" t="s">
        <v>420</v>
      </c>
      <c r="C197" s="28" t="s">
        <v>235</v>
      </c>
      <c r="D197" s="157"/>
      <c r="E197" s="157"/>
      <c r="F197" s="157">
        <f>378</f>
        <v>378</v>
      </c>
      <c r="G197" s="157"/>
      <c r="H197" s="157"/>
      <c r="I197" s="157"/>
      <c r="J197" s="157"/>
      <c r="K197" s="157">
        <f>1400</f>
        <v>1400</v>
      </c>
      <c r="L197" s="157"/>
      <c r="M197" s="157"/>
      <c r="N197" s="157"/>
      <c r="O197" s="157"/>
      <c r="P197" s="157"/>
      <c r="Q197" s="157"/>
      <c r="R197" s="157">
        <f t="shared" si="24"/>
        <v>1778</v>
      </c>
      <c r="S197" s="157"/>
      <c r="T197" s="162"/>
      <c r="U197" s="162"/>
      <c r="V197" s="162"/>
      <c r="W197" s="157"/>
      <c r="X197" s="163">
        <f t="shared" si="21"/>
        <v>0</v>
      </c>
      <c r="Y197" s="235">
        <f t="shared" si="22"/>
        <v>1778</v>
      </c>
      <c r="Z197" s="326"/>
      <c r="AA197" s="350"/>
    </row>
    <row r="198" spans="1:27" ht="24" customHeight="1" x14ac:dyDescent="0.2">
      <c r="A198" s="82">
        <v>50</v>
      </c>
      <c r="B198" s="616" t="s">
        <v>421</v>
      </c>
      <c r="C198" s="41" t="s">
        <v>422</v>
      </c>
      <c r="D198" s="157"/>
      <c r="E198" s="157"/>
      <c r="F198" s="157">
        <f>-310-84</f>
        <v>-394</v>
      </c>
      <c r="G198" s="157"/>
      <c r="H198" s="157"/>
      <c r="I198" s="157"/>
      <c r="J198" s="157"/>
      <c r="K198" s="157"/>
      <c r="L198" s="157">
        <f>310+84</f>
        <v>394</v>
      </c>
      <c r="M198" s="157"/>
      <c r="N198" s="157"/>
      <c r="O198" s="157"/>
      <c r="P198" s="157"/>
      <c r="Q198" s="157"/>
      <c r="R198" s="157">
        <f t="shared" si="24"/>
        <v>0</v>
      </c>
      <c r="S198" s="157"/>
      <c r="T198" s="157"/>
      <c r="U198" s="157"/>
      <c r="V198" s="157"/>
      <c r="W198" s="157"/>
      <c r="X198" s="163">
        <f t="shared" si="21"/>
        <v>0</v>
      </c>
      <c r="Y198" s="235">
        <f t="shared" si="22"/>
        <v>0</v>
      </c>
      <c r="Z198" s="326"/>
      <c r="AA198" s="350"/>
    </row>
    <row r="199" spans="1:27" ht="24" customHeight="1" x14ac:dyDescent="0.2">
      <c r="A199" s="40">
        <v>51</v>
      </c>
      <c r="B199" s="616" t="s">
        <v>423</v>
      </c>
      <c r="C199" s="41" t="s">
        <v>272</v>
      </c>
      <c r="D199" s="157"/>
      <c r="E199" s="157"/>
      <c r="F199" s="157"/>
      <c r="G199" s="157"/>
      <c r="H199" s="157"/>
      <c r="I199" s="157"/>
      <c r="J199" s="157">
        <f>50</f>
        <v>50</v>
      </c>
      <c r="K199" s="157">
        <f>-50</f>
        <v>-50</v>
      </c>
      <c r="L199" s="157"/>
      <c r="M199" s="157"/>
      <c r="N199" s="157"/>
      <c r="O199" s="157"/>
      <c r="P199" s="157"/>
      <c r="Q199" s="157"/>
      <c r="R199" s="157">
        <f t="shared" si="24"/>
        <v>0</v>
      </c>
      <c r="S199" s="157"/>
      <c r="T199" s="157"/>
      <c r="U199" s="157"/>
      <c r="V199" s="157"/>
      <c r="W199" s="157"/>
      <c r="X199" s="163">
        <f t="shared" si="21"/>
        <v>0</v>
      </c>
      <c r="Y199" s="235">
        <f t="shared" si="22"/>
        <v>0</v>
      </c>
      <c r="Z199" s="326"/>
      <c r="AA199" s="350"/>
    </row>
    <row r="200" spans="1:27" ht="24" customHeight="1" x14ac:dyDescent="0.2">
      <c r="A200" s="82">
        <v>52</v>
      </c>
      <c r="B200" s="610" t="s">
        <v>424</v>
      </c>
      <c r="C200" s="28" t="s">
        <v>338</v>
      </c>
      <c r="D200" s="157">
        <f>-432</f>
        <v>-432</v>
      </c>
      <c r="E200" s="157">
        <f>-95</f>
        <v>-95</v>
      </c>
      <c r="F200" s="157">
        <f>468+59</f>
        <v>527</v>
      </c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>
        <f t="shared" si="24"/>
        <v>0</v>
      </c>
      <c r="S200" s="157"/>
      <c r="T200" s="157"/>
      <c r="U200" s="157"/>
      <c r="V200" s="157"/>
      <c r="W200" s="157"/>
      <c r="X200" s="163">
        <f t="shared" si="21"/>
        <v>0</v>
      </c>
      <c r="Y200" s="235">
        <f t="shared" si="22"/>
        <v>0</v>
      </c>
      <c r="Z200" s="326"/>
      <c r="AA200" s="350"/>
    </row>
    <row r="201" spans="1:27" ht="24" customHeight="1" x14ac:dyDescent="0.2">
      <c r="A201" s="40">
        <v>53</v>
      </c>
      <c r="B201" s="610" t="s">
        <v>433</v>
      </c>
      <c r="C201" s="28" t="s">
        <v>432</v>
      </c>
      <c r="D201" s="157"/>
      <c r="E201" s="157"/>
      <c r="F201" s="157"/>
      <c r="G201" s="157"/>
      <c r="H201" s="157"/>
      <c r="I201" s="157"/>
      <c r="J201" s="157"/>
      <c r="K201" s="157">
        <f>2118.422</f>
        <v>2118.422</v>
      </c>
      <c r="L201" s="352"/>
      <c r="M201" s="157"/>
      <c r="N201" s="157"/>
      <c r="O201" s="157"/>
      <c r="P201" s="157"/>
      <c r="Q201" s="157"/>
      <c r="R201" s="157">
        <f t="shared" si="24"/>
        <v>2118.422</v>
      </c>
      <c r="S201" s="157"/>
      <c r="T201" s="157"/>
      <c r="U201" s="157"/>
      <c r="V201" s="157"/>
      <c r="W201" s="157"/>
      <c r="X201" s="163">
        <f t="shared" si="21"/>
        <v>0</v>
      </c>
      <c r="Y201" s="235">
        <f t="shared" si="22"/>
        <v>2118.422</v>
      </c>
      <c r="Z201" s="326"/>
      <c r="AA201" s="350"/>
    </row>
    <row r="202" spans="1:27" ht="24" customHeight="1" x14ac:dyDescent="0.2">
      <c r="A202" s="82">
        <v>54</v>
      </c>
      <c r="B202" s="610" t="s">
        <v>434</v>
      </c>
      <c r="C202" s="28" t="s">
        <v>435</v>
      </c>
      <c r="D202" s="157"/>
      <c r="E202" s="157"/>
      <c r="F202" s="157"/>
      <c r="G202" s="157"/>
      <c r="H202" s="157"/>
      <c r="I202" s="157"/>
      <c r="J202" s="157"/>
      <c r="K202" s="157">
        <f>100</f>
        <v>100</v>
      </c>
      <c r="L202" s="352"/>
      <c r="M202" s="157"/>
      <c r="N202" s="157"/>
      <c r="O202" s="157"/>
      <c r="P202" s="157"/>
      <c r="Q202" s="157"/>
      <c r="R202" s="157">
        <f t="shared" si="24"/>
        <v>100</v>
      </c>
      <c r="S202" s="157"/>
      <c r="T202" s="157"/>
      <c r="U202" s="157"/>
      <c r="V202" s="157"/>
      <c r="W202" s="157"/>
      <c r="X202" s="163">
        <f t="shared" si="21"/>
        <v>0</v>
      </c>
      <c r="Y202" s="235">
        <f t="shared" si="22"/>
        <v>100</v>
      </c>
      <c r="Z202" s="326"/>
      <c r="AA202" s="350"/>
    </row>
    <row r="203" spans="1:27" ht="24" customHeight="1" x14ac:dyDescent="0.2">
      <c r="A203" s="40">
        <v>55</v>
      </c>
      <c r="B203" s="616" t="s">
        <v>427</v>
      </c>
      <c r="C203" s="28" t="s">
        <v>428</v>
      </c>
      <c r="D203" s="157"/>
      <c r="E203" s="157"/>
      <c r="F203" s="157">
        <f>2957.193+798.442</f>
        <v>3755.6350000000002</v>
      </c>
      <c r="G203" s="157"/>
      <c r="H203" s="157"/>
      <c r="I203" s="157"/>
      <c r="J203" s="157"/>
      <c r="K203" s="157"/>
      <c r="M203" s="157"/>
      <c r="N203" s="157"/>
      <c r="O203" s="157"/>
      <c r="P203" s="157"/>
      <c r="Q203" s="157"/>
      <c r="R203" s="157">
        <f t="shared" si="24"/>
        <v>3755.6350000000002</v>
      </c>
      <c r="S203" s="157"/>
      <c r="T203" s="162"/>
      <c r="U203" s="162"/>
      <c r="V203" s="162"/>
      <c r="W203" s="157"/>
      <c r="X203" s="163">
        <f t="shared" si="21"/>
        <v>0</v>
      </c>
      <c r="Y203" s="235">
        <f t="shared" si="22"/>
        <v>3755.6350000000002</v>
      </c>
      <c r="Z203" s="326"/>
      <c r="AA203" s="350"/>
    </row>
    <row r="204" spans="1:27" ht="24" customHeight="1" x14ac:dyDescent="0.2">
      <c r="A204" s="82">
        <v>56</v>
      </c>
      <c r="B204" s="610" t="s">
        <v>427</v>
      </c>
      <c r="C204" s="28" t="s">
        <v>429</v>
      </c>
      <c r="D204" s="157"/>
      <c r="E204" s="157"/>
      <c r="F204" s="157">
        <f>-4405.512-1189.488</f>
        <v>-5595</v>
      </c>
      <c r="G204" s="157"/>
      <c r="H204" s="157"/>
      <c r="I204" s="157"/>
      <c r="J204" s="157"/>
      <c r="K204" s="157"/>
      <c r="L204" s="157">
        <f>-3937-1063</f>
        <v>-5000</v>
      </c>
      <c r="M204" s="157"/>
      <c r="N204" s="157"/>
      <c r="O204" s="157"/>
      <c r="P204" s="157"/>
      <c r="Q204" s="157"/>
      <c r="R204" s="157">
        <f t="shared" si="24"/>
        <v>-10595</v>
      </c>
      <c r="S204" s="157"/>
      <c r="T204" s="157"/>
      <c r="U204" s="157"/>
      <c r="V204" s="157"/>
      <c r="W204" s="157"/>
      <c r="X204" s="163">
        <f t="shared" si="21"/>
        <v>0</v>
      </c>
      <c r="Y204" s="235">
        <f t="shared" si="22"/>
        <v>-10595</v>
      </c>
      <c r="Z204" s="326">
        <f>5375+5220</f>
        <v>10595</v>
      </c>
      <c r="AA204" s="350"/>
    </row>
    <row r="205" spans="1:27" ht="24" customHeight="1" x14ac:dyDescent="0.2">
      <c r="A205" s="40">
        <v>57</v>
      </c>
      <c r="B205" s="616" t="s">
        <v>437</v>
      </c>
      <c r="C205" s="41" t="s">
        <v>438</v>
      </c>
      <c r="D205" s="157">
        <f>-180</f>
        <v>-180</v>
      </c>
      <c r="E205" s="157"/>
      <c r="F205" s="157">
        <f>180</f>
        <v>180</v>
      </c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>
        <f t="shared" si="24"/>
        <v>0</v>
      </c>
      <c r="S205" s="157"/>
      <c r="T205" s="162"/>
      <c r="U205" s="162"/>
      <c r="V205" s="162"/>
      <c r="W205" s="157"/>
      <c r="X205" s="163">
        <f t="shared" si="21"/>
        <v>0</v>
      </c>
      <c r="Y205" s="235">
        <f t="shared" si="22"/>
        <v>0</v>
      </c>
      <c r="Z205" s="326"/>
      <c r="AA205" s="350"/>
    </row>
    <row r="206" spans="1:27" ht="24" customHeight="1" x14ac:dyDescent="0.2">
      <c r="A206" s="82">
        <v>58</v>
      </c>
      <c r="B206" s="616" t="s">
        <v>439</v>
      </c>
      <c r="C206" s="28" t="s">
        <v>440</v>
      </c>
      <c r="D206" s="157"/>
      <c r="E206" s="157"/>
      <c r="F206" s="157"/>
      <c r="G206" s="157"/>
      <c r="H206" s="157"/>
      <c r="I206" s="157"/>
      <c r="J206" s="157"/>
      <c r="K206" s="157">
        <f>8181</f>
        <v>8181</v>
      </c>
      <c r="L206" s="157"/>
      <c r="M206" s="157"/>
      <c r="N206" s="157"/>
      <c r="O206" s="157"/>
      <c r="P206" s="157"/>
      <c r="Q206" s="157"/>
      <c r="R206" s="157">
        <f t="shared" si="24"/>
        <v>8181</v>
      </c>
      <c r="S206" s="157"/>
      <c r="T206" s="157"/>
      <c r="U206" s="157"/>
      <c r="V206" s="157"/>
      <c r="W206" s="157"/>
      <c r="X206" s="163">
        <f t="shared" si="21"/>
        <v>0</v>
      </c>
      <c r="Y206" s="235">
        <f t="shared" si="22"/>
        <v>8181</v>
      </c>
      <c r="Z206" s="326"/>
      <c r="AA206" s="350"/>
    </row>
    <row r="207" spans="1:27" ht="24" customHeight="1" x14ac:dyDescent="0.2">
      <c r="A207" s="40">
        <v>59</v>
      </c>
      <c r="B207" s="610" t="s">
        <v>441</v>
      </c>
      <c r="C207" s="33" t="s">
        <v>442</v>
      </c>
      <c r="D207" s="157"/>
      <c r="E207" s="157"/>
      <c r="F207" s="157"/>
      <c r="G207" s="157"/>
      <c r="H207" s="157"/>
      <c r="I207" s="157"/>
      <c r="J207" s="157"/>
      <c r="K207" s="157">
        <f>4249</f>
        <v>4249</v>
      </c>
      <c r="L207" s="157"/>
      <c r="M207" s="157"/>
      <c r="N207" s="157"/>
      <c r="O207" s="157"/>
      <c r="P207" s="157"/>
      <c r="Q207" s="157"/>
      <c r="R207" s="157">
        <f t="shared" si="24"/>
        <v>4249</v>
      </c>
      <c r="S207" s="157"/>
      <c r="T207" s="157"/>
      <c r="U207" s="157"/>
      <c r="V207" s="157"/>
      <c r="W207" s="157"/>
      <c r="X207" s="163">
        <f t="shared" si="21"/>
        <v>0</v>
      </c>
      <c r="Y207" s="235">
        <f t="shared" si="22"/>
        <v>4249</v>
      </c>
      <c r="Z207" s="326"/>
      <c r="AA207" s="350"/>
    </row>
    <row r="208" spans="1:27" ht="24" customHeight="1" x14ac:dyDescent="0.2">
      <c r="A208" s="82">
        <v>60</v>
      </c>
      <c r="B208" s="491" t="s">
        <v>444</v>
      </c>
      <c r="C208" s="28" t="s">
        <v>443</v>
      </c>
      <c r="D208" s="157"/>
      <c r="E208" s="157"/>
      <c r="F208" s="157"/>
      <c r="G208" s="157"/>
      <c r="H208" s="157"/>
      <c r="I208" s="157"/>
      <c r="J208" s="157"/>
      <c r="K208" s="157">
        <f>5503.915</f>
        <v>5503.915</v>
      </c>
      <c r="L208" s="157"/>
      <c r="M208" s="157"/>
      <c r="N208" s="157"/>
      <c r="O208" s="157"/>
      <c r="P208" s="157"/>
      <c r="Q208" s="157"/>
      <c r="R208" s="157">
        <f t="shared" si="24"/>
        <v>5503.915</v>
      </c>
      <c r="S208" s="157"/>
      <c r="T208" s="157"/>
      <c r="U208" s="157"/>
      <c r="V208" s="157"/>
      <c r="W208" s="157"/>
      <c r="X208" s="163">
        <f t="shared" si="21"/>
        <v>0</v>
      </c>
      <c r="Y208" s="235">
        <f t="shared" si="22"/>
        <v>5503.915</v>
      </c>
      <c r="Z208" s="326"/>
      <c r="AA208" s="350"/>
    </row>
    <row r="209" spans="1:27" ht="24" customHeight="1" x14ac:dyDescent="0.2">
      <c r="A209" s="40">
        <v>61</v>
      </c>
      <c r="B209" s="491" t="s">
        <v>446</v>
      </c>
      <c r="C209" s="28" t="s">
        <v>445</v>
      </c>
      <c r="D209" s="157"/>
      <c r="E209" s="157"/>
      <c r="F209" s="157"/>
      <c r="G209" s="157"/>
      <c r="H209" s="157"/>
      <c r="I209" s="157">
        <v>7121</v>
      </c>
      <c r="J209" s="157"/>
      <c r="K209" s="157">
        <v>-7121</v>
      </c>
      <c r="L209" s="157"/>
      <c r="M209" s="157"/>
      <c r="N209" s="157"/>
      <c r="O209" s="157"/>
      <c r="P209" s="157"/>
      <c r="Q209" s="157"/>
      <c r="R209" s="157">
        <f t="shared" si="24"/>
        <v>0</v>
      </c>
      <c r="S209" s="157"/>
      <c r="T209" s="157"/>
      <c r="U209" s="157"/>
      <c r="V209" s="157"/>
      <c r="W209" s="157"/>
      <c r="X209" s="163">
        <f t="shared" si="21"/>
        <v>0</v>
      </c>
      <c r="Y209" s="235">
        <f t="shared" si="22"/>
        <v>0</v>
      </c>
      <c r="Z209" s="326"/>
      <c r="AA209" s="350"/>
    </row>
    <row r="210" spans="1:27" ht="24" customHeight="1" x14ac:dyDescent="0.2">
      <c r="A210" s="82">
        <v>62</v>
      </c>
      <c r="B210" s="617" t="s">
        <v>465</v>
      </c>
      <c r="C210" s="33" t="s">
        <v>466</v>
      </c>
      <c r="D210" s="157"/>
      <c r="E210" s="157"/>
      <c r="F210" s="157"/>
      <c r="G210" s="157"/>
      <c r="H210" s="157"/>
      <c r="I210" s="157"/>
      <c r="J210" s="157"/>
      <c r="K210" s="157">
        <f>-800</f>
        <v>-800</v>
      </c>
      <c r="L210" s="157">
        <f>630+170</f>
        <v>800</v>
      </c>
      <c r="M210" s="157"/>
      <c r="N210" s="157"/>
      <c r="O210" s="157"/>
      <c r="P210" s="157"/>
      <c r="Q210" s="157"/>
      <c r="R210" s="157">
        <f t="shared" si="24"/>
        <v>0</v>
      </c>
      <c r="S210" s="157"/>
      <c r="T210" s="157"/>
      <c r="U210" s="157"/>
      <c r="V210" s="157"/>
      <c r="W210" s="157"/>
      <c r="X210" s="163">
        <f t="shared" si="21"/>
        <v>0</v>
      </c>
      <c r="Y210" s="235">
        <f t="shared" si="22"/>
        <v>0</v>
      </c>
      <c r="Z210" s="326"/>
      <c r="AA210" s="350"/>
    </row>
    <row r="211" spans="1:27" ht="24" customHeight="1" x14ac:dyDescent="0.2">
      <c r="A211" s="40">
        <v>63</v>
      </c>
      <c r="B211" s="617" t="s">
        <v>460</v>
      </c>
      <c r="C211" s="33" t="s">
        <v>461</v>
      </c>
      <c r="D211" s="157"/>
      <c r="E211" s="157"/>
      <c r="F211" s="157">
        <f>-3285.142</f>
        <v>-3285.1419999999998</v>
      </c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>
        <f t="shared" si="24"/>
        <v>-3285.1419999999998</v>
      </c>
      <c r="S211" s="157"/>
      <c r="T211" s="157"/>
      <c r="U211" s="157"/>
      <c r="V211" s="157"/>
      <c r="W211" s="157"/>
      <c r="X211" s="163">
        <f t="shared" si="21"/>
        <v>0</v>
      </c>
      <c r="Y211" s="235">
        <f t="shared" si="22"/>
        <v>-3285.1419999999998</v>
      </c>
      <c r="Z211" s="326">
        <f>3285.142</f>
        <v>3285.1419999999998</v>
      </c>
      <c r="AA211" s="350"/>
    </row>
    <row r="212" spans="1:27" ht="24" customHeight="1" x14ac:dyDescent="0.2">
      <c r="A212" s="82">
        <v>64</v>
      </c>
      <c r="B212" s="617" t="s">
        <v>459</v>
      </c>
      <c r="C212" s="33" t="s">
        <v>462</v>
      </c>
      <c r="D212" s="157"/>
      <c r="E212" s="157"/>
      <c r="F212" s="157">
        <f>-381-480-189-645.75</f>
        <v>-1695.75</v>
      </c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>
        <f t="shared" si="24"/>
        <v>-1695.75</v>
      </c>
      <c r="S212" s="157"/>
      <c r="T212" s="157"/>
      <c r="U212" s="157"/>
      <c r="V212" s="157"/>
      <c r="W212" s="157"/>
      <c r="X212" s="163">
        <f t="shared" si="21"/>
        <v>0</v>
      </c>
      <c r="Y212" s="235">
        <f t="shared" si="22"/>
        <v>-1695.75</v>
      </c>
      <c r="Z212" s="326">
        <f>1695.75</f>
        <v>1695.75</v>
      </c>
      <c r="AA212" s="350"/>
    </row>
    <row r="213" spans="1:27" ht="24" customHeight="1" x14ac:dyDescent="0.2">
      <c r="A213" s="40">
        <v>65</v>
      </c>
      <c r="B213" s="617" t="s">
        <v>451</v>
      </c>
      <c r="C213" s="33" t="s">
        <v>452</v>
      </c>
      <c r="D213" s="157"/>
      <c r="E213" s="157"/>
      <c r="F213" s="157"/>
      <c r="G213" s="157"/>
      <c r="H213" s="157"/>
      <c r="I213" s="157"/>
      <c r="J213" s="157"/>
      <c r="K213" s="157"/>
      <c r="L213" s="157">
        <f>-2337-631</f>
        <v>-2968</v>
      </c>
      <c r="M213" s="157"/>
      <c r="N213" s="157"/>
      <c r="O213" s="157"/>
      <c r="P213" s="157"/>
      <c r="Q213" s="157"/>
      <c r="R213" s="157">
        <f t="shared" si="24"/>
        <v>-2968</v>
      </c>
      <c r="S213" s="157"/>
      <c r="T213" s="157"/>
      <c r="U213" s="157"/>
      <c r="V213" s="157"/>
      <c r="W213" s="157"/>
      <c r="X213" s="163">
        <f t="shared" si="21"/>
        <v>0</v>
      </c>
      <c r="Y213" s="235">
        <f t="shared" si="22"/>
        <v>-2968</v>
      </c>
      <c r="Z213" s="326">
        <f>2968</f>
        <v>2968</v>
      </c>
      <c r="AA213" s="350"/>
    </row>
    <row r="214" spans="1:27" ht="24" customHeight="1" x14ac:dyDescent="0.2">
      <c r="A214" s="82">
        <v>66</v>
      </c>
      <c r="B214" s="617" t="s">
        <v>453</v>
      </c>
      <c r="C214" s="33" t="s">
        <v>454</v>
      </c>
      <c r="D214" s="157"/>
      <c r="E214" s="157"/>
      <c r="F214" s="157"/>
      <c r="G214" s="157"/>
      <c r="H214" s="157"/>
      <c r="I214" s="157"/>
      <c r="J214" s="157"/>
      <c r="K214" s="157"/>
      <c r="L214" s="157">
        <f>-1754-474</f>
        <v>-2228</v>
      </c>
      <c r="M214" s="157"/>
      <c r="N214" s="157"/>
      <c r="O214" s="157"/>
      <c r="P214" s="157"/>
      <c r="Q214" s="157"/>
      <c r="R214" s="157">
        <f t="shared" si="24"/>
        <v>-2228</v>
      </c>
      <c r="S214" s="157"/>
      <c r="T214" s="157"/>
      <c r="U214" s="157"/>
      <c r="V214" s="157"/>
      <c r="W214" s="157"/>
      <c r="X214" s="163">
        <f t="shared" si="21"/>
        <v>0</v>
      </c>
      <c r="Y214" s="235">
        <f t="shared" si="22"/>
        <v>-2228</v>
      </c>
      <c r="Z214" s="326">
        <f>2228</f>
        <v>2228</v>
      </c>
      <c r="AA214" s="350"/>
    </row>
    <row r="215" spans="1:27" ht="24" customHeight="1" x14ac:dyDescent="0.2">
      <c r="A215" s="40">
        <v>67</v>
      </c>
      <c r="B215" s="617" t="s">
        <v>455</v>
      </c>
      <c r="C215" s="33" t="s">
        <v>456</v>
      </c>
      <c r="D215" s="157"/>
      <c r="E215" s="157"/>
      <c r="F215" s="157"/>
      <c r="G215" s="157"/>
      <c r="H215" s="157"/>
      <c r="I215" s="157"/>
      <c r="J215" s="157"/>
      <c r="K215" s="157"/>
      <c r="L215" s="157">
        <f>-2506-676</f>
        <v>-3182</v>
      </c>
      <c r="M215" s="157"/>
      <c r="N215" s="157"/>
      <c r="O215" s="157"/>
      <c r="P215" s="157"/>
      <c r="Q215" s="157"/>
      <c r="R215" s="157">
        <f t="shared" si="24"/>
        <v>-3182</v>
      </c>
      <c r="S215" s="157"/>
      <c r="T215" s="157"/>
      <c r="U215" s="157"/>
      <c r="V215" s="157"/>
      <c r="W215" s="157"/>
      <c r="X215" s="163">
        <f t="shared" si="21"/>
        <v>0</v>
      </c>
      <c r="Y215" s="235">
        <f t="shared" si="22"/>
        <v>-3182</v>
      </c>
      <c r="Z215" s="326">
        <f>3182</f>
        <v>3182</v>
      </c>
      <c r="AA215" s="350"/>
    </row>
    <row r="216" spans="1:27" ht="24" customHeight="1" x14ac:dyDescent="0.2">
      <c r="A216" s="82">
        <v>68</v>
      </c>
      <c r="B216" s="617" t="s">
        <v>457</v>
      </c>
      <c r="C216" s="34" t="s">
        <v>458</v>
      </c>
      <c r="D216" s="157"/>
      <c r="E216" s="157"/>
      <c r="F216" s="157"/>
      <c r="G216" s="157"/>
      <c r="H216" s="157"/>
      <c r="I216" s="157"/>
      <c r="J216" s="157"/>
      <c r="K216" s="157">
        <f>-3405</f>
        <v>-3405</v>
      </c>
      <c r="L216" s="157"/>
      <c r="M216" s="157"/>
      <c r="N216" s="157"/>
      <c r="O216" s="157"/>
      <c r="P216" s="157"/>
      <c r="Q216" s="157"/>
      <c r="R216" s="157">
        <f t="shared" si="24"/>
        <v>-3405</v>
      </c>
      <c r="S216" s="157"/>
      <c r="T216" s="157"/>
      <c r="U216" s="157"/>
      <c r="V216" s="157"/>
      <c r="W216" s="157"/>
      <c r="X216" s="163">
        <f t="shared" si="21"/>
        <v>0</v>
      </c>
      <c r="Y216" s="235">
        <f t="shared" si="22"/>
        <v>-3405</v>
      </c>
      <c r="Z216" s="326">
        <f>3405</f>
        <v>3405</v>
      </c>
      <c r="AA216" s="350"/>
    </row>
    <row r="217" spans="1:27" ht="24" customHeight="1" x14ac:dyDescent="0.2">
      <c r="A217" s="40">
        <v>69</v>
      </c>
      <c r="B217" s="617" t="s">
        <v>467</v>
      </c>
      <c r="C217" s="34" t="s">
        <v>468</v>
      </c>
      <c r="D217" s="157"/>
      <c r="E217" s="157"/>
      <c r="F217" s="157"/>
      <c r="G217" s="157"/>
      <c r="H217" s="157"/>
      <c r="I217" s="157"/>
      <c r="J217" s="157">
        <f>5000</f>
        <v>5000</v>
      </c>
      <c r="K217" s="157">
        <f>-5000</f>
        <v>-5000</v>
      </c>
      <c r="L217" s="157"/>
      <c r="M217" s="157"/>
      <c r="N217" s="157"/>
      <c r="O217" s="157"/>
      <c r="P217" s="157"/>
      <c r="Q217" s="157"/>
      <c r="R217" s="157">
        <f t="shared" si="24"/>
        <v>0</v>
      </c>
      <c r="S217" s="157"/>
      <c r="T217" s="157"/>
      <c r="U217" s="157"/>
      <c r="V217" s="157"/>
      <c r="W217" s="157"/>
      <c r="X217" s="163">
        <f t="shared" si="21"/>
        <v>0</v>
      </c>
      <c r="Y217" s="235">
        <f t="shared" si="22"/>
        <v>0</v>
      </c>
      <c r="Z217" s="326"/>
      <c r="AA217" s="350"/>
    </row>
    <row r="218" spans="1:27" ht="24" customHeight="1" x14ac:dyDescent="0.2">
      <c r="A218" s="82">
        <v>70</v>
      </c>
      <c r="B218" s="617" t="s">
        <v>469</v>
      </c>
      <c r="C218" s="34" t="s">
        <v>389</v>
      </c>
      <c r="D218" s="157"/>
      <c r="E218" s="157"/>
      <c r="F218" s="157"/>
      <c r="G218" s="157"/>
      <c r="H218" s="157"/>
      <c r="I218" s="157"/>
      <c r="J218" s="157"/>
      <c r="K218" s="157">
        <f>-7411</f>
        <v>-7411</v>
      </c>
      <c r="L218" s="157"/>
      <c r="M218" s="157"/>
      <c r="N218" s="157"/>
      <c r="O218" s="157"/>
      <c r="P218" s="157"/>
      <c r="Q218" s="157">
        <f>7411</f>
        <v>7411</v>
      </c>
      <c r="R218" s="157">
        <f t="shared" si="24"/>
        <v>0</v>
      </c>
      <c r="S218" s="157"/>
      <c r="T218" s="157"/>
      <c r="U218" s="157"/>
      <c r="V218" s="157"/>
      <c r="W218" s="157"/>
      <c r="X218" s="163">
        <f t="shared" si="21"/>
        <v>0</v>
      </c>
      <c r="Y218" s="235">
        <f t="shared" si="22"/>
        <v>0</v>
      </c>
      <c r="Z218" s="326"/>
      <c r="AA218" s="350"/>
    </row>
    <row r="219" spans="1:27" ht="24" customHeight="1" x14ac:dyDescent="0.2">
      <c r="A219" s="40">
        <v>71</v>
      </c>
      <c r="B219" s="193" t="s">
        <v>470</v>
      </c>
      <c r="C219" s="34" t="s">
        <v>471</v>
      </c>
      <c r="D219" s="157"/>
      <c r="E219" s="157"/>
      <c r="F219" s="157"/>
      <c r="G219" s="157"/>
      <c r="H219" s="157"/>
      <c r="I219" s="157"/>
      <c r="J219" s="157"/>
      <c r="K219" s="157">
        <f>-496</f>
        <v>-496</v>
      </c>
      <c r="L219" s="157">
        <f>390+106</f>
        <v>496</v>
      </c>
      <c r="M219" s="157"/>
      <c r="N219" s="157"/>
      <c r="O219" s="157"/>
      <c r="P219" s="157"/>
      <c r="Q219" s="157"/>
      <c r="R219" s="157">
        <f t="shared" si="24"/>
        <v>0</v>
      </c>
      <c r="S219" s="157"/>
      <c r="T219" s="157"/>
      <c r="U219" s="157"/>
      <c r="V219" s="157"/>
      <c r="W219" s="157"/>
      <c r="X219" s="163">
        <f t="shared" si="21"/>
        <v>0</v>
      </c>
      <c r="Y219" s="235">
        <f t="shared" si="22"/>
        <v>0</v>
      </c>
      <c r="Z219" s="326"/>
      <c r="AA219" s="350"/>
    </row>
    <row r="220" spans="1:27" ht="24" customHeight="1" x14ac:dyDescent="0.2">
      <c r="A220" s="82">
        <v>72</v>
      </c>
      <c r="B220" s="193" t="s">
        <v>463</v>
      </c>
      <c r="C220" s="33" t="s">
        <v>464</v>
      </c>
      <c r="D220" s="157">
        <f>-2637.7-250</f>
        <v>-2887.7</v>
      </c>
      <c r="E220" s="157">
        <f>-635.294</f>
        <v>-635.29399999999998</v>
      </c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>
        <f t="shared" si="24"/>
        <v>-3522.9939999999997</v>
      </c>
      <c r="S220" s="157"/>
      <c r="T220" s="157"/>
      <c r="U220" s="157"/>
      <c r="V220" s="157"/>
      <c r="W220" s="157"/>
      <c r="X220" s="163">
        <f t="shared" si="21"/>
        <v>0</v>
      </c>
      <c r="Y220" s="235">
        <f t="shared" si="22"/>
        <v>-3522.9939999999997</v>
      </c>
      <c r="Z220" s="326">
        <f>3522.994</f>
        <v>3522.9940000000001</v>
      </c>
      <c r="AA220" s="350"/>
    </row>
    <row r="221" spans="1:27" ht="24" customHeight="1" x14ac:dyDescent="0.2">
      <c r="A221" s="40">
        <v>73</v>
      </c>
      <c r="B221" s="193" t="s">
        <v>472</v>
      </c>
      <c r="C221" s="34" t="s">
        <v>473</v>
      </c>
      <c r="D221" s="157"/>
      <c r="E221" s="157"/>
      <c r="F221" s="157"/>
      <c r="G221" s="157"/>
      <c r="H221" s="157"/>
      <c r="I221" s="157"/>
      <c r="J221" s="157"/>
      <c r="K221" s="157">
        <f>1500</f>
        <v>1500</v>
      </c>
      <c r="L221" s="157"/>
      <c r="M221" s="157"/>
      <c r="N221" s="157"/>
      <c r="O221" s="157"/>
      <c r="P221" s="157"/>
      <c r="Q221" s="157"/>
      <c r="R221" s="157">
        <f t="shared" si="24"/>
        <v>1500</v>
      </c>
      <c r="S221" s="157"/>
      <c r="T221" s="157"/>
      <c r="U221" s="157"/>
      <c r="V221" s="157"/>
      <c r="W221" s="157"/>
      <c r="X221" s="163">
        <f t="shared" si="21"/>
        <v>0</v>
      </c>
      <c r="Y221" s="235">
        <f t="shared" si="22"/>
        <v>1500</v>
      </c>
      <c r="Z221" s="326"/>
      <c r="AA221" s="350"/>
    </row>
    <row r="222" spans="1:27" ht="24" customHeight="1" x14ac:dyDescent="0.2">
      <c r="A222" s="82">
        <v>74</v>
      </c>
      <c r="B222" s="621" t="s">
        <v>474</v>
      </c>
      <c r="C222" s="41" t="s">
        <v>475</v>
      </c>
      <c r="D222" s="162"/>
      <c r="E222" s="162"/>
      <c r="F222" s="157">
        <f>-15000-65000</f>
        <v>-80000</v>
      </c>
      <c r="G222" s="157"/>
      <c r="H222" s="157"/>
      <c r="I222" s="157"/>
      <c r="J222" s="157"/>
      <c r="K222" s="157">
        <f>15000</f>
        <v>15000</v>
      </c>
      <c r="L222" s="157"/>
      <c r="M222" s="157"/>
      <c r="N222" s="157"/>
      <c r="O222" s="157"/>
      <c r="P222" s="157"/>
      <c r="Q222" s="157"/>
      <c r="R222" s="157">
        <f t="shared" si="24"/>
        <v>-65000</v>
      </c>
      <c r="S222" s="157"/>
      <c r="T222" s="157"/>
      <c r="U222" s="157"/>
      <c r="V222" s="157"/>
      <c r="W222" s="157"/>
      <c r="X222" s="163">
        <f t="shared" si="21"/>
        <v>0</v>
      </c>
      <c r="Y222" s="235">
        <f t="shared" si="22"/>
        <v>-65000</v>
      </c>
      <c r="Z222" s="326"/>
      <c r="AA222" s="350"/>
    </row>
    <row r="223" spans="1:27" ht="24" customHeight="1" x14ac:dyDescent="0.2">
      <c r="A223" s="40">
        <v>75</v>
      </c>
      <c r="B223" s="193" t="s">
        <v>477</v>
      </c>
      <c r="C223" s="41" t="s">
        <v>476</v>
      </c>
      <c r="D223" s="157"/>
      <c r="E223" s="157"/>
      <c r="F223" s="157"/>
      <c r="G223" s="157"/>
      <c r="H223" s="157"/>
      <c r="I223" s="157"/>
      <c r="J223" s="157"/>
      <c r="K223" s="157">
        <f>120</f>
        <v>120</v>
      </c>
      <c r="L223" s="157"/>
      <c r="M223" s="157"/>
      <c r="N223" s="157"/>
      <c r="O223" s="157"/>
      <c r="P223" s="157"/>
      <c r="Q223" s="157"/>
      <c r="R223" s="157">
        <f t="shared" si="24"/>
        <v>120</v>
      </c>
      <c r="S223" s="157"/>
      <c r="T223" s="157"/>
      <c r="U223" s="157"/>
      <c r="V223" s="157"/>
      <c r="W223" s="157"/>
      <c r="X223" s="163">
        <f t="shared" si="21"/>
        <v>0</v>
      </c>
      <c r="Y223" s="235">
        <f t="shared" si="22"/>
        <v>120</v>
      </c>
      <c r="Z223" s="326"/>
      <c r="AA223" s="350"/>
    </row>
    <row r="224" spans="1:27" ht="24" customHeight="1" x14ac:dyDescent="0.2">
      <c r="A224" s="82">
        <v>76</v>
      </c>
      <c r="B224" s="193" t="s">
        <v>478</v>
      </c>
      <c r="C224" s="41" t="s">
        <v>479</v>
      </c>
      <c r="D224" s="157"/>
      <c r="E224" s="157"/>
      <c r="F224" s="157"/>
      <c r="G224" s="157"/>
      <c r="H224" s="157"/>
      <c r="I224" s="157"/>
      <c r="J224" s="157"/>
      <c r="K224" s="157">
        <f>-18900</f>
        <v>-18900</v>
      </c>
      <c r="L224" s="157"/>
      <c r="M224" s="157"/>
      <c r="N224" s="157"/>
      <c r="O224" s="157"/>
      <c r="P224" s="157"/>
      <c r="Q224" s="157">
        <f>18900</f>
        <v>18900</v>
      </c>
      <c r="R224" s="157">
        <f t="shared" si="24"/>
        <v>0</v>
      </c>
      <c r="S224" s="157"/>
      <c r="T224" s="157"/>
      <c r="U224" s="157"/>
      <c r="V224" s="157"/>
      <c r="W224" s="157"/>
      <c r="X224" s="163">
        <f t="shared" si="21"/>
        <v>0</v>
      </c>
      <c r="Y224" s="235">
        <f t="shared" si="22"/>
        <v>0</v>
      </c>
      <c r="Z224" s="326"/>
      <c r="AA224" s="350"/>
    </row>
    <row r="225" spans="1:27" ht="24" customHeight="1" x14ac:dyDescent="0.2">
      <c r="A225" s="40">
        <v>77</v>
      </c>
      <c r="B225" s="193" t="s">
        <v>481</v>
      </c>
      <c r="C225" s="41" t="s">
        <v>480</v>
      </c>
      <c r="D225" s="157"/>
      <c r="E225" s="157"/>
      <c r="F225" s="157"/>
      <c r="G225" s="157"/>
      <c r="H225" s="157"/>
      <c r="I225" s="157"/>
      <c r="J225" s="157"/>
      <c r="K225" s="157">
        <f>17594.298</f>
        <v>17594.297999999999</v>
      </c>
      <c r="L225" s="157"/>
      <c r="M225" s="157"/>
      <c r="N225" s="157"/>
      <c r="O225" s="157"/>
      <c r="P225" s="157"/>
      <c r="Q225" s="157"/>
      <c r="R225" s="157">
        <f t="shared" si="24"/>
        <v>17594.297999999999</v>
      </c>
      <c r="S225" s="157"/>
      <c r="T225" s="157"/>
      <c r="U225" s="157"/>
      <c r="V225" s="157"/>
      <c r="W225" s="157"/>
      <c r="X225" s="163">
        <f t="shared" si="21"/>
        <v>0</v>
      </c>
      <c r="Y225" s="235">
        <f t="shared" si="22"/>
        <v>17594.297999999999</v>
      </c>
      <c r="Z225" s="326"/>
      <c r="AA225" s="350"/>
    </row>
    <row r="226" spans="1:27" ht="24" customHeight="1" x14ac:dyDescent="0.2">
      <c r="A226" s="82">
        <v>78</v>
      </c>
      <c r="B226" s="618" t="s">
        <v>482</v>
      </c>
      <c r="C226" s="28" t="s">
        <v>483</v>
      </c>
      <c r="D226" s="157"/>
      <c r="E226" s="157"/>
      <c r="F226" s="157"/>
      <c r="G226" s="157"/>
      <c r="H226" s="157"/>
      <c r="I226" s="157"/>
      <c r="J226" s="157"/>
      <c r="K226" s="157">
        <f>-18288</f>
        <v>-18288</v>
      </c>
      <c r="L226" s="157">
        <f>14400+3888</f>
        <v>18288</v>
      </c>
      <c r="M226" s="157"/>
      <c r="N226" s="157"/>
      <c r="O226" s="157"/>
      <c r="P226" s="157"/>
      <c r="Q226" s="157"/>
      <c r="R226" s="157">
        <f t="shared" si="24"/>
        <v>0</v>
      </c>
      <c r="S226" s="157"/>
      <c r="T226" s="157"/>
      <c r="U226" s="157"/>
      <c r="V226" s="157"/>
      <c r="W226" s="157"/>
      <c r="X226" s="163">
        <f t="shared" si="21"/>
        <v>0</v>
      </c>
      <c r="Y226" s="235">
        <f t="shared" si="22"/>
        <v>0</v>
      </c>
      <c r="Z226" s="326"/>
      <c r="AA226" s="350"/>
    </row>
    <row r="227" spans="1:27" ht="24" customHeight="1" x14ac:dyDescent="0.2">
      <c r="A227" s="40">
        <v>79</v>
      </c>
      <c r="B227" s="619" t="s">
        <v>484</v>
      </c>
      <c r="C227" s="41" t="s">
        <v>485</v>
      </c>
      <c r="D227" s="157"/>
      <c r="E227" s="157"/>
      <c r="F227" s="157">
        <f>14500+3915</f>
        <v>18415</v>
      </c>
      <c r="G227" s="157"/>
      <c r="H227" s="157"/>
      <c r="I227" s="157"/>
      <c r="J227" s="157"/>
      <c r="K227" s="157">
        <f>-18415</f>
        <v>-18415</v>
      </c>
      <c r="L227" s="157"/>
      <c r="M227" s="157"/>
      <c r="N227" s="157"/>
      <c r="O227" s="157"/>
      <c r="P227" s="157"/>
      <c r="Q227" s="157"/>
      <c r="R227" s="157">
        <f t="shared" si="24"/>
        <v>0</v>
      </c>
      <c r="S227" s="157"/>
      <c r="T227" s="157"/>
      <c r="U227" s="157"/>
      <c r="V227" s="157"/>
      <c r="W227" s="157"/>
      <c r="X227" s="163">
        <f t="shared" si="21"/>
        <v>0</v>
      </c>
      <c r="Y227" s="235">
        <f t="shared" si="22"/>
        <v>0</v>
      </c>
      <c r="Z227" s="326"/>
      <c r="AA227" s="350"/>
    </row>
    <row r="228" spans="1:27" ht="24" customHeight="1" x14ac:dyDescent="0.2">
      <c r="A228" s="82">
        <v>80</v>
      </c>
      <c r="B228" s="193" t="s">
        <v>487</v>
      </c>
      <c r="C228" s="41" t="s">
        <v>486</v>
      </c>
      <c r="D228" s="157"/>
      <c r="E228" s="157"/>
      <c r="F228" s="157"/>
      <c r="G228" s="157">
        <f>300</f>
        <v>300</v>
      </c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>
        <f t="shared" si="24"/>
        <v>300</v>
      </c>
      <c r="S228" s="157"/>
      <c r="T228" s="157"/>
      <c r="U228" s="157"/>
      <c r="V228" s="157"/>
      <c r="W228" s="157"/>
      <c r="X228" s="163">
        <f t="shared" si="21"/>
        <v>0</v>
      </c>
      <c r="Y228" s="235">
        <f t="shared" si="22"/>
        <v>300</v>
      </c>
      <c r="Z228" s="326"/>
      <c r="AA228" s="350"/>
    </row>
    <row r="229" spans="1:27" ht="24" customHeight="1" x14ac:dyDescent="0.2">
      <c r="A229" s="40">
        <v>81</v>
      </c>
      <c r="B229" s="621" t="s">
        <v>488</v>
      </c>
      <c r="C229" s="41" t="s">
        <v>489</v>
      </c>
      <c r="D229" s="157"/>
      <c r="E229" s="157"/>
      <c r="F229" s="157"/>
      <c r="G229" s="157"/>
      <c r="H229" s="157"/>
      <c r="I229" s="157"/>
      <c r="J229" s="157"/>
      <c r="K229" s="157">
        <f>-82550</f>
        <v>-82550</v>
      </c>
      <c r="L229" s="157">
        <f>65000+17550</f>
        <v>82550</v>
      </c>
      <c r="M229" s="157"/>
      <c r="N229" s="157"/>
      <c r="O229" s="157"/>
      <c r="P229" s="157"/>
      <c r="Q229" s="157"/>
      <c r="R229" s="157">
        <f t="shared" si="24"/>
        <v>0</v>
      </c>
      <c r="S229" s="157"/>
      <c r="T229" s="157"/>
      <c r="U229" s="157"/>
      <c r="V229" s="157"/>
      <c r="W229" s="157"/>
      <c r="X229" s="163">
        <f t="shared" si="21"/>
        <v>0</v>
      </c>
      <c r="Y229" s="235">
        <f t="shared" si="22"/>
        <v>0</v>
      </c>
      <c r="Z229" s="326"/>
      <c r="AA229" s="350"/>
    </row>
    <row r="230" spans="1:27" ht="24" customHeight="1" x14ac:dyDescent="0.2">
      <c r="A230" s="82">
        <v>82</v>
      </c>
      <c r="B230" s="193" t="s">
        <v>492</v>
      </c>
      <c r="C230" s="41" t="s">
        <v>493</v>
      </c>
      <c r="D230" s="157"/>
      <c r="E230" s="157">
        <f>5+3</f>
        <v>8</v>
      </c>
      <c r="F230" s="157">
        <f>-138+100+30</f>
        <v>-8</v>
      </c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>
        <f t="shared" si="24"/>
        <v>0</v>
      </c>
      <c r="S230" s="157"/>
      <c r="T230" s="157"/>
      <c r="U230" s="157"/>
      <c r="V230" s="157"/>
      <c r="W230" s="157"/>
      <c r="X230" s="163">
        <f t="shared" si="21"/>
        <v>0</v>
      </c>
      <c r="Y230" s="235">
        <f t="shared" si="22"/>
        <v>0</v>
      </c>
      <c r="Z230" s="326"/>
      <c r="AA230" s="350"/>
    </row>
    <row r="231" spans="1:27" ht="24" customHeight="1" x14ac:dyDescent="0.2">
      <c r="A231" s="40">
        <v>83</v>
      </c>
      <c r="B231" s="491" t="s">
        <v>494</v>
      </c>
      <c r="C231" s="28" t="s">
        <v>495</v>
      </c>
      <c r="D231" s="157"/>
      <c r="E231" s="157"/>
      <c r="F231" s="157">
        <f>25</f>
        <v>25</v>
      </c>
      <c r="G231" s="157"/>
      <c r="H231" s="157"/>
      <c r="I231" s="157"/>
      <c r="J231" s="157"/>
      <c r="K231" s="157"/>
      <c r="L231" s="157">
        <f>125+34</f>
        <v>159</v>
      </c>
      <c r="M231" s="157"/>
      <c r="N231" s="157"/>
      <c r="O231" s="157"/>
      <c r="P231" s="157"/>
      <c r="Q231" s="157"/>
      <c r="R231" s="157">
        <f t="shared" si="24"/>
        <v>184</v>
      </c>
      <c r="S231" s="157"/>
      <c r="T231" s="157"/>
      <c r="U231" s="157"/>
      <c r="V231" s="157"/>
      <c r="W231" s="157"/>
      <c r="X231" s="163">
        <f t="shared" si="21"/>
        <v>0</v>
      </c>
      <c r="Y231" s="235">
        <f t="shared" si="22"/>
        <v>184</v>
      </c>
      <c r="Z231" s="326">
        <f>-184</f>
        <v>-184</v>
      </c>
      <c r="AA231" s="350"/>
    </row>
    <row r="232" spans="1:27" ht="24" customHeight="1" x14ac:dyDescent="0.2">
      <c r="A232" s="82">
        <v>84</v>
      </c>
      <c r="B232" s="491" t="s">
        <v>497</v>
      </c>
      <c r="C232" s="41" t="s">
        <v>498</v>
      </c>
      <c r="D232" s="157"/>
      <c r="E232" s="157"/>
      <c r="F232" s="157">
        <f>39933</f>
        <v>39933</v>
      </c>
      <c r="G232" s="157"/>
      <c r="H232" s="157"/>
      <c r="I232" s="157"/>
      <c r="J232" s="157"/>
      <c r="K232" s="157"/>
      <c r="L232" s="157">
        <f>-39933</f>
        <v>-39933</v>
      </c>
      <c r="M232" s="157"/>
      <c r="N232" s="157"/>
      <c r="O232" s="157"/>
      <c r="P232" s="157"/>
      <c r="Q232" s="157"/>
      <c r="R232" s="157">
        <f t="shared" si="24"/>
        <v>0</v>
      </c>
      <c r="S232" s="157"/>
      <c r="T232" s="157"/>
      <c r="U232" s="157"/>
      <c r="V232" s="157"/>
      <c r="W232" s="157"/>
      <c r="X232" s="163">
        <f t="shared" ref="X232:X271" si="29">SUM(T232:W232)</f>
        <v>0</v>
      </c>
      <c r="Y232" s="235">
        <f t="shared" ref="Y232:Y271" si="30">R232+X232</f>
        <v>0</v>
      </c>
      <c r="Z232" s="326"/>
      <c r="AA232" s="350"/>
    </row>
    <row r="233" spans="1:27" ht="24" customHeight="1" x14ac:dyDescent="0.2">
      <c r="A233" s="40">
        <v>85</v>
      </c>
      <c r="B233" s="617" t="s">
        <v>500</v>
      </c>
      <c r="C233" s="41" t="s">
        <v>235</v>
      </c>
      <c r="D233" s="157"/>
      <c r="E233" s="157"/>
      <c r="F233" s="157">
        <f>189</f>
        <v>189</v>
      </c>
      <c r="G233" s="157"/>
      <c r="H233" s="157"/>
      <c r="I233" s="157"/>
      <c r="J233" s="157"/>
      <c r="K233" s="157">
        <f>700</f>
        <v>700</v>
      </c>
      <c r="L233" s="157"/>
      <c r="M233" s="157"/>
      <c r="N233" s="157"/>
      <c r="O233" s="157"/>
      <c r="P233" s="157"/>
      <c r="Q233" s="157"/>
      <c r="R233" s="157">
        <f t="shared" si="24"/>
        <v>889</v>
      </c>
      <c r="S233" s="157"/>
      <c r="T233" s="157"/>
      <c r="U233" s="157"/>
      <c r="V233" s="157"/>
      <c r="W233" s="157"/>
      <c r="X233" s="163">
        <f t="shared" si="29"/>
        <v>0</v>
      </c>
      <c r="Y233" s="235">
        <f t="shared" si="30"/>
        <v>889</v>
      </c>
      <c r="Z233" s="326"/>
      <c r="AA233" s="350"/>
    </row>
    <row r="234" spans="1:27" ht="24" customHeight="1" x14ac:dyDescent="0.2">
      <c r="A234" s="82">
        <v>86</v>
      </c>
      <c r="B234" s="617" t="s">
        <v>501</v>
      </c>
      <c r="C234" s="41" t="s">
        <v>502</v>
      </c>
      <c r="D234" s="157"/>
      <c r="E234" s="157"/>
      <c r="F234" s="157">
        <f>38</f>
        <v>38</v>
      </c>
      <c r="G234" s="157"/>
      <c r="H234" s="157"/>
      <c r="I234" s="157"/>
      <c r="J234" s="157"/>
      <c r="K234" s="157"/>
      <c r="L234" s="157">
        <f>-30-8</f>
        <v>-38</v>
      </c>
      <c r="M234" s="157"/>
      <c r="N234" s="157"/>
      <c r="O234" s="157"/>
      <c r="P234" s="157"/>
      <c r="Q234" s="157"/>
      <c r="R234" s="157">
        <f t="shared" si="24"/>
        <v>0</v>
      </c>
      <c r="S234" s="157"/>
      <c r="T234" s="157"/>
      <c r="U234" s="157"/>
      <c r="V234" s="157"/>
      <c r="W234" s="157"/>
      <c r="X234" s="163">
        <f t="shared" si="29"/>
        <v>0</v>
      </c>
      <c r="Y234" s="235">
        <f t="shared" si="30"/>
        <v>0</v>
      </c>
      <c r="Z234" s="326"/>
      <c r="AA234" s="350"/>
    </row>
    <row r="235" spans="1:27" ht="24" customHeight="1" x14ac:dyDescent="0.2">
      <c r="A235" s="40">
        <v>87</v>
      </c>
      <c r="B235" s="617" t="s">
        <v>503</v>
      </c>
      <c r="C235" s="41" t="s">
        <v>504</v>
      </c>
      <c r="D235" s="157"/>
      <c r="E235" s="157"/>
      <c r="F235" s="157">
        <f>-180-49</f>
        <v>-229</v>
      </c>
      <c r="G235" s="157"/>
      <c r="H235" s="157"/>
      <c r="I235" s="157"/>
      <c r="J235" s="157"/>
      <c r="K235" s="157"/>
      <c r="L235" s="157">
        <f>180+49</f>
        <v>229</v>
      </c>
      <c r="M235" s="157"/>
      <c r="N235" s="157"/>
      <c r="O235" s="157"/>
      <c r="P235" s="157"/>
      <c r="Q235" s="157"/>
      <c r="R235" s="157">
        <f t="shared" si="24"/>
        <v>0</v>
      </c>
      <c r="S235" s="157"/>
      <c r="T235" s="157"/>
      <c r="U235" s="157"/>
      <c r="V235" s="157"/>
      <c r="W235" s="157"/>
      <c r="X235" s="163">
        <f t="shared" si="29"/>
        <v>0</v>
      </c>
      <c r="Y235" s="235">
        <f t="shared" si="30"/>
        <v>0</v>
      </c>
      <c r="Z235" s="326"/>
      <c r="AA235" s="350"/>
    </row>
    <row r="236" spans="1:27" ht="24" customHeight="1" x14ac:dyDescent="0.2">
      <c r="A236" s="82">
        <v>88</v>
      </c>
      <c r="B236" s="617" t="s">
        <v>505</v>
      </c>
      <c r="C236" s="41" t="s">
        <v>235</v>
      </c>
      <c r="D236" s="157"/>
      <c r="E236" s="157"/>
      <c r="F236" s="157">
        <f>189</f>
        <v>189</v>
      </c>
      <c r="G236" s="157"/>
      <c r="H236" s="157"/>
      <c r="I236" s="157"/>
      <c r="J236" s="157"/>
      <c r="K236" s="157">
        <f>700</f>
        <v>700</v>
      </c>
      <c r="L236" s="157"/>
      <c r="M236" s="157"/>
      <c r="N236" s="157"/>
      <c r="O236" s="157"/>
      <c r="P236" s="157"/>
      <c r="Q236" s="157"/>
      <c r="R236" s="157">
        <f t="shared" si="24"/>
        <v>889</v>
      </c>
      <c r="S236" s="157"/>
      <c r="T236" s="157"/>
      <c r="U236" s="157"/>
      <c r="V236" s="157"/>
      <c r="W236" s="157"/>
      <c r="X236" s="163">
        <f t="shared" si="29"/>
        <v>0</v>
      </c>
      <c r="Y236" s="235">
        <f t="shared" si="30"/>
        <v>889</v>
      </c>
      <c r="Z236" s="326"/>
      <c r="AA236" s="350"/>
    </row>
    <row r="237" spans="1:27" ht="24" customHeight="1" x14ac:dyDescent="0.2">
      <c r="A237" s="40">
        <v>89</v>
      </c>
      <c r="B237" s="617" t="s">
        <v>506</v>
      </c>
      <c r="C237" s="41" t="s">
        <v>510</v>
      </c>
      <c r="D237" s="157"/>
      <c r="E237" s="157"/>
      <c r="F237" s="157"/>
      <c r="G237" s="157"/>
      <c r="H237" s="157"/>
      <c r="I237" s="157"/>
      <c r="J237" s="157"/>
      <c r="K237" s="157">
        <f>-11400</f>
        <v>-11400</v>
      </c>
      <c r="L237" s="157"/>
      <c r="M237" s="157"/>
      <c r="N237" s="157"/>
      <c r="O237" s="157"/>
      <c r="P237" s="157"/>
      <c r="Q237" s="157"/>
      <c r="R237" s="157">
        <f t="shared" si="24"/>
        <v>-11400</v>
      </c>
      <c r="S237" s="157"/>
      <c r="T237" s="157"/>
      <c r="U237" s="157"/>
      <c r="V237" s="157"/>
      <c r="W237" s="157"/>
      <c r="X237" s="163">
        <f t="shared" si="29"/>
        <v>0</v>
      </c>
      <c r="Y237" s="235">
        <f t="shared" si="30"/>
        <v>-11400</v>
      </c>
      <c r="Z237" s="326">
        <v>11400</v>
      </c>
      <c r="AA237" s="350"/>
    </row>
    <row r="238" spans="1:27" ht="24" customHeight="1" x14ac:dyDescent="0.2">
      <c r="A238" s="82">
        <v>90</v>
      </c>
      <c r="B238" s="617" t="s">
        <v>508</v>
      </c>
      <c r="C238" s="41" t="s">
        <v>507</v>
      </c>
      <c r="D238" s="157"/>
      <c r="E238" s="157"/>
      <c r="F238" s="157">
        <f>-1100-297+297</f>
        <v>-1100</v>
      </c>
      <c r="G238" s="157"/>
      <c r="H238" s="157"/>
      <c r="I238" s="157"/>
      <c r="J238" s="157"/>
      <c r="K238" s="157"/>
      <c r="L238" s="157">
        <f>1100</f>
        <v>1100</v>
      </c>
      <c r="M238" s="157"/>
      <c r="N238" s="157"/>
      <c r="O238" s="157"/>
      <c r="P238" s="157"/>
      <c r="Q238" s="157"/>
      <c r="R238" s="157">
        <f t="shared" si="24"/>
        <v>0</v>
      </c>
      <c r="S238" s="157"/>
      <c r="T238" s="157"/>
      <c r="U238" s="157"/>
      <c r="V238" s="157"/>
      <c r="W238" s="157"/>
      <c r="X238" s="163">
        <f t="shared" si="29"/>
        <v>0</v>
      </c>
      <c r="Y238" s="235">
        <f t="shared" si="30"/>
        <v>0</v>
      </c>
      <c r="Z238" s="326"/>
      <c r="AA238" s="350"/>
    </row>
    <row r="239" spans="1:27" ht="24" customHeight="1" x14ac:dyDescent="0.2">
      <c r="A239" s="40">
        <v>91</v>
      </c>
      <c r="B239" s="491" t="s">
        <v>509</v>
      </c>
      <c r="C239" s="41" t="s">
        <v>499</v>
      </c>
      <c r="D239" s="157"/>
      <c r="E239" s="157"/>
      <c r="F239" s="157"/>
      <c r="G239" s="157"/>
      <c r="H239" s="157"/>
      <c r="I239" s="157"/>
      <c r="J239" s="157"/>
      <c r="K239" s="157">
        <v>50362.409</v>
      </c>
      <c r="L239" s="157"/>
      <c r="M239" s="157"/>
      <c r="N239" s="157"/>
      <c r="O239" s="157"/>
      <c r="P239" s="157"/>
      <c r="Q239" s="157"/>
      <c r="R239" s="157">
        <f t="shared" si="24"/>
        <v>50362.409</v>
      </c>
      <c r="S239" s="157"/>
      <c r="T239" s="157"/>
      <c r="U239" s="157"/>
      <c r="V239" s="157"/>
      <c r="W239" s="157"/>
      <c r="X239" s="163">
        <f t="shared" si="29"/>
        <v>0</v>
      </c>
      <c r="Y239" s="235">
        <f t="shared" si="30"/>
        <v>50362.409</v>
      </c>
      <c r="Z239" s="326"/>
      <c r="AA239" s="350"/>
    </row>
    <row r="240" spans="1:27" ht="24" customHeight="1" x14ac:dyDescent="0.2">
      <c r="A240" s="82">
        <v>92</v>
      </c>
      <c r="B240" s="617" t="s">
        <v>511</v>
      </c>
      <c r="C240" s="41" t="s">
        <v>515</v>
      </c>
      <c r="D240" s="157"/>
      <c r="E240" s="157"/>
      <c r="F240" s="157"/>
      <c r="G240" s="157"/>
      <c r="H240" s="157"/>
      <c r="I240" s="157"/>
      <c r="J240" s="157"/>
      <c r="K240" s="157">
        <f>-8699</f>
        <v>-8699</v>
      </c>
      <c r="L240" s="157"/>
      <c r="M240" s="157"/>
      <c r="N240" s="157"/>
      <c r="O240" s="157"/>
      <c r="P240" s="157"/>
      <c r="Q240" s="157"/>
      <c r="R240" s="157">
        <f t="shared" si="24"/>
        <v>-8699</v>
      </c>
      <c r="S240" s="157"/>
      <c r="T240" s="157"/>
      <c r="U240" s="157"/>
      <c r="V240" s="157"/>
      <c r="W240" s="157"/>
      <c r="X240" s="163">
        <f t="shared" si="29"/>
        <v>0</v>
      </c>
      <c r="Y240" s="235">
        <f t="shared" si="30"/>
        <v>-8699</v>
      </c>
      <c r="Z240" s="326">
        <f>8699</f>
        <v>8699</v>
      </c>
      <c r="AA240" s="350"/>
    </row>
    <row r="241" spans="1:27" ht="24" customHeight="1" x14ac:dyDescent="0.2">
      <c r="A241" s="40">
        <v>93</v>
      </c>
      <c r="B241" s="617" t="s">
        <v>512</v>
      </c>
      <c r="C241" s="41" t="s">
        <v>516</v>
      </c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>
        <f t="shared" si="24"/>
        <v>0</v>
      </c>
      <c r="S241" s="157"/>
      <c r="T241" s="157"/>
      <c r="U241" s="157"/>
      <c r="V241" s="157"/>
      <c r="W241" s="157"/>
      <c r="X241" s="163">
        <f t="shared" si="29"/>
        <v>0</v>
      </c>
      <c r="Y241" s="235">
        <f t="shared" si="30"/>
        <v>0</v>
      </c>
      <c r="Z241" s="326">
        <f>23836.363</f>
        <v>23836.363000000001</v>
      </c>
      <c r="AA241" s="350"/>
    </row>
    <row r="242" spans="1:27" ht="24" customHeight="1" x14ac:dyDescent="0.2">
      <c r="A242" s="82">
        <v>94</v>
      </c>
      <c r="B242" s="617" t="s">
        <v>513</v>
      </c>
      <c r="C242" s="41" t="s">
        <v>517</v>
      </c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>
        <f t="shared" si="24"/>
        <v>0</v>
      </c>
      <c r="S242" s="157"/>
      <c r="T242" s="157"/>
      <c r="U242" s="157"/>
      <c r="V242" s="157"/>
      <c r="W242" s="157"/>
      <c r="X242" s="163">
        <f t="shared" si="29"/>
        <v>0</v>
      </c>
      <c r="Y242" s="235">
        <f>R242+X242</f>
        <v>0</v>
      </c>
      <c r="Z242" s="326">
        <f>7256.141</f>
        <v>7256.1409999999996</v>
      </c>
      <c r="AA242" s="350"/>
    </row>
    <row r="243" spans="1:27" ht="24" customHeight="1" x14ac:dyDescent="0.2">
      <c r="A243" s="40">
        <v>95</v>
      </c>
      <c r="B243" s="617" t="s">
        <v>514</v>
      </c>
      <c r="C243" s="41" t="s">
        <v>518</v>
      </c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>
        <f t="shared" si="24"/>
        <v>0</v>
      </c>
      <c r="S243" s="157"/>
      <c r="T243" s="157"/>
      <c r="U243" s="157"/>
      <c r="V243" s="157"/>
      <c r="W243" s="157"/>
      <c r="X243" s="163">
        <f t="shared" si="29"/>
        <v>0</v>
      </c>
      <c r="Y243" s="235">
        <f>R243+X243</f>
        <v>0</v>
      </c>
      <c r="Z243" s="326">
        <f>4815.096</f>
        <v>4815.0959999999995</v>
      </c>
      <c r="AA243" s="350"/>
    </row>
    <row r="244" spans="1:27" ht="24" customHeight="1" x14ac:dyDescent="0.2">
      <c r="A244" s="82">
        <v>96</v>
      </c>
      <c r="B244" s="617" t="s">
        <v>514</v>
      </c>
      <c r="C244" s="41" t="s">
        <v>519</v>
      </c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>
        <f t="shared" si="24"/>
        <v>0</v>
      </c>
      <c r="S244" s="157"/>
      <c r="T244" s="157"/>
      <c r="U244" s="157"/>
      <c r="V244" s="157"/>
      <c r="W244" s="157"/>
      <c r="X244" s="163">
        <f t="shared" si="29"/>
        <v>0</v>
      </c>
      <c r="Y244" s="235">
        <f t="shared" si="30"/>
        <v>0</v>
      </c>
      <c r="Z244" s="326">
        <f>4689.314</f>
        <v>4689.3140000000003</v>
      </c>
      <c r="AA244" s="350"/>
    </row>
    <row r="245" spans="1:27" ht="24" customHeight="1" x14ac:dyDescent="0.2">
      <c r="A245" s="40">
        <v>97</v>
      </c>
      <c r="B245" s="491" t="s">
        <v>514</v>
      </c>
      <c r="C245" s="41" t="s">
        <v>520</v>
      </c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>
        <f t="shared" si="24"/>
        <v>0</v>
      </c>
      <c r="S245" s="157"/>
      <c r="T245" s="157"/>
      <c r="U245" s="157"/>
      <c r="V245" s="157"/>
      <c r="W245" s="157"/>
      <c r="X245" s="163">
        <f t="shared" si="29"/>
        <v>0</v>
      </c>
      <c r="Y245" s="235">
        <f t="shared" si="30"/>
        <v>0</v>
      </c>
      <c r="Z245" s="326">
        <f>1811.944</f>
        <v>1811.944</v>
      </c>
      <c r="AA245" s="350"/>
    </row>
    <row r="246" spans="1:27" ht="24" customHeight="1" x14ac:dyDescent="0.2">
      <c r="A246" s="82">
        <v>98</v>
      </c>
      <c r="B246" s="634" t="s">
        <v>523</v>
      </c>
      <c r="C246" s="41" t="s">
        <v>524</v>
      </c>
      <c r="D246" s="157"/>
      <c r="E246" s="157"/>
      <c r="F246" s="157"/>
      <c r="G246" s="157"/>
      <c r="H246" s="157"/>
      <c r="I246" s="157"/>
      <c r="J246" s="157"/>
      <c r="K246" s="157">
        <f>-8136.6</f>
        <v>-8136.6</v>
      </c>
      <c r="L246" s="157"/>
      <c r="M246" s="157"/>
      <c r="N246" s="157"/>
      <c r="O246" s="157"/>
      <c r="P246" s="157"/>
      <c r="Q246" s="157"/>
      <c r="R246" s="157">
        <f t="shared" si="24"/>
        <v>-8136.6</v>
      </c>
      <c r="S246" s="157"/>
      <c r="T246" s="157"/>
      <c r="U246" s="157"/>
      <c r="V246" s="157"/>
      <c r="W246" s="157"/>
      <c r="X246" s="163">
        <f t="shared" si="29"/>
        <v>0</v>
      </c>
      <c r="Y246" s="235">
        <f t="shared" si="30"/>
        <v>-8136.6</v>
      </c>
      <c r="Z246" s="326">
        <f>8136.6</f>
        <v>8136.6</v>
      </c>
      <c r="AA246" s="350"/>
    </row>
    <row r="247" spans="1:27" ht="24" customHeight="1" x14ac:dyDescent="0.2">
      <c r="A247" s="40">
        <v>99</v>
      </c>
      <c r="B247" s="617" t="s">
        <v>529</v>
      </c>
      <c r="C247" s="41" t="s">
        <v>235</v>
      </c>
      <c r="D247" s="157"/>
      <c r="E247" s="157"/>
      <c r="F247" s="157">
        <f>378</f>
        <v>378</v>
      </c>
      <c r="G247" s="157"/>
      <c r="H247" s="157"/>
      <c r="I247" s="157"/>
      <c r="J247" s="157"/>
      <c r="K247" s="157">
        <f>1400</f>
        <v>1400</v>
      </c>
      <c r="L247" s="157"/>
      <c r="M247" s="157"/>
      <c r="N247" s="157"/>
      <c r="O247" s="157"/>
      <c r="P247" s="157"/>
      <c r="Q247" s="157"/>
      <c r="R247" s="157">
        <f t="shared" si="24"/>
        <v>1778</v>
      </c>
      <c r="S247" s="157"/>
      <c r="T247" s="157"/>
      <c r="U247" s="157"/>
      <c r="V247" s="157"/>
      <c r="W247" s="157"/>
      <c r="X247" s="163">
        <f t="shared" si="29"/>
        <v>0</v>
      </c>
      <c r="Y247" s="235">
        <f t="shared" si="30"/>
        <v>1778</v>
      </c>
      <c r="Z247" s="326"/>
      <c r="AA247" s="350"/>
    </row>
    <row r="248" spans="1:27" ht="24" customHeight="1" x14ac:dyDescent="0.2">
      <c r="A248" s="82">
        <v>100</v>
      </c>
      <c r="B248" s="617" t="s">
        <v>530</v>
      </c>
      <c r="C248" s="41" t="s">
        <v>531</v>
      </c>
      <c r="D248" s="157"/>
      <c r="E248" s="157"/>
      <c r="F248" s="157"/>
      <c r="G248" s="157"/>
      <c r="H248" s="157"/>
      <c r="I248" s="157"/>
      <c r="J248" s="157"/>
      <c r="K248" s="157">
        <f>-5588</f>
        <v>-5588</v>
      </c>
      <c r="L248" s="157">
        <f>4000+1080+400+108</f>
        <v>5588</v>
      </c>
      <c r="M248" s="157"/>
      <c r="N248" s="157"/>
      <c r="O248" s="157"/>
      <c r="P248" s="157"/>
      <c r="Q248" s="157"/>
      <c r="R248" s="157">
        <f t="shared" si="24"/>
        <v>0</v>
      </c>
      <c r="S248" s="157"/>
      <c r="T248" s="157"/>
      <c r="U248" s="157"/>
      <c r="V248" s="157"/>
      <c r="W248" s="157"/>
      <c r="X248" s="163">
        <f t="shared" si="29"/>
        <v>0</v>
      </c>
      <c r="Y248" s="235">
        <f t="shared" si="30"/>
        <v>0</v>
      </c>
      <c r="Z248" s="326"/>
      <c r="AA248" s="350"/>
    </row>
    <row r="249" spans="1:27" ht="24" customHeight="1" x14ac:dyDescent="0.2">
      <c r="A249" s="40">
        <v>101</v>
      </c>
      <c r="B249" s="617" t="s">
        <v>532</v>
      </c>
      <c r="C249" s="41" t="s">
        <v>311</v>
      </c>
      <c r="D249" s="157"/>
      <c r="E249" s="157"/>
      <c r="F249" s="157"/>
      <c r="G249" s="157"/>
      <c r="H249" s="157"/>
      <c r="I249" s="157"/>
      <c r="J249" s="157">
        <f>270</f>
        <v>270</v>
      </c>
      <c r="K249" s="157">
        <f>-270</f>
        <v>-270</v>
      </c>
      <c r="L249" s="157"/>
      <c r="M249" s="157"/>
      <c r="N249" s="157"/>
      <c r="O249" s="157"/>
      <c r="P249" s="157"/>
      <c r="Q249" s="157"/>
      <c r="R249" s="157">
        <f t="shared" si="24"/>
        <v>0</v>
      </c>
      <c r="S249" s="157"/>
      <c r="T249" s="157"/>
      <c r="U249" s="157"/>
      <c r="V249" s="157"/>
      <c r="W249" s="157"/>
      <c r="X249" s="163">
        <f t="shared" si="29"/>
        <v>0</v>
      </c>
      <c r="Y249" s="235">
        <f t="shared" si="30"/>
        <v>0</v>
      </c>
      <c r="Z249" s="326"/>
      <c r="AA249" s="350"/>
    </row>
    <row r="250" spans="1:27" ht="24" customHeight="1" x14ac:dyDescent="0.2">
      <c r="A250" s="82">
        <v>102</v>
      </c>
      <c r="B250" s="617" t="s">
        <v>533</v>
      </c>
      <c r="C250" s="41" t="s">
        <v>534</v>
      </c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>
        <f t="shared" si="24"/>
        <v>0</v>
      </c>
      <c r="S250" s="157"/>
      <c r="T250" s="157"/>
      <c r="U250" s="157"/>
      <c r="V250" s="157"/>
      <c r="W250" s="157"/>
      <c r="X250" s="163">
        <f t="shared" si="29"/>
        <v>0</v>
      </c>
      <c r="Y250" s="235">
        <f t="shared" si="30"/>
        <v>0</v>
      </c>
      <c r="Z250" s="326">
        <f>1500</f>
        <v>1500</v>
      </c>
      <c r="AA250" s="350"/>
    </row>
    <row r="251" spans="1:27" ht="24" customHeight="1" x14ac:dyDescent="0.2">
      <c r="A251" s="40">
        <v>103</v>
      </c>
      <c r="B251" s="617" t="s">
        <v>536</v>
      </c>
      <c r="C251" s="41" t="s">
        <v>311</v>
      </c>
      <c r="D251" s="157"/>
      <c r="E251" s="157"/>
      <c r="F251" s="157"/>
      <c r="G251" s="157"/>
      <c r="H251" s="157"/>
      <c r="I251" s="157"/>
      <c r="J251" s="157">
        <f>100</f>
        <v>100</v>
      </c>
      <c r="K251" s="157">
        <f>-100</f>
        <v>-100</v>
      </c>
      <c r="L251" s="157"/>
      <c r="M251" s="157"/>
      <c r="N251" s="157"/>
      <c r="O251" s="157"/>
      <c r="P251" s="157"/>
      <c r="Q251" s="157"/>
      <c r="R251" s="157">
        <f t="shared" si="24"/>
        <v>0</v>
      </c>
      <c r="S251" s="157"/>
      <c r="T251" s="157"/>
      <c r="U251" s="157"/>
      <c r="V251" s="157"/>
      <c r="W251" s="157"/>
      <c r="X251" s="163">
        <f t="shared" si="29"/>
        <v>0</v>
      </c>
      <c r="Y251" s="235">
        <f t="shared" si="30"/>
        <v>0</v>
      </c>
      <c r="Z251" s="326"/>
      <c r="AA251" s="350"/>
    </row>
    <row r="252" spans="1:27" ht="24" customHeight="1" x14ac:dyDescent="0.2">
      <c r="A252" s="82">
        <v>104</v>
      </c>
      <c r="B252" s="617" t="s">
        <v>537</v>
      </c>
      <c r="C252" s="41" t="s">
        <v>538</v>
      </c>
      <c r="D252" s="157"/>
      <c r="E252" s="157"/>
      <c r="F252" s="157">
        <f>127+34</f>
        <v>161</v>
      </c>
      <c r="G252" s="157"/>
      <c r="H252" s="157"/>
      <c r="I252" s="157"/>
      <c r="J252" s="157"/>
      <c r="K252" s="157"/>
      <c r="L252" s="157">
        <f>-127-34</f>
        <v>-161</v>
      </c>
      <c r="M252" s="157"/>
      <c r="N252" s="157"/>
      <c r="O252" s="157"/>
      <c r="P252" s="157"/>
      <c r="Q252" s="157"/>
      <c r="R252" s="157">
        <f t="shared" si="24"/>
        <v>0</v>
      </c>
      <c r="S252" s="157"/>
      <c r="T252" s="157"/>
      <c r="U252" s="157"/>
      <c r="V252" s="157"/>
      <c r="W252" s="157"/>
      <c r="X252" s="163">
        <f t="shared" si="29"/>
        <v>0</v>
      </c>
      <c r="Y252" s="235">
        <f t="shared" si="30"/>
        <v>0</v>
      </c>
      <c r="Z252" s="326"/>
      <c r="AA252" s="350"/>
    </row>
    <row r="253" spans="1:27" ht="24" customHeight="1" x14ac:dyDescent="0.2">
      <c r="A253" s="40">
        <v>105</v>
      </c>
      <c r="B253" s="617" t="s">
        <v>539</v>
      </c>
      <c r="C253" s="41" t="s">
        <v>540</v>
      </c>
      <c r="D253" s="157"/>
      <c r="E253" s="157"/>
      <c r="F253" s="157">
        <f>43.5+11.745</f>
        <v>55.244999999999997</v>
      </c>
      <c r="G253" s="157"/>
      <c r="H253" s="157"/>
      <c r="I253" s="157"/>
      <c r="J253" s="157">
        <f>-55.245</f>
        <v>-55.244999999999997</v>
      </c>
      <c r="K253" s="157"/>
      <c r="L253" s="157"/>
      <c r="M253" s="157"/>
      <c r="N253" s="157"/>
      <c r="O253" s="157"/>
      <c r="P253" s="157"/>
      <c r="Q253" s="157"/>
      <c r="R253" s="157">
        <f t="shared" si="24"/>
        <v>0</v>
      </c>
      <c r="S253" s="157"/>
      <c r="T253" s="157"/>
      <c r="U253" s="157"/>
      <c r="V253" s="157"/>
      <c r="W253" s="157"/>
      <c r="X253" s="163">
        <f t="shared" si="29"/>
        <v>0</v>
      </c>
      <c r="Y253" s="235">
        <f t="shared" si="30"/>
        <v>0</v>
      </c>
      <c r="Z253" s="326"/>
      <c r="AA253" s="350"/>
    </row>
    <row r="254" spans="1:27" ht="24" customHeight="1" x14ac:dyDescent="0.2">
      <c r="A254" s="82">
        <v>106</v>
      </c>
      <c r="B254" s="617" t="s">
        <v>525</v>
      </c>
      <c r="C254" s="41" t="s">
        <v>526</v>
      </c>
      <c r="D254" s="157">
        <f>-675</f>
        <v>-675</v>
      </c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>
        <f>SUM(D254:Q254)</f>
        <v>-675</v>
      </c>
      <c r="S254" s="157"/>
      <c r="T254" s="157"/>
      <c r="U254" s="157"/>
      <c r="V254" s="157"/>
      <c r="W254" s="157"/>
      <c r="X254" s="163">
        <f t="shared" si="29"/>
        <v>0</v>
      </c>
      <c r="Y254" s="235">
        <f t="shared" si="30"/>
        <v>-675</v>
      </c>
      <c r="Z254" s="326">
        <f>675</f>
        <v>675</v>
      </c>
      <c r="AA254" s="350"/>
    </row>
    <row r="255" spans="1:27" ht="24" customHeight="1" x14ac:dyDescent="0.2">
      <c r="A255" s="40">
        <v>107</v>
      </c>
      <c r="B255" s="617" t="s">
        <v>541</v>
      </c>
      <c r="C255" s="41" t="s">
        <v>235</v>
      </c>
      <c r="D255" s="157"/>
      <c r="E255" s="157"/>
      <c r="F255" s="157">
        <f>189</f>
        <v>189</v>
      </c>
      <c r="G255" s="157"/>
      <c r="H255" s="157"/>
      <c r="I255" s="157"/>
      <c r="J255" s="157"/>
      <c r="K255" s="157">
        <f>700</f>
        <v>700</v>
      </c>
      <c r="L255" s="157"/>
      <c r="M255" s="157"/>
      <c r="N255" s="157"/>
      <c r="O255" s="157"/>
      <c r="P255" s="157"/>
      <c r="Q255" s="157"/>
      <c r="R255" s="157">
        <f t="shared" si="24"/>
        <v>889</v>
      </c>
      <c r="S255" s="157"/>
      <c r="T255" s="157"/>
      <c r="U255" s="157"/>
      <c r="V255" s="157"/>
      <c r="W255" s="157"/>
      <c r="X255" s="163">
        <f t="shared" si="29"/>
        <v>0</v>
      </c>
      <c r="Y255" s="235">
        <f t="shared" si="30"/>
        <v>889</v>
      </c>
      <c r="Z255" s="326"/>
      <c r="AA255" s="350"/>
    </row>
    <row r="256" spans="1:27" ht="24" customHeight="1" x14ac:dyDescent="0.2">
      <c r="A256" s="82">
        <v>108</v>
      </c>
      <c r="B256" s="617" t="s">
        <v>542</v>
      </c>
      <c r="C256" s="41" t="s">
        <v>543</v>
      </c>
      <c r="D256" s="157"/>
      <c r="E256" s="157"/>
      <c r="F256" s="157"/>
      <c r="G256" s="157"/>
      <c r="H256" s="157"/>
      <c r="I256" s="157"/>
      <c r="J256" s="157"/>
      <c r="K256" s="157">
        <f>-5000</f>
        <v>-5000</v>
      </c>
      <c r="L256" s="157"/>
      <c r="M256" s="157"/>
      <c r="N256" s="157"/>
      <c r="O256" s="157"/>
      <c r="P256" s="157"/>
      <c r="Q256" s="157"/>
      <c r="R256" s="157">
        <f t="shared" si="24"/>
        <v>-5000</v>
      </c>
      <c r="S256" s="157"/>
      <c r="T256" s="157"/>
      <c r="U256" s="157"/>
      <c r="V256" s="157"/>
      <c r="W256" s="157"/>
      <c r="X256" s="163">
        <f t="shared" si="29"/>
        <v>0</v>
      </c>
      <c r="Y256" s="235">
        <f t="shared" si="30"/>
        <v>-5000</v>
      </c>
      <c r="Z256" s="326">
        <f>5000</f>
        <v>5000</v>
      </c>
      <c r="AA256" s="350"/>
    </row>
    <row r="257" spans="1:27" ht="24" customHeight="1" x14ac:dyDescent="0.2">
      <c r="A257" s="40">
        <v>109</v>
      </c>
      <c r="B257" s="617" t="s">
        <v>546</v>
      </c>
      <c r="C257" s="41" t="s">
        <v>338</v>
      </c>
      <c r="D257" s="157">
        <f>-1027</f>
        <v>-1027</v>
      </c>
      <c r="E257" s="157">
        <f>-226</f>
        <v>-226</v>
      </c>
      <c r="F257" s="157">
        <f>1195+58</f>
        <v>1253</v>
      </c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>
        <f t="shared" si="24"/>
        <v>0</v>
      </c>
      <c r="S257" s="157"/>
      <c r="T257" s="157"/>
      <c r="U257" s="157"/>
      <c r="V257" s="157"/>
      <c r="W257" s="157"/>
      <c r="X257" s="163">
        <f t="shared" si="29"/>
        <v>0</v>
      </c>
      <c r="Y257" s="235">
        <f t="shared" si="30"/>
        <v>0</v>
      </c>
      <c r="Z257" s="326"/>
      <c r="AA257" s="350"/>
    </row>
    <row r="258" spans="1:27" ht="24" customHeight="1" x14ac:dyDescent="0.2">
      <c r="A258" s="82">
        <v>110</v>
      </c>
      <c r="B258" s="617" t="s">
        <v>547</v>
      </c>
      <c r="C258" s="41" t="s">
        <v>548</v>
      </c>
      <c r="D258" s="157"/>
      <c r="E258" s="157"/>
      <c r="F258" s="157">
        <f>263</f>
        <v>263</v>
      </c>
      <c r="G258" s="157"/>
      <c r="H258" s="157"/>
      <c r="I258" s="157"/>
      <c r="J258" s="157"/>
      <c r="K258" s="157"/>
      <c r="L258" s="157">
        <f>-207-56</f>
        <v>-263</v>
      </c>
      <c r="M258" s="157"/>
      <c r="N258" s="157"/>
      <c r="O258" s="157"/>
      <c r="P258" s="157"/>
      <c r="Q258" s="157"/>
      <c r="R258" s="157">
        <f t="shared" si="24"/>
        <v>0</v>
      </c>
      <c r="S258" s="157"/>
      <c r="T258" s="157"/>
      <c r="U258" s="157"/>
      <c r="V258" s="157"/>
      <c r="W258" s="157"/>
      <c r="X258" s="163">
        <f t="shared" si="29"/>
        <v>0</v>
      </c>
      <c r="Y258" s="235">
        <f t="shared" si="30"/>
        <v>0</v>
      </c>
      <c r="Z258" s="326"/>
      <c r="AA258" s="350"/>
    </row>
    <row r="259" spans="1:27" ht="24" customHeight="1" x14ac:dyDescent="0.2">
      <c r="A259" s="40">
        <v>111</v>
      </c>
      <c r="B259" s="617" t="s">
        <v>551</v>
      </c>
      <c r="C259" s="41" t="s">
        <v>552</v>
      </c>
      <c r="D259" s="157"/>
      <c r="E259" s="157"/>
      <c r="F259" s="157">
        <f>496</f>
        <v>496</v>
      </c>
      <c r="G259" s="157"/>
      <c r="H259" s="157"/>
      <c r="I259" s="157"/>
      <c r="J259" s="157"/>
      <c r="K259" s="157"/>
      <c r="L259" s="157">
        <f>-391-105</f>
        <v>-496</v>
      </c>
      <c r="M259" s="157"/>
      <c r="N259" s="157"/>
      <c r="O259" s="157"/>
      <c r="P259" s="157"/>
      <c r="Q259" s="157"/>
      <c r="R259" s="157">
        <f t="shared" si="24"/>
        <v>0</v>
      </c>
      <c r="S259" s="157"/>
      <c r="T259" s="157"/>
      <c r="U259" s="157"/>
      <c r="V259" s="157"/>
      <c r="W259" s="157"/>
      <c r="X259" s="163">
        <f t="shared" ref="X259" si="31">SUM(T259:W259)</f>
        <v>0</v>
      </c>
      <c r="Y259" s="235">
        <f t="shared" ref="Y259" si="32">R259+X259</f>
        <v>0</v>
      </c>
      <c r="Z259" s="326"/>
      <c r="AA259" s="350"/>
    </row>
    <row r="260" spans="1:27" ht="24" customHeight="1" x14ac:dyDescent="0.2">
      <c r="A260" s="82">
        <v>112</v>
      </c>
      <c r="B260" s="491" t="s">
        <v>549</v>
      </c>
      <c r="C260" s="34" t="s">
        <v>550</v>
      </c>
      <c r="D260" s="157"/>
      <c r="E260" s="157"/>
      <c r="F260" s="157"/>
      <c r="G260" s="157"/>
      <c r="H260" s="157"/>
      <c r="I260" s="157"/>
      <c r="J260" s="157"/>
      <c r="K260" s="157"/>
      <c r="L260" s="157">
        <f>650+175</f>
        <v>825</v>
      </c>
      <c r="M260" s="157">
        <f>-649-176</f>
        <v>-825</v>
      </c>
      <c r="N260" s="157"/>
      <c r="O260" s="157"/>
      <c r="P260" s="157"/>
      <c r="Q260" s="157"/>
      <c r="R260" s="157">
        <f t="shared" si="24"/>
        <v>0</v>
      </c>
      <c r="S260" s="157"/>
      <c r="T260" s="157"/>
      <c r="U260" s="157"/>
      <c r="V260" s="157"/>
      <c r="W260" s="157"/>
      <c r="X260" s="163">
        <f t="shared" si="29"/>
        <v>0</v>
      </c>
      <c r="Y260" s="235">
        <f t="shared" si="30"/>
        <v>0</v>
      </c>
      <c r="Z260" s="326"/>
      <c r="AA260" s="350"/>
    </row>
    <row r="261" spans="1:27" ht="24" customHeight="1" x14ac:dyDescent="0.2">
      <c r="A261" s="40">
        <v>113</v>
      </c>
      <c r="B261" s="617" t="s">
        <v>554</v>
      </c>
      <c r="C261" s="41" t="s">
        <v>553</v>
      </c>
      <c r="D261" s="157">
        <f>550</f>
        <v>550</v>
      </c>
      <c r="E261" s="157">
        <f>121</f>
        <v>121</v>
      </c>
      <c r="F261" s="157"/>
      <c r="G261" s="157"/>
      <c r="H261" s="157"/>
      <c r="I261" s="157"/>
      <c r="J261" s="157"/>
      <c r="K261" s="157">
        <f>-671</f>
        <v>-671</v>
      </c>
      <c r="L261" s="157"/>
      <c r="M261" s="157"/>
      <c r="N261" s="157"/>
      <c r="O261" s="157"/>
      <c r="P261" s="157"/>
      <c r="Q261" s="157"/>
      <c r="R261" s="157">
        <f t="shared" si="24"/>
        <v>0</v>
      </c>
      <c r="S261" s="157"/>
      <c r="T261" s="157"/>
      <c r="U261" s="157"/>
      <c r="V261" s="157"/>
      <c r="W261" s="157"/>
      <c r="X261" s="163">
        <f t="shared" si="29"/>
        <v>0</v>
      </c>
      <c r="Y261" s="235">
        <f t="shared" si="30"/>
        <v>0</v>
      </c>
      <c r="Z261" s="326"/>
      <c r="AA261" s="350"/>
    </row>
    <row r="262" spans="1:27" ht="32.25" customHeight="1" x14ac:dyDescent="0.2">
      <c r="A262" s="82">
        <v>114</v>
      </c>
      <c r="B262" s="491" t="s">
        <v>560</v>
      </c>
      <c r="C262" s="41" t="s">
        <v>561</v>
      </c>
      <c r="D262" s="157"/>
      <c r="E262" s="157"/>
      <c r="F262" s="157">
        <f>4321+1167</f>
        <v>5488</v>
      </c>
      <c r="G262" s="157"/>
      <c r="H262" s="157"/>
      <c r="I262" s="157"/>
      <c r="J262" s="157"/>
      <c r="K262" s="157">
        <f>-5488</f>
        <v>-5488</v>
      </c>
      <c r="L262" s="157"/>
      <c r="M262" s="157"/>
      <c r="N262" s="157"/>
      <c r="O262" s="157"/>
      <c r="P262" s="157"/>
      <c r="Q262" s="157"/>
      <c r="R262" s="157">
        <f t="shared" si="24"/>
        <v>0</v>
      </c>
      <c r="S262" s="157"/>
      <c r="T262" s="157"/>
      <c r="U262" s="157"/>
      <c r="V262" s="157"/>
      <c r="W262" s="157"/>
      <c r="X262" s="163">
        <f t="shared" si="29"/>
        <v>0</v>
      </c>
      <c r="Y262" s="235">
        <f t="shared" si="30"/>
        <v>0</v>
      </c>
      <c r="Z262" s="326"/>
      <c r="AA262" s="350"/>
    </row>
    <row r="263" spans="1:27" ht="24" customHeight="1" x14ac:dyDescent="0.2">
      <c r="A263" s="40">
        <v>115</v>
      </c>
      <c r="B263" s="491" t="s">
        <v>562</v>
      </c>
      <c r="C263" s="41" t="s">
        <v>563</v>
      </c>
      <c r="D263" s="157"/>
      <c r="E263" s="157"/>
      <c r="F263" s="157">
        <f>866+234</f>
        <v>1100</v>
      </c>
      <c r="G263" s="157"/>
      <c r="H263" s="157"/>
      <c r="I263" s="157"/>
      <c r="J263" s="157"/>
      <c r="K263" s="157">
        <f>-1100</f>
        <v>-1100</v>
      </c>
      <c r="L263" s="157"/>
      <c r="M263" s="157"/>
      <c r="N263" s="157"/>
      <c r="O263" s="157"/>
      <c r="P263" s="157"/>
      <c r="Q263" s="157"/>
      <c r="R263" s="157">
        <f t="shared" si="24"/>
        <v>0</v>
      </c>
      <c r="S263" s="157"/>
      <c r="T263" s="157"/>
      <c r="U263" s="157"/>
      <c r="V263" s="157"/>
      <c r="W263" s="157"/>
      <c r="X263" s="163">
        <f t="shared" si="29"/>
        <v>0</v>
      </c>
      <c r="Y263" s="235">
        <f t="shared" si="30"/>
        <v>0</v>
      </c>
      <c r="Z263" s="326"/>
      <c r="AA263" s="350"/>
    </row>
    <row r="264" spans="1:27" ht="24" customHeight="1" x14ac:dyDescent="0.2">
      <c r="A264" s="82">
        <v>116</v>
      </c>
      <c r="B264" s="617" t="s">
        <v>564</v>
      </c>
      <c r="C264" s="41" t="s">
        <v>565</v>
      </c>
      <c r="D264" s="157"/>
      <c r="E264" s="157"/>
      <c r="F264" s="157"/>
      <c r="G264" s="157"/>
      <c r="H264" s="157"/>
      <c r="I264" s="157"/>
      <c r="J264" s="157"/>
      <c r="K264" s="157">
        <f>-8078</f>
        <v>-8078</v>
      </c>
      <c r="L264" s="157"/>
      <c r="M264" s="157"/>
      <c r="N264" s="157"/>
      <c r="O264" s="157"/>
      <c r="P264" s="157"/>
      <c r="Q264" s="157"/>
      <c r="R264" s="157">
        <f t="shared" si="24"/>
        <v>-8078</v>
      </c>
      <c r="S264" s="157"/>
      <c r="T264" s="157"/>
      <c r="U264" s="157"/>
      <c r="V264" s="157"/>
      <c r="W264" s="157"/>
      <c r="X264" s="163">
        <f t="shared" si="29"/>
        <v>0</v>
      </c>
      <c r="Y264" s="235">
        <f t="shared" si="30"/>
        <v>-8078</v>
      </c>
      <c r="Z264" s="326">
        <f>8078</f>
        <v>8078</v>
      </c>
      <c r="AA264" s="350"/>
    </row>
    <row r="265" spans="1:27" ht="24" customHeight="1" x14ac:dyDescent="0.2">
      <c r="A265" s="40">
        <v>117</v>
      </c>
      <c r="B265" s="617" t="s">
        <v>567</v>
      </c>
      <c r="C265" s="41" t="s">
        <v>568</v>
      </c>
      <c r="D265" s="157"/>
      <c r="E265" s="157"/>
      <c r="F265" s="157">
        <f>73710</f>
        <v>73710</v>
      </c>
      <c r="G265" s="157"/>
      <c r="H265" s="157"/>
      <c r="I265" s="157"/>
      <c r="J265" s="157"/>
      <c r="K265" s="157"/>
      <c r="L265" s="157">
        <f>-73710</f>
        <v>-73710</v>
      </c>
      <c r="M265" s="157"/>
      <c r="N265" s="157"/>
      <c r="O265" s="157"/>
      <c r="P265" s="157"/>
      <c r="Q265" s="157"/>
      <c r="R265" s="157">
        <f t="shared" si="24"/>
        <v>0</v>
      </c>
      <c r="S265" s="157"/>
      <c r="T265" s="157"/>
      <c r="U265" s="157"/>
      <c r="V265" s="157"/>
      <c r="W265" s="157"/>
      <c r="X265" s="163">
        <f t="shared" si="29"/>
        <v>0</v>
      </c>
      <c r="Y265" s="235">
        <f t="shared" si="30"/>
        <v>0</v>
      </c>
      <c r="Z265" s="326"/>
      <c r="AA265" s="350"/>
    </row>
    <row r="266" spans="1:27" ht="24" customHeight="1" x14ac:dyDescent="0.2">
      <c r="A266" s="82">
        <v>118</v>
      </c>
      <c r="B266" s="491" t="s">
        <v>569</v>
      </c>
      <c r="C266" s="41" t="s">
        <v>227</v>
      </c>
      <c r="D266" s="157"/>
      <c r="E266" s="157"/>
      <c r="F266" s="157">
        <f>60+16</f>
        <v>76</v>
      </c>
      <c r="G266" s="157"/>
      <c r="H266" s="157"/>
      <c r="I266" s="157"/>
      <c r="J266" s="157"/>
      <c r="K266" s="157"/>
      <c r="L266" s="157">
        <f>-60-16</f>
        <v>-76</v>
      </c>
      <c r="M266" s="157"/>
      <c r="N266" s="157"/>
      <c r="O266" s="157"/>
      <c r="P266" s="157"/>
      <c r="Q266" s="157"/>
      <c r="R266" s="157">
        <f t="shared" si="24"/>
        <v>0</v>
      </c>
      <c r="S266" s="157"/>
      <c r="T266" s="157"/>
      <c r="U266" s="157"/>
      <c r="V266" s="157"/>
      <c r="W266" s="157"/>
      <c r="X266" s="163">
        <f t="shared" si="29"/>
        <v>0</v>
      </c>
      <c r="Y266" s="235">
        <f t="shared" si="30"/>
        <v>0</v>
      </c>
      <c r="Z266" s="326"/>
      <c r="AA266" s="350"/>
    </row>
    <row r="267" spans="1:27" ht="24" customHeight="1" x14ac:dyDescent="0.2">
      <c r="A267" s="40">
        <v>119</v>
      </c>
      <c r="B267" s="617" t="s">
        <v>571</v>
      </c>
      <c r="C267" s="41" t="s">
        <v>570</v>
      </c>
      <c r="D267" s="157"/>
      <c r="E267" s="157"/>
      <c r="F267" s="157">
        <f>80+6+37+24+9</f>
        <v>156</v>
      </c>
      <c r="G267" s="157"/>
      <c r="H267" s="157"/>
      <c r="I267" s="157"/>
      <c r="J267" s="157"/>
      <c r="K267" s="157"/>
      <c r="L267" s="157">
        <f>-123-33</f>
        <v>-156</v>
      </c>
      <c r="M267" s="157"/>
      <c r="N267" s="157"/>
      <c r="O267" s="157"/>
      <c r="P267" s="157"/>
      <c r="Q267" s="157"/>
      <c r="R267" s="157">
        <f t="shared" si="24"/>
        <v>0</v>
      </c>
      <c r="S267" s="157"/>
      <c r="T267" s="157"/>
      <c r="U267" s="157"/>
      <c r="V267" s="157"/>
      <c r="W267" s="157"/>
      <c r="X267" s="163">
        <f t="shared" si="29"/>
        <v>0</v>
      </c>
      <c r="Y267" s="235">
        <f t="shared" si="30"/>
        <v>0</v>
      </c>
      <c r="Z267" s="326"/>
      <c r="AA267" s="350"/>
    </row>
    <row r="268" spans="1:27" ht="24" customHeight="1" x14ac:dyDescent="0.2">
      <c r="A268" s="82">
        <v>120</v>
      </c>
      <c r="B268" s="617" t="s">
        <v>572</v>
      </c>
      <c r="C268" s="41" t="s">
        <v>573</v>
      </c>
      <c r="D268" s="157"/>
      <c r="E268" s="157"/>
      <c r="F268" s="157">
        <f>-685</f>
        <v>-685</v>
      </c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>
        <f>685</f>
        <v>685</v>
      </c>
      <c r="R268" s="157">
        <f t="shared" si="24"/>
        <v>0</v>
      </c>
      <c r="S268" s="157"/>
      <c r="T268" s="157"/>
      <c r="U268" s="157"/>
      <c r="V268" s="157"/>
      <c r="W268" s="157"/>
      <c r="X268" s="163">
        <f t="shared" si="29"/>
        <v>0</v>
      </c>
      <c r="Y268" s="235">
        <f t="shared" si="30"/>
        <v>0</v>
      </c>
      <c r="Z268" s="326"/>
      <c r="AA268" s="350"/>
    </row>
    <row r="269" spans="1:27" ht="24" customHeight="1" x14ac:dyDescent="0.2">
      <c r="A269" s="40">
        <v>121</v>
      </c>
      <c r="B269" s="637" t="s">
        <v>574</v>
      </c>
      <c r="C269" s="41" t="s">
        <v>575</v>
      </c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>
        <f t="shared" si="24"/>
        <v>0</v>
      </c>
      <c r="S269" s="157"/>
      <c r="T269" s="157"/>
      <c r="U269" s="157">
        <f>625000</f>
        <v>625000</v>
      </c>
      <c r="V269" s="157"/>
      <c r="W269" s="157"/>
      <c r="X269" s="163">
        <f t="shared" si="29"/>
        <v>625000</v>
      </c>
      <c r="Y269" s="235">
        <f t="shared" si="30"/>
        <v>625000</v>
      </c>
      <c r="Z269" s="326"/>
      <c r="AA269" s="350"/>
    </row>
    <row r="270" spans="1:27" ht="24" customHeight="1" x14ac:dyDescent="0.2">
      <c r="A270" s="82"/>
      <c r="B270" s="617"/>
      <c r="C270" s="41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63"/>
      <c r="Y270" s="235"/>
      <c r="Z270" s="326"/>
      <c r="AA270" s="350"/>
    </row>
    <row r="271" spans="1:27" ht="24" hidden="1" customHeight="1" x14ac:dyDescent="0.2">
      <c r="A271" s="82"/>
      <c r="B271" s="617"/>
      <c r="C271" s="41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>
        <f t="shared" si="24"/>
        <v>0</v>
      </c>
      <c r="S271" s="157"/>
      <c r="T271" s="157"/>
      <c r="U271" s="157"/>
      <c r="V271" s="157"/>
      <c r="W271" s="157"/>
      <c r="X271" s="163">
        <f t="shared" si="29"/>
        <v>0</v>
      </c>
      <c r="Y271" s="235">
        <f t="shared" si="30"/>
        <v>0</v>
      </c>
      <c r="Z271" s="326"/>
      <c r="AA271" s="350"/>
    </row>
    <row r="272" spans="1:27" ht="24" hidden="1" customHeight="1" x14ac:dyDescent="0.2">
      <c r="A272" s="82"/>
      <c r="B272" s="31"/>
      <c r="C272" s="41" t="s">
        <v>64</v>
      </c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>
        <f t="shared" si="24"/>
        <v>0</v>
      </c>
      <c r="S272" s="157"/>
      <c r="T272" s="157"/>
      <c r="U272" s="157"/>
      <c r="V272" s="157"/>
      <c r="W272" s="157"/>
      <c r="X272" s="163">
        <f t="shared" ref="X272:X285" si="33">SUM(T272:W272)</f>
        <v>0</v>
      </c>
      <c r="Y272" s="235">
        <f t="shared" ref="Y272:Y285" si="34">R272+X272</f>
        <v>0</v>
      </c>
      <c r="Z272" s="326"/>
      <c r="AA272" s="350"/>
    </row>
    <row r="273" spans="1:28" ht="24" customHeight="1" thickBot="1" x14ac:dyDescent="0.25">
      <c r="A273" s="82"/>
      <c r="B273" s="106"/>
      <c r="C273" s="107"/>
      <c r="D273" s="108"/>
      <c r="E273" s="108"/>
      <c r="F273" s="72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9"/>
      <c r="Y273" s="364"/>
      <c r="Z273" s="375"/>
      <c r="AA273" s="350"/>
    </row>
    <row r="274" spans="1:28" ht="17.25" customHeight="1" thickTop="1" thickBot="1" x14ac:dyDescent="0.25">
      <c r="A274" s="42"/>
      <c r="B274" s="111" t="s">
        <v>165</v>
      </c>
      <c r="C274" s="44" t="s">
        <v>19</v>
      </c>
      <c r="D274" s="457">
        <f t="shared" ref="D274:Z274" si="35">SUM(D149:D273)</f>
        <v>-16897.5</v>
      </c>
      <c r="E274" s="457">
        <f t="shared" si="35"/>
        <v>-3565.63</v>
      </c>
      <c r="F274" s="457">
        <f t="shared" si="35"/>
        <v>48096.908000000003</v>
      </c>
      <c r="G274" s="457">
        <f t="shared" si="35"/>
        <v>300</v>
      </c>
      <c r="H274" s="457">
        <f t="shared" si="35"/>
        <v>0</v>
      </c>
      <c r="I274" s="457">
        <f t="shared" si="35"/>
        <v>9171</v>
      </c>
      <c r="J274" s="457">
        <f t="shared" si="35"/>
        <v>5786.7550000000001</v>
      </c>
      <c r="K274" s="457">
        <f t="shared" si="35"/>
        <v>-154309.55599999998</v>
      </c>
      <c r="L274" s="457">
        <f t="shared" si="35"/>
        <v>152443.611</v>
      </c>
      <c r="M274" s="457">
        <f t="shared" si="35"/>
        <v>-525</v>
      </c>
      <c r="N274" s="457">
        <f t="shared" si="35"/>
        <v>0</v>
      </c>
      <c r="O274" s="457">
        <f t="shared" si="35"/>
        <v>0</v>
      </c>
      <c r="P274" s="457">
        <f t="shared" si="35"/>
        <v>0</v>
      </c>
      <c r="Q274" s="457">
        <f t="shared" si="35"/>
        <v>30863</v>
      </c>
      <c r="R274" s="457">
        <f t="shared" si="35"/>
        <v>71363.58799999996</v>
      </c>
      <c r="S274" s="457">
        <f t="shared" si="35"/>
        <v>0</v>
      </c>
      <c r="T274" s="457">
        <f t="shared" si="35"/>
        <v>0</v>
      </c>
      <c r="U274" s="457">
        <f t="shared" si="35"/>
        <v>2325000</v>
      </c>
      <c r="V274" s="457">
        <f t="shared" si="35"/>
        <v>0</v>
      </c>
      <c r="W274" s="457">
        <f t="shared" si="35"/>
        <v>0</v>
      </c>
      <c r="X274" s="457">
        <f t="shared" si="35"/>
        <v>2325000</v>
      </c>
      <c r="Y274" s="639">
        <f t="shared" si="35"/>
        <v>2396363.588</v>
      </c>
      <c r="Z274" s="640">
        <f t="shared" si="35"/>
        <v>216239.06100000002</v>
      </c>
      <c r="AA274" s="342"/>
    </row>
    <row r="275" spans="1:28" ht="24" customHeight="1" thickTop="1" x14ac:dyDescent="0.2">
      <c r="A275" s="641"/>
      <c r="B275" s="31"/>
      <c r="C275" s="41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63"/>
      <c r="Y275" s="235"/>
      <c r="Z275" s="326"/>
      <c r="AA275" s="351"/>
    </row>
    <row r="276" spans="1:28" ht="16.5" customHeight="1" x14ac:dyDescent="0.2">
      <c r="A276" s="82"/>
      <c r="B276" s="623" t="s">
        <v>447</v>
      </c>
      <c r="C276" s="33" t="s">
        <v>448</v>
      </c>
      <c r="D276" s="157"/>
      <c r="E276" s="157"/>
      <c r="F276" s="157">
        <v>4948</v>
      </c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>
        <f>SUM(D276:Q276)</f>
        <v>4948</v>
      </c>
      <c r="S276" s="157"/>
      <c r="T276" s="157"/>
      <c r="U276" s="157">
        <v>-4948</v>
      </c>
      <c r="V276" s="157"/>
      <c r="W276" s="157"/>
      <c r="X276" s="163">
        <f>SUM(T276:W276)</f>
        <v>-4948</v>
      </c>
      <c r="Y276" s="235">
        <f>R276+X276</f>
        <v>0</v>
      </c>
      <c r="Z276" s="326"/>
      <c r="AA276" s="350"/>
    </row>
    <row r="277" spans="1:28" ht="16.5" hidden="1" customHeight="1" x14ac:dyDescent="0.2">
      <c r="A277" s="82"/>
      <c r="B277" s="32"/>
      <c r="C277" s="41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  <c r="W277" s="157"/>
      <c r="X277" s="163"/>
      <c r="Y277" s="235"/>
      <c r="Z277" s="326"/>
      <c r="AA277" s="350"/>
    </row>
    <row r="278" spans="1:28" ht="16.5" hidden="1" customHeight="1" x14ac:dyDescent="0.2">
      <c r="A278" s="82"/>
      <c r="B278" s="31"/>
      <c r="C278" s="41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63"/>
      <c r="Y278" s="235"/>
      <c r="Z278" s="326"/>
      <c r="AA278" s="350"/>
    </row>
    <row r="279" spans="1:28" ht="16.5" hidden="1" customHeight="1" x14ac:dyDescent="0.2">
      <c r="A279" s="82"/>
      <c r="B279" s="31"/>
      <c r="C279" s="41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  <c r="W279" s="157"/>
      <c r="X279" s="163"/>
      <c r="Y279" s="235"/>
      <c r="Z279" s="326"/>
      <c r="AA279" s="350"/>
    </row>
    <row r="280" spans="1:28" ht="16.5" hidden="1" customHeight="1" x14ac:dyDescent="0.2">
      <c r="A280" s="82"/>
      <c r="B280" s="32"/>
      <c r="C280" s="41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  <c r="W280" s="157"/>
      <c r="X280" s="163"/>
      <c r="Y280" s="235"/>
      <c r="Z280" s="326"/>
      <c r="AA280" s="350"/>
    </row>
    <row r="281" spans="1:28" ht="16.5" hidden="1" customHeight="1" x14ac:dyDescent="0.2">
      <c r="A281" s="82"/>
      <c r="B281" s="31"/>
      <c r="C281" s="41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  <c r="W281" s="157"/>
      <c r="X281" s="163"/>
      <c r="Y281" s="235"/>
      <c r="Z281" s="326"/>
      <c r="AA281" s="350"/>
    </row>
    <row r="282" spans="1:28" ht="16.5" hidden="1" customHeight="1" x14ac:dyDescent="0.2">
      <c r="A282" s="82"/>
      <c r="B282" s="31"/>
      <c r="C282" s="41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63"/>
      <c r="Y282" s="235"/>
      <c r="Z282" s="326"/>
      <c r="AA282" s="350"/>
    </row>
    <row r="283" spans="1:28" ht="17.25" customHeight="1" thickBot="1" x14ac:dyDescent="0.25">
      <c r="A283" s="82"/>
      <c r="B283" s="31"/>
      <c r="C283" s="41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63"/>
      <c r="Y283" s="235"/>
      <c r="Z283" s="326"/>
      <c r="AA283" s="350"/>
    </row>
    <row r="284" spans="1:28" ht="18.75" customHeight="1" thickTop="1" thickBot="1" x14ac:dyDescent="0.25">
      <c r="A284" s="110"/>
      <c r="B284" s="112" t="s">
        <v>58</v>
      </c>
      <c r="C284" s="44"/>
      <c r="D284" s="164">
        <f t="shared" ref="D284:Q284" si="36">SUM(D275:D280)</f>
        <v>0</v>
      </c>
      <c r="E284" s="164">
        <f t="shared" si="36"/>
        <v>0</v>
      </c>
      <c r="F284" s="164">
        <f t="shared" si="36"/>
        <v>4948</v>
      </c>
      <c r="G284" s="164">
        <f t="shared" si="36"/>
        <v>0</v>
      </c>
      <c r="H284" s="164">
        <f t="shared" si="36"/>
        <v>0</v>
      </c>
      <c r="I284" s="164">
        <f t="shared" si="36"/>
        <v>0</v>
      </c>
      <c r="J284" s="164">
        <f t="shared" si="36"/>
        <v>0</v>
      </c>
      <c r="K284" s="164">
        <f t="shared" si="36"/>
        <v>0</v>
      </c>
      <c r="L284" s="164">
        <f t="shared" si="36"/>
        <v>0</v>
      </c>
      <c r="M284" s="164">
        <f t="shared" si="36"/>
        <v>0</v>
      </c>
      <c r="N284" s="164">
        <f t="shared" si="36"/>
        <v>0</v>
      </c>
      <c r="O284" s="164">
        <f t="shared" si="36"/>
        <v>0</v>
      </c>
      <c r="P284" s="164">
        <f t="shared" si="36"/>
        <v>0</v>
      </c>
      <c r="Q284" s="164">
        <f t="shared" si="36"/>
        <v>0</v>
      </c>
      <c r="R284" s="164">
        <f t="shared" ref="R284:R285" si="37">SUM(D284:Q284)</f>
        <v>4948</v>
      </c>
      <c r="S284" s="164"/>
      <c r="T284" s="164">
        <f>SUM(T275:T280)</f>
        <v>0</v>
      </c>
      <c r="U284" s="164">
        <f>SUM(U275:U280)</f>
        <v>-4948</v>
      </c>
      <c r="V284" s="164">
        <f>SUM(V275:V280)</f>
        <v>0</v>
      </c>
      <c r="W284" s="164">
        <f>SUM(W275:W280)</f>
        <v>0</v>
      </c>
      <c r="X284" s="166">
        <f t="shared" si="33"/>
        <v>-4948</v>
      </c>
      <c r="Y284" s="166">
        <f t="shared" si="34"/>
        <v>0</v>
      </c>
      <c r="Z284" s="267">
        <f>SUM(Z275:Z280)</f>
        <v>0</v>
      </c>
      <c r="AA284" s="351"/>
    </row>
    <row r="285" spans="1:28" ht="24" customHeight="1" thickTop="1" thickBot="1" x14ac:dyDescent="0.25">
      <c r="A285" s="42"/>
      <c r="B285" s="324">
        <v>43008</v>
      </c>
      <c r="C285" s="44" t="s">
        <v>141</v>
      </c>
      <c r="D285" s="255">
        <f t="shared" ref="D285:Q285" si="38">D148+D274+D284</f>
        <v>137120.5</v>
      </c>
      <c r="E285" s="255">
        <f t="shared" si="38"/>
        <v>32830.370000000003</v>
      </c>
      <c r="F285" s="255">
        <f t="shared" si="38"/>
        <v>4783330.8170000007</v>
      </c>
      <c r="G285" s="255">
        <f t="shared" si="38"/>
        <v>197740</v>
      </c>
      <c r="H285" s="255">
        <f t="shared" si="38"/>
        <v>150591.49600000001</v>
      </c>
      <c r="I285" s="255">
        <f t="shared" si="38"/>
        <v>61283</v>
      </c>
      <c r="J285" s="255">
        <f t="shared" si="38"/>
        <v>691116.755</v>
      </c>
      <c r="K285" s="255">
        <f t="shared" si="38"/>
        <v>2700920.0380000002</v>
      </c>
      <c r="L285" s="255">
        <f t="shared" si="38"/>
        <v>3163939.611</v>
      </c>
      <c r="M285" s="635">
        <f t="shared" si="38"/>
        <v>36683</v>
      </c>
      <c r="N285" s="255">
        <f t="shared" si="38"/>
        <v>57843</v>
      </c>
      <c r="O285" s="255">
        <f t="shared" si="38"/>
        <v>10000</v>
      </c>
      <c r="P285" s="255">
        <f t="shared" si="38"/>
        <v>0</v>
      </c>
      <c r="Q285" s="255">
        <f t="shared" si="38"/>
        <v>594156</v>
      </c>
      <c r="R285" s="635">
        <f t="shared" si="37"/>
        <v>12617554.587000001</v>
      </c>
      <c r="S285" s="255"/>
      <c r="T285" s="255">
        <f>T148+T274+T284</f>
        <v>0</v>
      </c>
      <c r="U285" s="255">
        <f>U148+U274+U284</f>
        <v>6060052</v>
      </c>
      <c r="V285" s="255">
        <f>V148+V274+V284</f>
        <v>66267.035000000003</v>
      </c>
      <c r="W285" s="255">
        <f>W148+W274+W284</f>
        <v>0</v>
      </c>
      <c r="X285" s="255">
        <f t="shared" si="33"/>
        <v>6126319.0350000001</v>
      </c>
      <c r="Y285" s="635">
        <f t="shared" si="34"/>
        <v>18743873.622000001</v>
      </c>
      <c r="Z285" s="232">
        <f>Z148+Z274+Z284</f>
        <v>6652621.5860000001</v>
      </c>
      <c r="AA285" s="349"/>
      <c r="AB285" s="85">
        <f>Y285+Z285</f>
        <v>25396495.208000001</v>
      </c>
    </row>
    <row r="286" spans="1:28" ht="18" thickTop="1" thickBot="1" x14ac:dyDescent="0.3">
      <c r="M286" s="504"/>
      <c r="R286" s="504"/>
      <c r="Y286" s="514"/>
      <c r="Z286" s="2"/>
    </row>
    <row r="287" spans="1:28" ht="18.75" thickTop="1" thickBot="1" x14ac:dyDescent="0.3">
      <c r="C287" s="2" t="s">
        <v>89</v>
      </c>
      <c r="D287" s="204">
        <v>137121</v>
      </c>
      <c r="E287" s="204">
        <v>32830</v>
      </c>
      <c r="F287" s="204">
        <v>4783330</v>
      </c>
      <c r="G287" s="204">
        <v>197740</v>
      </c>
      <c r="H287" s="204">
        <v>150591.49600000001</v>
      </c>
      <c r="I287" s="204">
        <v>61283</v>
      </c>
      <c r="J287" s="204">
        <v>691117</v>
      </c>
      <c r="K287" s="204">
        <v>2700920</v>
      </c>
      <c r="L287" s="204">
        <v>3163940</v>
      </c>
      <c r="M287" s="378">
        <v>36683</v>
      </c>
      <c r="N287" s="204">
        <v>57843</v>
      </c>
      <c r="O287" s="204">
        <v>10000</v>
      </c>
      <c r="P287" s="204">
        <v>0</v>
      </c>
      <c r="Q287" s="204">
        <v>594156</v>
      </c>
      <c r="R287" s="378">
        <v>12617554</v>
      </c>
      <c r="S287" s="204"/>
      <c r="T287" s="204">
        <v>0</v>
      </c>
      <c r="U287" s="204">
        <v>6060052</v>
      </c>
      <c r="V287" s="204">
        <v>66267.035000000003</v>
      </c>
      <c r="W287" s="204">
        <v>0</v>
      </c>
      <c r="X287" s="204">
        <v>6126319</v>
      </c>
      <c r="Y287" s="378">
        <v>18743873</v>
      </c>
      <c r="Z287" s="204">
        <v>6652622</v>
      </c>
      <c r="AA287" s="132">
        <f>SUM(Y287:Z287)</f>
        <v>25396495</v>
      </c>
    </row>
    <row r="288" spans="1:28" ht="17.25" thickTop="1" x14ac:dyDescent="0.25">
      <c r="F288" s="170"/>
      <c r="M288" s="504"/>
      <c r="R288" s="504"/>
      <c r="Y288" s="514"/>
      <c r="Z288" s="2"/>
    </row>
    <row r="289" spans="3:27" x14ac:dyDescent="0.25">
      <c r="C289" s="2" t="s">
        <v>90</v>
      </c>
      <c r="D289" s="170">
        <f>D287-D285</f>
        <v>0.5</v>
      </c>
      <c r="E289" s="170">
        <f t="shared" ref="E289:Z289" si="39">E287-E285</f>
        <v>-0.37000000000261934</v>
      </c>
      <c r="F289" s="170">
        <f t="shared" si="39"/>
        <v>-0.81700000073760748</v>
      </c>
      <c r="G289" s="170">
        <f t="shared" si="39"/>
        <v>0</v>
      </c>
      <c r="H289" s="170">
        <f t="shared" si="39"/>
        <v>0</v>
      </c>
      <c r="I289" s="170">
        <f t="shared" si="39"/>
        <v>0</v>
      </c>
      <c r="J289" s="170">
        <f t="shared" si="39"/>
        <v>0.24499999999534339</v>
      </c>
      <c r="K289" s="170">
        <f t="shared" si="39"/>
        <v>-3.8000000175088644E-2</v>
      </c>
      <c r="L289" s="170">
        <f t="shared" si="39"/>
        <v>0.38899999996647239</v>
      </c>
      <c r="M289" s="170">
        <f t="shared" si="39"/>
        <v>0</v>
      </c>
      <c r="N289" s="170">
        <f t="shared" si="39"/>
        <v>0</v>
      </c>
      <c r="O289" s="170">
        <f t="shared" si="39"/>
        <v>0</v>
      </c>
      <c r="P289" s="170">
        <f t="shared" si="39"/>
        <v>0</v>
      </c>
      <c r="Q289" s="170">
        <f t="shared" si="39"/>
        <v>0</v>
      </c>
      <c r="R289" s="170">
        <f t="shared" si="39"/>
        <v>-0.58700000122189522</v>
      </c>
      <c r="S289" s="170"/>
      <c r="T289" s="170">
        <f t="shared" si="39"/>
        <v>0</v>
      </c>
      <c r="U289" s="170">
        <f t="shared" si="39"/>
        <v>0</v>
      </c>
      <c r="V289" s="170">
        <f t="shared" si="39"/>
        <v>0</v>
      </c>
      <c r="W289" s="170">
        <f t="shared" si="39"/>
        <v>0</v>
      </c>
      <c r="X289" s="170">
        <f t="shared" si="39"/>
        <v>-3.5000000149011612E-2</v>
      </c>
      <c r="Y289" s="170">
        <f t="shared" si="39"/>
        <v>-0.62200000137090683</v>
      </c>
      <c r="Z289" s="170">
        <f t="shared" si="39"/>
        <v>0.41399999987334013</v>
      </c>
      <c r="AA289" s="170"/>
    </row>
    <row r="290" spans="3:27" x14ac:dyDescent="0.25">
      <c r="Z290" s="2"/>
    </row>
    <row r="291" spans="3:27" x14ac:dyDescent="0.25">
      <c r="F291" s="379"/>
      <c r="Z291" s="2"/>
    </row>
  </sheetData>
  <mergeCells count="8">
    <mergeCell ref="AJ14:AK14"/>
    <mergeCell ref="A2:Z2"/>
    <mergeCell ref="A4:Z4"/>
    <mergeCell ref="D7:Z7"/>
    <mergeCell ref="AJ9:AK9"/>
    <mergeCell ref="D8:K8"/>
    <mergeCell ref="L8:Q8"/>
    <mergeCell ref="T8:W8"/>
  </mergeCells>
  <phoneticPr fontId="3" type="noConversion"/>
  <printOptions horizontalCentered="1"/>
  <pageMargins left="0" right="0" top="0.5" bottom="0.48" header="0.21" footer="0.15748031496062992"/>
  <pageSetup paperSize="9" scale="40" firstPageNumber="0" orientation="landscape" horizontalDpi="300" verticalDpi="300" r:id="rId1"/>
  <headerFooter alignWithMargins="0">
    <oddFooter>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7"/>
  <sheetViews>
    <sheetView zoomScale="75" zoomScaleNormal="75" workbookViewId="0">
      <selection activeCell="B1" sqref="B1:B1048576"/>
    </sheetView>
  </sheetViews>
  <sheetFormatPr defaultRowHeight="16.5" x14ac:dyDescent="0.25"/>
  <cols>
    <col min="1" max="1" width="5.140625" style="1" customWidth="1"/>
    <col min="2" max="2" width="13.7109375" style="1" hidden="1" customWidth="1"/>
    <col min="3" max="3" width="57.7109375" style="2" customWidth="1"/>
    <col min="4" max="14" width="12.7109375" style="2" customWidth="1"/>
    <col min="15" max="15" width="15.7109375" style="2" customWidth="1"/>
    <col min="16" max="16" width="1.85546875" style="2" customWidth="1"/>
    <col min="17" max="17" width="11.28515625" style="2" customWidth="1"/>
    <col min="18" max="18" width="11.85546875" style="2" customWidth="1"/>
    <col min="19" max="19" width="11.28515625" style="2" customWidth="1"/>
    <col min="20" max="20" width="10" style="2" customWidth="1"/>
    <col min="21" max="21" width="15.7109375" style="2" customWidth="1"/>
    <col min="22" max="22" width="1.85546875" style="2" customWidth="1"/>
    <col min="23" max="23" width="15.7109375" style="2" customWidth="1"/>
    <col min="24" max="24" width="17.140625" style="2" customWidth="1"/>
    <col min="25" max="25" width="11" style="2" customWidth="1"/>
    <col min="26" max="26" width="10.7109375" style="2" customWidth="1"/>
    <col min="27" max="32" width="9.140625" style="2"/>
    <col min="33" max="34" width="10.7109375" style="2" customWidth="1"/>
    <col min="35" max="35" width="10.28515625" style="2" customWidth="1"/>
    <col min="36" max="36" width="10" style="2" customWidth="1"/>
    <col min="37" max="37" width="10.28515625" style="2" customWidth="1"/>
    <col min="38" max="38" width="10.7109375" style="2" customWidth="1"/>
    <col min="39" max="39" width="10.5703125" style="2" customWidth="1"/>
    <col min="40" max="43" width="9.140625" style="2"/>
    <col min="44" max="44" width="11" style="2" customWidth="1"/>
    <col min="45" max="16384" width="9.140625" style="2"/>
  </cols>
  <sheetData>
    <row r="1" spans="1:38" ht="20.25" customHeight="1" x14ac:dyDescent="0.25">
      <c r="V1" s="3"/>
      <c r="W1" s="186"/>
      <c r="X1" s="186" t="s">
        <v>87</v>
      </c>
    </row>
    <row r="2" spans="1:38" ht="30" customHeight="1" x14ac:dyDescent="0.3">
      <c r="A2" s="650" t="s">
        <v>0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0"/>
      <c r="U2" s="650"/>
      <c r="V2" s="650"/>
      <c r="W2" s="650"/>
      <c r="X2" s="650"/>
    </row>
    <row r="3" spans="1:38" ht="30" customHeight="1" x14ac:dyDescent="0.3">
      <c r="A3" s="427"/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</row>
    <row r="4" spans="1:38" ht="50.1" customHeight="1" x14ac:dyDescent="0.3">
      <c r="A4" s="663" t="s">
        <v>580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</row>
    <row r="5" spans="1:38" ht="24.9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8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 t="s">
        <v>1</v>
      </c>
    </row>
    <row r="7" spans="1:38" ht="18" customHeight="1" thickTop="1" x14ac:dyDescent="0.25">
      <c r="A7" s="7"/>
      <c r="B7" s="8"/>
      <c r="C7" s="9"/>
      <c r="D7" s="642" t="s">
        <v>110</v>
      </c>
      <c r="E7" s="643"/>
      <c r="F7" s="644"/>
      <c r="G7" s="395"/>
      <c r="H7" s="396"/>
      <c r="I7" s="397" t="s">
        <v>4</v>
      </c>
      <c r="J7" s="645" t="s">
        <v>118</v>
      </c>
      <c r="K7" s="646"/>
      <c r="L7" s="395"/>
      <c r="M7" s="398" t="s">
        <v>119</v>
      </c>
      <c r="N7" s="399"/>
      <c r="O7" s="400" t="s">
        <v>126</v>
      </c>
      <c r="P7" s="14"/>
      <c r="Q7" s="647" t="s">
        <v>128</v>
      </c>
      <c r="R7" s="648"/>
      <c r="S7" s="648"/>
      <c r="T7" s="649"/>
      <c r="U7" s="401" t="s">
        <v>137</v>
      </c>
      <c r="V7" s="389"/>
      <c r="W7" s="10" t="s">
        <v>2</v>
      </c>
      <c r="X7" s="240"/>
    </row>
    <row r="8" spans="1:38" x14ac:dyDescent="0.25">
      <c r="A8" s="11"/>
      <c r="B8" s="12"/>
      <c r="C8" s="13" t="s">
        <v>3</v>
      </c>
      <c r="D8" s="16" t="s">
        <v>111</v>
      </c>
      <c r="E8" s="13" t="s">
        <v>112</v>
      </c>
      <c r="F8" s="4" t="s">
        <v>113</v>
      </c>
      <c r="G8" s="17" t="s">
        <v>120</v>
      </c>
      <c r="H8" s="17" t="s">
        <v>5</v>
      </c>
      <c r="I8" s="17" t="s">
        <v>15</v>
      </c>
      <c r="J8" s="13" t="s">
        <v>6</v>
      </c>
      <c r="K8" s="13" t="s">
        <v>121</v>
      </c>
      <c r="L8" s="391" t="s">
        <v>96</v>
      </c>
      <c r="M8" s="13" t="s">
        <v>122</v>
      </c>
      <c r="N8" s="17" t="s">
        <v>4</v>
      </c>
      <c r="O8" s="392" t="s">
        <v>127</v>
      </c>
      <c r="P8" s="17"/>
      <c r="Q8" s="17" t="s">
        <v>129</v>
      </c>
      <c r="R8" s="17" t="s">
        <v>130</v>
      </c>
      <c r="S8" s="17" t="s">
        <v>216</v>
      </c>
      <c r="T8" s="17" t="s">
        <v>4</v>
      </c>
      <c r="U8" s="393" t="s">
        <v>138</v>
      </c>
      <c r="V8" s="388"/>
      <c r="W8" s="15" t="s">
        <v>7</v>
      </c>
      <c r="X8" s="305" t="s">
        <v>102</v>
      </c>
    </row>
    <row r="9" spans="1:38" x14ac:dyDescent="0.25">
      <c r="A9" s="18" t="s">
        <v>8</v>
      </c>
      <c r="B9" s="13"/>
      <c r="C9" s="13" t="s">
        <v>9</v>
      </c>
      <c r="D9" s="17" t="s">
        <v>15</v>
      </c>
      <c r="E9" s="13" t="s">
        <v>114</v>
      </c>
      <c r="F9" s="4" t="s">
        <v>72</v>
      </c>
      <c r="G9" s="17" t="s">
        <v>10</v>
      </c>
      <c r="H9" s="13" t="s">
        <v>10</v>
      </c>
      <c r="I9" s="13" t="s">
        <v>11</v>
      </c>
      <c r="J9" s="13" t="s">
        <v>11</v>
      </c>
      <c r="K9" s="13" t="s">
        <v>72</v>
      </c>
      <c r="L9" s="296" t="s">
        <v>97</v>
      </c>
      <c r="M9" s="17" t="s">
        <v>123</v>
      </c>
      <c r="N9" s="17" t="s">
        <v>98</v>
      </c>
      <c r="O9" s="392" t="s">
        <v>10</v>
      </c>
      <c r="P9" s="17"/>
      <c r="Q9" s="17" t="s">
        <v>131</v>
      </c>
      <c r="R9" s="17" t="s">
        <v>132</v>
      </c>
      <c r="S9" s="17" t="s">
        <v>217</v>
      </c>
      <c r="T9" s="17" t="s">
        <v>173</v>
      </c>
      <c r="U9" s="393" t="s">
        <v>10</v>
      </c>
      <c r="V9" s="390"/>
      <c r="W9" s="15" t="s">
        <v>12</v>
      </c>
      <c r="X9" s="305" t="s">
        <v>103</v>
      </c>
    </row>
    <row r="10" spans="1:38" x14ac:dyDescent="0.25">
      <c r="A10" s="11"/>
      <c r="B10" s="12"/>
      <c r="C10" s="13" t="s">
        <v>13</v>
      </c>
      <c r="D10" s="17" t="s">
        <v>115</v>
      </c>
      <c r="E10" s="13" t="s">
        <v>116</v>
      </c>
      <c r="F10" s="4" t="s">
        <v>117</v>
      </c>
      <c r="G10" s="17"/>
      <c r="H10" s="13"/>
      <c r="I10" s="13" t="s">
        <v>95</v>
      </c>
      <c r="J10" s="13" t="s">
        <v>124</v>
      </c>
      <c r="K10" s="13" t="s">
        <v>117</v>
      </c>
      <c r="L10" s="13" t="s">
        <v>10</v>
      </c>
      <c r="M10" s="17" t="s">
        <v>37</v>
      </c>
      <c r="N10" s="17" t="s">
        <v>125</v>
      </c>
      <c r="O10" s="392" t="s">
        <v>12</v>
      </c>
      <c r="P10" s="17"/>
      <c r="Q10" s="17" t="s">
        <v>133</v>
      </c>
      <c r="R10" s="17" t="s">
        <v>134</v>
      </c>
      <c r="S10" s="17" t="s">
        <v>218</v>
      </c>
      <c r="T10" s="17" t="s">
        <v>174</v>
      </c>
      <c r="U10" s="393" t="s">
        <v>12</v>
      </c>
      <c r="V10" s="390"/>
      <c r="W10" s="19" t="s">
        <v>140</v>
      </c>
      <c r="X10" s="306" t="s">
        <v>104</v>
      </c>
    </row>
    <row r="11" spans="1:38" x14ac:dyDescent="0.25">
      <c r="A11" s="11"/>
      <c r="B11" s="12"/>
      <c r="C11" s="13"/>
      <c r="D11" s="17"/>
      <c r="E11" s="13" t="s">
        <v>16</v>
      </c>
      <c r="F11" s="4" t="s">
        <v>94</v>
      </c>
      <c r="G11" s="17"/>
      <c r="H11" s="13"/>
      <c r="I11" s="13" t="s">
        <v>17</v>
      </c>
      <c r="J11" s="13" t="s">
        <v>46</v>
      </c>
      <c r="K11" s="13" t="s">
        <v>94</v>
      </c>
      <c r="L11" s="13"/>
      <c r="M11" s="20" t="s">
        <v>14</v>
      </c>
      <c r="N11" s="20" t="s">
        <v>17</v>
      </c>
      <c r="O11" s="4" t="s">
        <v>136</v>
      </c>
      <c r="P11" s="20"/>
      <c r="Q11" s="17" t="s">
        <v>16</v>
      </c>
      <c r="R11" s="20" t="s">
        <v>135</v>
      </c>
      <c r="S11" s="20" t="s">
        <v>219</v>
      </c>
      <c r="T11" s="20" t="s">
        <v>10</v>
      </c>
      <c r="U11" s="20" t="s">
        <v>139</v>
      </c>
      <c r="V11" s="21"/>
      <c r="W11" s="15"/>
      <c r="X11" s="306" t="s">
        <v>72</v>
      </c>
    </row>
    <row r="12" spans="1:38" hidden="1" x14ac:dyDescent="0.25">
      <c r="A12" s="113"/>
      <c r="B12" s="114"/>
      <c r="C12" s="115"/>
      <c r="D12" s="16" t="s">
        <v>197</v>
      </c>
      <c r="E12" s="115" t="s">
        <v>198</v>
      </c>
      <c r="F12" s="116" t="s">
        <v>199</v>
      </c>
      <c r="G12" s="16" t="s">
        <v>200</v>
      </c>
      <c r="H12" s="115" t="s">
        <v>201</v>
      </c>
      <c r="I12" s="115" t="s">
        <v>202</v>
      </c>
      <c r="J12" s="115" t="s">
        <v>203</v>
      </c>
      <c r="K12" s="124" t="s">
        <v>204</v>
      </c>
      <c r="L12" s="115" t="s">
        <v>205</v>
      </c>
      <c r="M12" s="117" t="s">
        <v>206</v>
      </c>
      <c r="N12" s="118" t="s">
        <v>207</v>
      </c>
      <c r="O12" s="116"/>
      <c r="P12" s="20"/>
      <c r="Q12" s="16" t="s">
        <v>208</v>
      </c>
      <c r="R12" s="118" t="s">
        <v>209</v>
      </c>
      <c r="S12" s="118" t="s">
        <v>210</v>
      </c>
      <c r="T12" s="115" t="s">
        <v>211</v>
      </c>
      <c r="U12" s="16"/>
      <c r="V12" s="119"/>
      <c r="W12" s="403"/>
      <c r="X12" s="241"/>
    </row>
    <row r="13" spans="1:38" ht="20.25" customHeight="1" x14ac:dyDescent="0.2">
      <c r="A13" s="192">
        <v>1</v>
      </c>
      <c r="B13" s="215"/>
      <c r="C13" s="215">
        <v>2</v>
      </c>
      <c r="D13" s="215">
        <v>3</v>
      </c>
      <c r="E13" s="215">
        <v>4</v>
      </c>
      <c r="F13" s="215">
        <v>5</v>
      </c>
      <c r="G13" s="215">
        <v>6</v>
      </c>
      <c r="H13" s="215">
        <v>7</v>
      </c>
      <c r="I13" s="215">
        <v>8</v>
      </c>
      <c r="J13" s="215">
        <v>9</v>
      </c>
      <c r="K13" s="215">
        <v>10</v>
      </c>
      <c r="L13" s="215">
        <v>11</v>
      </c>
      <c r="M13" s="215">
        <v>12</v>
      </c>
      <c r="N13" s="215">
        <v>13</v>
      </c>
      <c r="O13" s="215">
        <v>14</v>
      </c>
      <c r="P13" s="215"/>
      <c r="Q13" s="215">
        <v>15</v>
      </c>
      <c r="R13" s="215">
        <v>16</v>
      </c>
      <c r="S13" s="215">
        <v>17</v>
      </c>
      <c r="T13" s="215">
        <v>18</v>
      </c>
      <c r="U13" s="215">
        <v>19</v>
      </c>
      <c r="V13" s="216"/>
      <c r="W13" s="217">
        <v>20</v>
      </c>
      <c r="X13" s="242">
        <v>21</v>
      </c>
    </row>
    <row r="14" spans="1:38" ht="22.5" hidden="1" customHeight="1" x14ac:dyDescent="0.25">
      <c r="A14" s="22"/>
      <c r="B14" s="23"/>
      <c r="C14" s="24" t="s">
        <v>63</v>
      </c>
      <c r="D14" s="25">
        <v>0</v>
      </c>
      <c r="E14" s="25">
        <v>0</v>
      </c>
      <c r="F14" s="25">
        <v>0</v>
      </c>
      <c r="G14" s="25">
        <v>5150</v>
      </c>
      <c r="H14" s="25">
        <v>10032</v>
      </c>
      <c r="I14" s="156">
        <v>0</v>
      </c>
      <c r="J14" s="25">
        <v>0</v>
      </c>
      <c r="K14" s="25">
        <v>0</v>
      </c>
      <c r="L14" s="25">
        <v>150</v>
      </c>
      <c r="M14" s="25">
        <v>1200</v>
      </c>
      <c r="N14" s="25">
        <v>0</v>
      </c>
      <c r="O14" s="402">
        <f>SUM(D14:N14)</f>
        <v>16532</v>
      </c>
      <c r="P14" s="25"/>
      <c r="Q14" s="25">
        <v>0</v>
      </c>
      <c r="R14" s="25">
        <v>93504</v>
      </c>
      <c r="S14" s="25">
        <v>0</v>
      </c>
      <c r="T14" s="25">
        <v>0</v>
      </c>
      <c r="U14" s="402">
        <f>SUM(Q14:T14)</f>
        <v>93504</v>
      </c>
      <c r="V14" s="155"/>
      <c r="W14" s="141">
        <f>O14+U14</f>
        <v>110036</v>
      </c>
      <c r="X14" s="243">
        <v>2629005</v>
      </c>
    </row>
    <row r="15" spans="1:38" ht="20.100000000000001" hidden="1" customHeight="1" x14ac:dyDescent="0.25">
      <c r="A15" s="158"/>
      <c r="B15" s="138"/>
      <c r="C15" s="28" t="s">
        <v>101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143"/>
      <c r="W15" s="233">
        <f>O15+U15</f>
        <v>0</v>
      </c>
      <c r="X15" s="2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70"/>
    </row>
    <row r="16" spans="1:38" ht="20.100000000000001" hidden="1" customHeight="1" x14ac:dyDescent="0.25">
      <c r="A16" s="158"/>
      <c r="B16" s="27" t="s">
        <v>99</v>
      </c>
      <c r="C16" s="24" t="s">
        <v>18</v>
      </c>
      <c r="D16" s="153">
        <f t="shared" ref="D16:W16" si="0">SUM(D14:D15)</f>
        <v>0</v>
      </c>
      <c r="E16" s="153">
        <f t="shared" si="0"/>
        <v>0</v>
      </c>
      <c r="F16" s="153">
        <f t="shared" si="0"/>
        <v>0</v>
      </c>
      <c r="G16" s="153">
        <f t="shared" si="0"/>
        <v>5150</v>
      </c>
      <c r="H16" s="153">
        <f t="shared" si="0"/>
        <v>10032</v>
      </c>
      <c r="I16" s="153">
        <f t="shared" si="0"/>
        <v>0</v>
      </c>
      <c r="J16" s="153">
        <f t="shared" si="0"/>
        <v>0</v>
      </c>
      <c r="K16" s="153">
        <f t="shared" si="0"/>
        <v>0</v>
      </c>
      <c r="L16" s="153">
        <f t="shared" si="0"/>
        <v>150</v>
      </c>
      <c r="M16" s="153">
        <f t="shared" si="0"/>
        <v>1200</v>
      </c>
      <c r="N16" s="153">
        <f t="shared" si="0"/>
        <v>0</v>
      </c>
      <c r="O16" s="418">
        <f t="shared" si="0"/>
        <v>16532</v>
      </c>
      <c r="P16" s="153"/>
      <c r="Q16" s="153">
        <f>SUM(Q14:Q15)</f>
        <v>0</v>
      </c>
      <c r="R16" s="153">
        <f>SUM(R14:R15)</f>
        <v>93504</v>
      </c>
      <c r="S16" s="153">
        <f>SUM(S14:S15)</f>
        <v>0</v>
      </c>
      <c r="T16" s="153">
        <f t="shared" si="0"/>
        <v>0</v>
      </c>
      <c r="U16" s="153">
        <f t="shared" si="0"/>
        <v>93504</v>
      </c>
      <c r="V16" s="153"/>
      <c r="W16" s="234">
        <f t="shared" si="0"/>
        <v>110036</v>
      </c>
      <c r="X16" s="245">
        <f>SUM(X14:X15)</f>
        <v>2629005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70"/>
    </row>
    <row r="17" spans="1:38" ht="30" hidden="1" customHeight="1" x14ac:dyDescent="0.25">
      <c r="A17" s="82"/>
      <c r="B17" s="138"/>
      <c r="C17" s="28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>
        <f t="shared" ref="O17:O26" si="1">SUM(D17:N17)</f>
        <v>0</v>
      </c>
      <c r="P17" s="72"/>
      <c r="Q17" s="72"/>
      <c r="R17" s="72"/>
      <c r="S17" s="72"/>
      <c r="T17" s="72"/>
      <c r="U17" s="72"/>
      <c r="V17" s="160"/>
      <c r="W17" s="235"/>
      <c r="X17" s="326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</row>
    <row r="18" spans="1:38" ht="30" hidden="1" customHeight="1" x14ac:dyDescent="0.25">
      <c r="A18" s="82">
        <v>1</v>
      </c>
      <c r="B18" s="537" t="s">
        <v>254</v>
      </c>
      <c r="C18" s="28" t="s">
        <v>255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>
        <f t="shared" si="1"/>
        <v>0</v>
      </c>
      <c r="P18" s="72"/>
      <c r="Q18" s="72"/>
      <c r="R18" s="72"/>
      <c r="S18" s="72"/>
      <c r="T18" s="72"/>
      <c r="U18" s="72">
        <f t="shared" ref="U18:U26" si="2">SUM(Q18:T18)</f>
        <v>0</v>
      </c>
      <c r="V18" s="160"/>
      <c r="W18" s="235">
        <f t="shared" ref="W18:W26" si="3">O18+U18</f>
        <v>0</v>
      </c>
      <c r="X18" s="326">
        <f>907.923</f>
        <v>907.923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</row>
    <row r="19" spans="1:38" ht="30" hidden="1" customHeight="1" x14ac:dyDescent="0.25">
      <c r="A19" s="82">
        <v>2</v>
      </c>
      <c r="B19" s="593" t="s">
        <v>264</v>
      </c>
      <c r="C19" s="28" t="s">
        <v>263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>
        <f t="shared" si="1"/>
        <v>0</v>
      </c>
      <c r="P19" s="72"/>
      <c r="Q19" s="72"/>
      <c r="R19" s="72"/>
      <c r="S19" s="72"/>
      <c r="T19" s="72"/>
      <c r="U19" s="72">
        <f t="shared" si="2"/>
        <v>0</v>
      </c>
      <c r="V19" s="160"/>
      <c r="W19" s="235">
        <f t="shared" si="3"/>
        <v>0</v>
      </c>
      <c r="X19" s="326">
        <f>1712.309</f>
        <v>1712.309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</row>
    <row r="20" spans="1:38" ht="30" hidden="1" customHeight="1" x14ac:dyDescent="0.25">
      <c r="A20" s="224">
        <v>3</v>
      </c>
      <c r="B20" s="596" t="s">
        <v>296</v>
      </c>
      <c r="C20" s="33" t="s">
        <v>295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>
        <f t="shared" si="1"/>
        <v>0</v>
      </c>
      <c r="P20" s="72"/>
      <c r="Q20" s="72"/>
      <c r="R20" s="72"/>
      <c r="S20" s="72"/>
      <c r="T20" s="72"/>
      <c r="U20" s="72">
        <f t="shared" si="2"/>
        <v>0</v>
      </c>
      <c r="V20" s="160"/>
      <c r="W20" s="235">
        <f t="shared" si="3"/>
        <v>0</v>
      </c>
      <c r="X20" s="326">
        <f>3810</f>
        <v>3810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</row>
    <row r="21" spans="1:38" ht="30" hidden="1" customHeight="1" x14ac:dyDescent="0.25">
      <c r="A21" s="224"/>
      <c r="B21" s="225"/>
      <c r="C21" s="33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>
        <f t="shared" si="1"/>
        <v>0</v>
      </c>
      <c r="P21" s="72"/>
      <c r="Q21" s="72"/>
      <c r="R21" s="72"/>
      <c r="S21" s="72"/>
      <c r="T21" s="72"/>
      <c r="U21" s="72">
        <f t="shared" si="2"/>
        <v>0</v>
      </c>
      <c r="V21" s="160"/>
      <c r="W21" s="235">
        <f t="shared" si="3"/>
        <v>0</v>
      </c>
      <c r="X21" s="326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70"/>
    </row>
    <row r="22" spans="1:38" ht="30" hidden="1" customHeight="1" x14ac:dyDescent="0.25">
      <c r="A22" s="224"/>
      <c r="B22" s="225"/>
      <c r="C22" s="33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>
        <f t="shared" si="1"/>
        <v>0</v>
      </c>
      <c r="P22" s="72"/>
      <c r="Q22" s="72"/>
      <c r="R22" s="72"/>
      <c r="S22" s="72"/>
      <c r="T22" s="72"/>
      <c r="U22" s="72">
        <f t="shared" si="2"/>
        <v>0</v>
      </c>
      <c r="V22" s="160"/>
      <c r="W22" s="235">
        <f t="shared" si="3"/>
        <v>0</v>
      </c>
      <c r="X22" s="326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</row>
    <row r="23" spans="1:38" ht="30" hidden="1" customHeight="1" x14ac:dyDescent="0.25">
      <c r="A23" s="224"/>
      <c r="B23" s="225"/>
      <c r="C23" s="33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>
        <f t="shared" si="1"/>
        <v>0</v>
      </c>
      <c r="P23" s="72"/>
      <c r="Q23" s="72"/>
      <c r="R23" s="72"/>
      <c r="S23" s="72"/>
      <c r="T23" s="72"/>
      <c r="U23" s="72">
        <f t="shared" si="2"/>
        <v>0</v>
      </c>
      <c r="V23" s="160"/>
      <c r="W23" s="235">
        <f t="shared" si="3"/>
        <v>0</v>
      </c>
      <c r="X23" s="326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</row>
    <row r="24" spans="1:38" ht="30" hidden="1" customHeight="1" x14ac:dyDescent="0.25">
      <c r="A24" s="224"/>
      <c r="B24" s="225"/>
      <c r="C24" s="33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>
        <f t="shared" si="1"/>
        <v>0</v>
      </c>
      <c r="P24" s="72"/>
      <c r="Q24" s="72"/>
      <c r="R24" s="72"/>
      <c r="S24" s="72"/>
      <c r="T24" s="72"/>
      <c r="U24" s="72">
        <f t="shared" si="2"/>
        <v>0</v>
      </c>
      <c r="V24" s="160"/>
      <c r="W24" s="235">
        <f t="shared" si="3"/>
        <v>0</v>
      </c>
      <c r="X24" s="326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70"/>
    </row>
    <row r="25" spans="1:38" ht="30" hidden="1" customHeight="1" x14ac:dyDescent="0.25">
      <c r="A25" s="224"/>
      <c r="B25" s="225"/>
      <c r="C25" s="33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>
        <f t="shared" si="1"/>
        <v>0</v>
      </c>
      <c r="P25" s="72"/>
      <c r="Q25" s="72"/>
      <c r="R25" s="72"/>
      <c r="S25" s="72"/>
      <c r="T25" s="72"/>
      <c r="U25" s="72">
        <f t="shared" si="2"/>
        <v>0</v>
      </c>
      <c r="V25" s="160"/>
      <c r="W25" s="235">
        <f t="shared" si="3"/>
        <v>0</v>
      </c>
      <c r="X25" s="326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70"/>
    </row>
    <row r="26" spans="1:38" ht="30" hidden="1" customHeight="1" x14ac:dyDescent="0.25">
      <c r="A26" s="82"/>
      <c r="B26" s="139"/>
      <c r="C26" s="2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>
        <f t="shared" si="1"/>
        <v>0</v>
      </c>
      <c r="P26" s="72"/>
      <c r="Q26" s="72"/>
      <c r="R26" s="72"/>
      <c r="S26" s="72"/>
      <c r="T26" s="72"/>
      <c r="U26" s="72">
        <f t="shared" si="2"/>
        <v>0</v>
      </c>
      <c r="V26" s="160"/>
      <c r="W26" s="235">
        <f t="shared" si="3"/>
        <v>0</v>
      </c>
      <c r="X26" s="326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70"/>
    </row>
    <row r="27" spans="1:38" ht="9.9499999999999993" hidden="1" customHeight="1" x14ac:dyDescent="0.25">
      <c r="A27" s="82"/>
      <c r="B27" s="139"/>
      <c r="C27" s="2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160"/>
      <c r="W27" s="235"/>
      <c r="X27" s="326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70"/>
    </row>
    <row r="28" spans="1:38" ht="30" hidden="1" customHeight="1" x14ac:dyDescent="0.25">
      <c r="A28" s="210" t="s">
        <v>81</v>
      </c>
      <c r="B28" s="206"/>
      <c r="C28" s="211" t="s">
        <v>79</v>
      </c>
      <c r="D28" s="72">
        <f t="shared" ref="D28:O28" si="4">SUM(D17:D27)</f>
        <v>0</v>
      </c>
      <c r="E28" s="72">
        <f t="shared" si="4"/>
        <v>0</v>
      </c>
      <c r="F28" s="72">
        <f t="shared" si="4"/>
        <v>0</v>
      </c>
      <c r="G28" s="72">
        <f t="shared" si="4"/>
        <v>0</v>
      </c>
      <c r="H28" s="72">
        <f t="shared" si="4"/>
        <v>0</v>
      </c>
      <c r="I28" s="72">
        <f t="shared" si="4"/>
        <v>0</v>
      </c>
      <c r="J28" s="72">
        <f t="shared" si="4"/>
        <v>0</v>
      </c>
      <c r="K28" s="72">
        <f t="shared" si="4"/>
        <v>0</v>
      </c>
      <c r="L28" s="72">
        <f t="shared" si="4"/>
        <v>0</v>
      </c>
      <c r="M28" s="72">
        <f t="shared" si="4"/>
        <v>0</v>
      </c>
      <c r="N28" s="72">
        <f t="shared" si="4"/>
        <v>0</v>
      </c>
      <c r="O28" s="72">
        <f t="shared" si="4"/>
        <v>0</v>
      </c>
      <c r="P28" s="72"/>
      <c r="Q28" s="72"/>
      <c r="R28" s="72"/>
      <c r="S28" s="72">
        <f>SUM(S17:S27)</f>
        <v>0</v>
      </c>
      <c r="T28" s="72">
        <f>SUM(T17:T27)</f>
        <v>0</v>
      </c>
      <c r="U28" s="72">
        <f>SUM(U17:U27)</f>
        <v>0</v>
      </c>
      <c r="V28" s="208"/>
      <c r="W28" s="236">
        <f>O28+U28</f>
        <v>0</v>
      </c>
      <c r="X28" s="326">
        <f>SUM(X17:X27)</f>
        <v>6430.232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70"/>
    </row>
    <row r="29" spans="1:38" ht="9.9499999999999993" hidden="1" customHeight="1" x14ac:dyDescent="0.25">
      <c r="A29" s="82"/>
      <c r="B29" s="139"/>
      <c r="C29" s="28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160"/>
      <c r="W29" s="235"/>
      <c r="X29" s="326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70"/>
    </row>
    <row r="30" spans="1:38" ht="30" hidden="1" customHeight="1" x14ac:dyDescent="0.25">
      <c r="A30" s="82">
        <v>4</v>
      </c>
      <c r="B30" s="225" t="s">
        <v>273</v>
      </c>
      <c r="C30" s="28" t="s">
        <v>259</v>
      </c>
      <c r="D30" s="423"/>
      <c r="E30" s="423"/>
      <c r="F30" s="423">
        <f>3251.484</f>
        <v>3251.4839999999999</v>
      </c>
      <c r="G30" s="423"/>
      <c r="H30" s="590"/>
      <c r="I30" s="423"/>
      <c r="J30" s="423"/>
      <c r="K30" s="423"/>
      <c r="L30" s="423"/>
      <c r="M30" s="423"/>
      <c r="N30" s="423"/>
      <c r="O30" s="423">
        <f>SUM(D30:N30)</f>
        <v>3251.4839999999999</v>
      </c>
      <c r="P30" s="423"/>
      <c r="Q30" s="423"/>
      <c r="R30" s="423"/>
      <c r="S30" s="423"/>
      <c r="T30" s="423"/>
      <c r="U30" s="423">
        <f>SUM(Q30:T30)</f>
        <v>0</v>
      </c>
      <c r="V30" s="160"/>
      <c r="W30" s="235">
        <f>O30+U30</f>
        <v>3251.4839999999999</v>
      </c>
      <c r="X30" s="326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70"/>
    </row>
    <row r="31" spans="1:38" ht="30" hidden="1" customHeight="1" x14ac:dyDescent="0.25">
      <c r="A31" s="82">
        <v>5</v>
      </c>
      <c r="B31" s="592" t="s">
        <v>276</v>
      </c>
      <c r="C31" s="41" t="s">
        <v>275</v>
      </c>
      <c r="D31" s="423"/>
      <c r="E31" s="423"/>
      <c r="F31" s="590"/>
      <c r="G31" s="423"/>
      <c r="H31" s="423">
        <f>112</f>
        <v>112</v>
      </c>
      <c r="I31" s="423"/>
      <c r="J31" s="423"/>
      <c r="K31" s="423"/>
      <c r="L31" s="423">
        <f>414</f>
        <v>414</v>
      </c>
      <c r="M31" s="423"/>
      <c r="N31" s="423"/>
      <c r="O31" s="423">
        <f>SUM(D31:N31)</f>
        <v>526</v>
      </c>
      <c r="P31" s="423"/>
      <c r="Q31" s="423"/>
      <c r="R31" s="423"/>
      <c r="S31" s="423"/>
      <c r="T31" s="423"/>
      <c r="U31" s="423">
        <f>SUM(Q31:T31)</f>
        <v>0</v>
      </c>
      <c r="V31" s="160"/>
      <c r="W31" s="235">
        <f>O31+U31</f>
        <v>526</v>
      </c>
      <c r="X31" s="326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70"/>
    </row>
    <row r="32" spans="1:38" ht="30" hidden="1" customHeight="1" x14ac:dyDescent="0.25">
      <c r="A32" s="82">
        <v>6</v>
      </c>
      <c r="B32" s="596" t="s">
        <v>315</v>
      </c>
      <c r="C32" s="28" t="s">
        <v>259</v>
      </c>
      <c r="D32" s="423"/>
      <c r="E32" s="423"/>
      <c r="F32" s="423">
        <f>414.969</f>
        <v>414.96899999999999</v>
      </c>
      <c r="G32" s="423"/>
      <c r="H32" s="423"/>
      <c r="I32" s="423"/>
      <c r="J32" s="423"/>
      <c r="K32" s="423"/>
      <c r="L32" s="423"/>
      <c r="M32" s="423"/>
      <c r="N32" s="423"/>
      <c r="O32" s="423">
        <f>SUM(D32:N32)</f>
        <v>414.96899999999999</v>
      </c>
      <c r="P32" s="423"/>
      <c r="Q32" s="423"/>
      <c r="R32" s="423"/>
      <c r="S32" s="423"/>
      <c r="T32" s="423"/>
      <c r="U32" s="423">
        <f>SUM(Q32:T32)</f>
        <v>0</v>
      </c>
      <c r="V32" s="160"/>
      <c r="W32" s="235">
        <f>O32+U32</f>
        <v>414.96899999999999</v>
      </c>
      <c r="X32" s="326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70"/>
    </row>
    <row r="33" spans="1:38" ht="30" hidden="1" customHeight="1" x14ac:dyDescent="0.25">
      <c r="A33" s="82" t="s">
        <v>108</v>
      </c>
      <c r="B33" s="225"/>
      <c r="C33" s="28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3">
        <f t="shared" ref="O33:O38" si="5">SUM(D33:N33)</f>
        <v>0</v>
      </c>
      <c r="P33" s="423"/>
      <c r="Q33" s="423"/>
      <c r="R33" s="423"/>
      <c r="S33" s="423"/>
      <c r="T33" s="423"/>
      <c r="U33" s="423">
        <f t="shared" ref="U33:U38" si="6">SUM(Q33:T33)</f>
        <v>0</v>
      </c>
      <c r="V33" s="160"/>
      <c r="W33" s="235">
        <f t="shared" ref="W33:W38" si="7">O33+U33</f>
        <v>0</v>
      </c>
      <c r="X33" s="326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70"/>
    </row>
    <row r="34" spans="1:38" ht="30" hidden="1" customHeight="1" x14ac:dyDescent="0.25">
      <c r="A34" s="82" t="s">
        <v>108</v>
      </c>
      <c r="B34" s="225"/>
      <c r="C34" s="28"/>
      <c r="D34" s="423"/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423">
        <f t="shared" si="5"/>
        <v>0</v>
      </c>
      <c r="P34" s="423"/>
      <c r="Q34" s="423"/>
      <c r="R34" s="423"/>
      <c r="S34" s="423"/>
      <c r="T34" s="423"/>
      <c r="U34" s="423">
        <f t="shared" si="6"/>
        <v>0</v>
      </c>
      <c r="V34" s="160"/>
      <c r="W34" s="235">
        <f t="shared" si="7"/>
        <v>0</v>
      </c>
      <c r="X34" s="326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70"/>
    </row>
    <row r="35" spans="1:38" ht="30" hidden="1" customHeight="1" x14ac:dyDescent="0.25">
      <c r="A35" s="82"/>
      <c r="B35" s="139"/>
      <c r="C35" s="28"/>
      <c r="D35" s="423"/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3">
        <f t="shared" si="5"/>
        <v>0</v>
      </c>
      <c r="P35" s="423"/>
      <c r="Q35" s="423"/>
      <c r="R35" s="423"/>
      <c r="S35" s="423"/>
      <c r="T35" s="423"/>
      <c r="U35" s="423">
        <f t="shared" si="6"/>
        <v>0</v>
      </c>
      <c r="V35" s="160"/>
      <c r="W35" s="235">
        <f t="shared" si="7"/>
        <v>0</v>
      </c>
      <c r="X35" s="326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70"/>
    </row>
    <row r="36" spans="1:38" ht="30" hidden="1" customHeight="1" x14ac:dyDescent="0.25">
      <c r="A36" s="82"/>
      <c r="B36" s="139"/>
      <c r="C36" s="28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>
        <f t="shared" si="5"/>
        <v>0</v>
      </c>
      <c r="P36" s="423"/>
      <c r="Q36" s="423"/>
      <c r="R36" s="423"/>
      <c r="S36" s="423"/>
      <c r="T36" s="423"/>
      <c r="U36" s="423">
        <f t="shared" si="6"/>
        <v>0</v>
      </c>
      <c r="V36" s="160"/>
      <c r="W36" s="235">
        <f t="shared" si="7"/>
        <v>0</v>
      </c>
      <c r="X36" s="326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70"/>
    </row>
    <row r="37" spans="1:38" ht="30" hidden="1" customHeight="1" x14ac:dyDescent="0.25">
      <c r="A37" s="82"/>
      <c r="B37" s="139"/>
      <c r="C37" s="28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>
        <f t="shared" si="5"/>
        <v>0</v>
      </c>
      <c r="P37" s="423"/>
      <c r="Q37" s="423"/>
      <c r="R37" s="423"/>
      <c r="S37" s="423"/>
      <c r="T37" s="423"/>
      <c r="U37" s="423">
        <f t="shared" si="6"/>
        <v>0</v>
      </c>
      <c r="V37" s="160"/>
      <c r="W37" s="235">
        <f t="shared" si="7"/>
        <v>0</v>
      </c>
      <c r="X37" s="326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70"/>
    </row>
    <row r="38" spans="1:38" ht="30" hidden="1" customHeight="1" x14ac:dyDescent="0.25">
      <c r="A38" s="82"/>
      <c r="B38" s="139"/>
      <c r="C38" s="28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>
        <f t="shared" si="5"/>
        <v>0</v>
      </c>
      <c r="P38" s="423"/>
      <c r="Q38" s="423"/>
      <c r="R38" s="423"/>
      <c r="S38" s="423"/>
      <c r="T38" s="423"/>
      <c r="U38" s="423">
        <f t="shared" si="6"/>
        <v>0</v>
      </c>
      <c r="V38" s="160"/>
      <c r="W38" s="235">
        <f t="shared" si="7"/>
        <v>0</v>
      </c>
      <c r="X38" s="326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70"/>
    </row>
    <row r="39" spans="1:38" ht="9.9499999999999993" hidden="1" customHeight="1" x14ac:dyDescent="0.25">
      <c r="A39" s="82"/>
      <c r="B39" s="139"/>
      <c r="C39" s="28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160"/>
      <c r="W39" s="235"/>
      <c r="X39" s="326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70"/>
    </row>
    <row r="40" spans="1:38" ht="30" hidden="1" customHeight="1" x14ac:dyDescent="0.25">
      <c r="A40" s="210" t="s">
        <v>82</v>
      </c>
      <c r="B40" s="206"/>
      <c r="C40" s="211" t="s">
        <v>80</v>
      </c>
      <c r="D40" s="538"/>
      <c r="E40" s="423">
        <f>SUM(E30:E39)</f>
        <v>0</v>
      </c>
      <c r="F40" s="423">
        <f t="shared" ref="F40:K40" si="8">SUM(F30:F39)</f>
        <v>3666.453</v>
      </c>
      <c r="G40" s="423">
        <f t="shared" si="8"/>
        <v>0</v>
      </c>
      <c r="H40" s="423">
        <f t="shared" si="8"/>
        <v>112</v>
      </c>
      <c r="I40" s="423">
        <f t="shared" si="8"/>
        <v>0</v>
      </c>
      <c r="J40" s="423">
        <f t="shared" si="8"/>
        <v>0</v>
      </c>
      <c r="K40" s="423">
        <f t="shared" si="8"/>
        <v>0</v>
      </c>
      <c r="L40" s="423">
        <f t="shared" ref="L40:U40" si="9">SUM(L30:L39)</f>
        <v>414</v>
      </c>
      <c r="M40" s="423">
        <f t="shared" si="9"/>
        <v>0</v>
      </c>
      <c r="N40" s="423">
        <f t="shared" si="9"/>
        <v>0</v>
      </c>
      <c r="O40" s="423">
        <f t="shared" si="9"/>
        <v>4192.4529999999995</v>
      </c>
      <c r="P40" s="423"/>
      <c r="Q40" s="423"/>
      <c r="R40" s="423"/>
      <c r="S40" s="423">
        <f t="shared" si="9"/>
        <v>0</v>
      </c>
      <c r="T40" s="423">
        <f t="shared" si="9"/>
        <v>0</v>
      </c>
      <c r="U40" s="423">
        <f t="shared" si="9"/>
        <v>0</v>
      </c>
      <c r="V40" s="208"/>
      <c r="W40" s="236">
        <f>O40+U40</f>
        <v>4192.4529999999995</v>
      </c>
      <c r="X40" s="326">
        <f>SUM(X30:X39)</f>
        <v>0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70"/>
    </row>
    <row r="41" spans="1:38" ht="20.100000000000001" hidden="1" customHeight="1" thickBot="1" x14ac:dyDescent="0.3">
      <c r="A41" s="68"/>
      <c r="B41" s="120"/>
      <c r="C41" s="28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144"/>
      <c r="W41" s="237"/>
      <c r="X41" s="244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70"/>
    </row>
    <row r="42" spans="1:38" ht="24.95" hidden="1" customHeight="1" thickTop="1" thickBot="1" x14ac:dyDescent="0.3">
      <c r="A42" s="35"/>
      <c r="B42" s="36"/>
      <c r="C42" s="44" t="s">
        <v>83</v>
      </c>
      <c r="D42" s="37">
        <f t="shared" ref="D42:U42" si="10">D28+D40</f>
        <v>0</v>
      </c>
      <c r="E42" s="37">
        <f t="shared" si="10"/>
        <v>0</v>
      </c>
      <c r="F42" s="37">
        <f t="shared" si="10"/>
        <v>3666.453</v>
      </c>
      <c r="G42" s="37">
        <f t="shared" si="10"/>
        <v>0</v>
      </c>
      <c r="H42" s="37">
        <f t="shared" si="10"/>
        <v>112</v>
      </c>
      <c r="I42" s="37">
        <f t="shared" si="10"/>
        <v>0</v>
      </c>
      <c r="J42" s="37">
        <f t="shared" si="10"/>
        <v>0</v>
      </c>
      <c r="K42" s="37">
        <f t="shared" si="10"/>
        <v>0</v>
      </c>
      <c r="L42" s="37">
        <f t="shared" si="10"/>
        <v>414</v>
      </c>
      <c r="M42" s="37">
        <f t="shared" si="10"/>
        <v>0</v>
      </c>
      <c r="N42" s="37">
        <f t="shared" si="10"/>
        <v>0</v>
      </c>
      <c r="O42" s="37">
        <f t="shared" si="10"/>
        <v>4192.4529999999995</v>
      </c>
      <c r="P42" s="37"/>
      <c r="Q42" s="37">
        <f>Q28+Q40</f>
        <v>0</v>
      </c>
      <c r="R42" s="37">
        <f>R28+R40</f>
        <v>0</v>
      </c>
      <c r="S42" s="37">
        <f t="shared" si="10"/>
        <v>0</v>
      </c>
      <c r="T42" s="37">
        <f t="shared" si="10"/>
        <v>0</v>
      </c>
      <c r="U42" s="37">
        <f t="shared" si="10"/>
        <v>0</v>
      </c>
      <c r="V42" s="209"/>
      <c r="W42" s="238">
        <f>W28+W40</f>
        <v>4192.4529999999995</v>
      </c>
      <c r="X42" s="38">
        <f>X28+X40</f>
        <v>6430.232</v>
      </c>
    </row>
    <row r="43" spans="1:38" ht="24.95" hidden="1" customHeight="1" thickTop="1" thickBot="1" x14ac:dyDescent="0.3">
      <c r="A43" s="35"/>
      <c r="B43" s="36"/>
      <c r="C43" s="44" t="s">
        <v>141</v>
      </c>
      <c r="D43" s="204">
        <f t="shared" ref="D43:O43" si="11">D16+D42</f>
        <v>0</v>
      </c>
      <c r="E43" s="204">
        <f t="shared" si="11"/>
        <v>0</v>
      </c>
      <c r="F43" s="204">
        <f t="shared" si="11"/>
        <v>3666.453</v>
      </c>
      <c r="G43" s="204">
        <f t="shared" si="11"/>
        <v>5150</v>
      </c>
      <c r="H43" s="204">
        <f t="shared" si="11"/>
        <v>10144</v>
      </c>
      <c r="I43" s="204">
        <f t="shared" si="11"/>
        <v>0</v>
      </c>
      <c r="J43" s="204">
        <f t="shared" si="11"/>
        <v>0</v>
      </c>
      <c r="K43" s="204">
        <f t="shared" si="11"/>
        <v>0</v>
      </c>
      <c r="L43" s="204">
        <f t="shared" si="11"/>
        <v>564</v>
      </c>
      <c r="M43" s="204">
        <f t="shared" si="11"/>
        <v>1200</v>
      </c>
      <c r="N43" s="37">
        <f t="shared" si="11"/>
        <v>0</v>
      </c>
      <c r="O43" s="37">
        <f t="shared" si="11"/>
        <v>20724.453000000001</v>
      </c>
      <c r="P43" s="37"/>
      <c r="Q43" s="37">
        <f>Q16+Q42</f>
        <v>0</v>
      </c>
      <c r="R43" s="37">
        <f>R16+R42</f>
        <v>93504</v>
      </c>
      <c r="S43" s="37">
        <f>S16+S42</f>
        <v>0</v>
      </c>
      <c r="T43" s="37">
        <f>T16+T42</f>
        <v>0</v>
      </c>
      <c r="U43" s="37">
        <f>U16+U42</f>
        <v>93504</v>
      </c>
      <c r="V43" s="37"/>
      <c r="W43" s="238">
        <f>O43+U43</f>
        <v>114228.45300000001</v>
      </c>
      <c r="X43" s="232">
        <f>X16+X42</f>
        <v>2635435.2319999998</v>
      </c>
    </row>
    <row r="44" spans="1:38" ht="15" hidden="1" customHeight="1" thickTop="1" thickBot="1" x14ac:dyDescent="0.3">
      <c r="A44" s="35"/>
      <c r="B44" s="36"/>
      <c r="C44" s="4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37"/>
      <c r="O44" s="37"/>
      <c r="P44" s="37"/>
      <c r="Q44" s="37"/>
      <c r="R44" s="37"/>
      <c r="S44" s="37"/>
      <c r="T44" s="37"/>
      <c r="U44" s="37"/>
      <c r="V44" s="37"/>
      <c r="W44" s="238"/>
      <c r="X44" s="232"/>
    </row>
    <row r="45" spans="1:38" ht="24.95" hidden="1" customHeight="1" thickTop="1" thickBot="1" x14ac:dyDescent="0.3">
      <c r="A45" s="35"/>
      <c r="B45" s="36"/>
      <c r="C45" s="303" t="s">
        <v>214</v>
      </c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37"/>
      <c r="O45" s="37">
        <f>SUM(D45:N45)</f>
        <v>0</v>
      </c>
      <c r="P45" s="37"/>
      <c r="Q45" s="37"/>
      <c r="R45" s="565">
        <f>202060.537+31432</f>
        <v>233492.53700000001</v>
      </c>
      <c r="S45" s="565"/>
      <c r="T45" s="37"/>
      <c r="U45" s="37">
        <f>SUM(Q45:T45)</f>
        <v>233492.53700000001</v>
      </c>
      <c r="V45" s="37"/>
      <c r="W45" s="238">
        <f>O45+U45</f>
        <v>233492.53700000001</v>
      </c>
      <c r="X45" s="232"/>
    </row>
    <row r="46" spans="1:38" ht="15" hidden="1" customHeight="1" thickTop="1" thickBot="1" x14ac:dyDescent="0.3">
      <c r="A46" s="35"/>
      <c r="B46" s="36"/>
      <c r="C46" s="303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37"/>
      <c r="O46" s="37"/>
      <c r="P46" s="37"/>
      <c r="Q46" s="37"/>
      <c r="R46" s="37"/>
      <c r="S46" s="37"/>
      <c r="T46" s="37"/>
      <c r="U46" s="37"/>
      <c r="V46" s="37"/>
      <c r="W46" s="238"/>
      <c r="X46" s="232"/>
    </row>
    <row r="47" spans="1:38" ht="24.95" hidden="1" customHeight="1" thickTop="1" thickBot="1" x14ac:dyDescent="0.3">
      <c r="A47" s="35"/>
      <c r="B47" s="36"/>
      <c r="C47" s="303" t="s">
        <v>78</v>
      </c>
      <c r="D47" s="204"/>
      <c r="E47" s="204"/>
      <c r="F47" s="204"/>
      <c r="G47" s="204"/>
      <c r="H47" s="204"/>
      <c r="I47" s="204"/>
      <c r="J47" s="204"/>
      <c r="K47" s="204"/>
      <c r="L47" s="204"/>
      <c r="M47" s="37"/>
      <c r="N47" s="37"/>
      <c r="O47" s="37">
        <f>SUM(D47:N47)</f>
        <v>0</v>
      </c>
      <c r="P47" s="37"/>
      <c r="Q47" s="37"/>
      <c r="R47" s="37"/>
      <c r="S47" s="37"/>
      <c r="T47" s="37"/>
      <c r="U47" s="37">
        <f>SUM(Q47:T47)</f>
        <v>0</v>
      </c>
      <c r="V47" s="204"/>
      <c r="W47" s="238">
        <f>O47+U47</f>
        <v>0</v>
      </c>
      <c r="X47" s="232"/>
    </row>
    <row r="48" spans="1:38" ht="15" hidden="1" customHeight="1" thickTop="1" thickBot="1" x14ac:dyDescent="0.3">
      <c r="A48" s="35"/>
      <c r="B48" s="36"/>
      <c r="C48" s="303"/>
      <c r="D48" s="204"/>
      <c r="E48" s="204"/>
      <c r="F48" s="204"/>
      <c r="G48" s="204"/>
      <c r="H48" s="204"/>
      <c r="I48" s="204"/>
      <c r="J48" s="204"/>
      <c r="K48" s="204"/>
      <c r="L48" s="204"/>
      <c r="M48" s="37"/>
      <c r="N48" s="37"/>
      <c r="O48" s="37"/>
      <c r="P48" s="37"/>
      <c r="Q48" s="37"/>
      <c r="R48" s="37"/>
      <c r="S48" s="37"/>
      <c r="T48" s="37"/>
      <c r="U48" s="37"/>
      <c r="V48" s="204"/>
      <c r="W48" s="238"/>
      <c r="X48" s="232"/>
    </row>
    <row r="49" spans="1:24" ht="30" hidden="1" customHeight="1" thickTop="1" thickBot="1" x14ac:dyDescent="0.3">
      <c r="A49" s="35"/>
      <c r="B49" s="223" t="s">
        <v>160</v>
      </c>
      <c r="C49" s="44" t="s">
        <v>215</v>
      </c>
      <c r="D49" s="37">
        <f t="shared" ref="D49:U49" si="12">D43+D45+D47</f>
        <v>0</v>
      </c>
      <c r="E49" s="37">
        <f t="shared" si="12"/>
        <v>0</v>
      </c>
      <c r="F49" s="37">
        <f t="shared" si="12"/>
        <v>3666.453</v>
      </c>
      <c r="G49" s="37">
        <f t="shared" si="12"/>
        <v>5150</v>
      </c>
      <c r="H49" s="37">
        <f t="shared" si="12"/>
        <v>10144</v>
      </c>
      <c r="I49" s="37">
        <f t="shared" si="12"/>
        <v>0</v>
      </c>
      <c r="J49" s="37">
        <f t="shared" si="12"/>
        <v>0</v>
      </c>
      <c r="K49" s="37">
        <f t="shared" si="12"/>
        <v>0</v>
      </c>
      <c r="L49" s="37">
        <f t="shared" si="12"/>
        <v>564</v>
      </c>
      <c r="M49" s="37">
        <f t="shared" si="12"/>
        <v>1200</v>
      </c>
      <c r="N49" s="37">
        <f t="shared" si="12"/>
        <v>0</v>
      </c>
      <c r="O49" s="37">
        <f t="shared" si="12"/>
        <v>20724.453000000001</v>
      </c>
      <c r="P49" s="37"/>
      <c r="Q49" s="37">
        <f t="shared" si="12"/>
        <v>0</v>
      </c>
      <c r="R49" s="37">
        <f t="shared" si="12"/>
        <v>326996.53700000001</v>
      </c>
      <c r="S49" s="37">
        <f t="shared" si="12"/>
        <v>0</v>
      </c>
      <c r="T49" s="37">
        <f t="shared" si="12"/>
        <v>0</v>
      </c>
      <c r="U49" s="37">
        <f t="shared" si="12"/>
        <v>326996.53700000001</v>
      </c>
      <c r="V49" s="204"/>
      <c r="W49" s="238">
        <f>W43+W45+W47</f>
        <v>347720.99</v>
      </c>
      <c r="X49" s="232">
        <f>X43+X45</f>
        <v>2635435.2319999998</v>
      </c>
    </row>
    <row r="50" spans="1:24" ht="24.95" customHeight="1" x14ac:dyDescent="0.25">
      <c r="A50" s="22"/>
      <c r="B50" s="23"/>
      <c r="C50" s="24" t="s">
        <v>18</v>
      </c>
      <c r="D50" s="25">
        <f t="shared" ref="D50:L50" si="13">D49</f>
        <v>0</v>
      </c>
      <c r="E50" s="25">
        <f t="shared" si="13"/>
        <v>0</v>
      </c>
      <c r="F50" s="25">
        <f t="shared" si="13"/>
        <v>3666.453</v>
      </c>
      <c r="G50" s="25">
        <f t="shared" si="13"/>
        <v>5150</v>
      </c>
      <c r="H50" s="25">
        <f t="shared" si="13"/>
        <v>10144</v>
      </c>
      <c r="I50" s="25">
        <f t="shared" si="13"/>
        <v>0</v>
      </c>
      <c r="J50" s="25">
        <f t="shared" si="13"/>
        <v>0</v>
      </c>
      <c r="K50" s="25">
        <f t="shared" si="13"/>
        <v>0</v>
      </c>
      <c r="L50" s="25">
        <f t="shared" si="13"/>
        <v>564</v>
      </c>
      <c r="M50" s="25">
        <f t="shared" ref="M50:U50" si="14">M49</f>
        <v>1200</v>
      </c>
      <c r="N50" s="25">
        <f t="shared" si="14"/>
        <v>0</v>
      </c>
      <c r="O50" s="25">
        <f t="shared" si="14"/>
        <v>20724.453000000001</v>
      </c>
      <c r="P50" s="25"/>
      <c r="Q50" s="25">
        <f>Q49</f>
        <v>0</v>
      </c>
      <c r="R50" s="25">
        <f>R49</f>
        <v>326996.53700000001</v>
      </c>
      <c r="S50" s="25">
        <f t="shared" si="14"/>
        <v>0</v>
      </c>
      <c r="T50" s="25">
        <f t="shared" si="14"/>
        <v>0</v>
      </c>
      <c r="U50" s="25">
        <f t="shared" si="14"/>
        <v>326996.53700000001</v>
      </c>
      <c r="V50" s="25"/>
      <c r="W50" s="239">
        <f>O50+U50</f>
        <v>347720.99</v>
      </c>
      <c r="X50" s="246">
        <f>X49</f>
        <v>2635435.2319999998</v>
      </c>
    </row>
    <row r="51" spans="1:24" ht="24.95" customHeight="1" x14ac:dyDescent="0.25">
      <c r="A51" s="466"/>
      <c r="B51" s="467"/>
      <c r="C51" s="468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1"/>
      <c r="W51" s="469"/>
      <c r="X51" s="470"/>
    </row>
    <row r="52" spans="1:24" ht="30" customHeight="1" x14ac:dyDescent="0.2">
      <c r="A52" s="40">
        <v>1</v>
      </c>
      <c r="B52" s="225" t="s">
        <v>381</v>
      </c>
      <c r="C52" s="28" t="s">
        <v>263</v>
      </c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471">
        <f t="shared" ref="O52:O67" si="15">SUM(D52:N52)</f>
        <v>0</v>
      </c>
      <c r="P52" s="320"/>
      <c r="Q52" s="320"/>
      <c r="R52" s="320"/>
      <c r="S52" s="320"/>
      <c r="T52" s="320"/>
      <c r="U52" s="471">
        <f t="shared" ref="U52:U66" si="16">SUM(Q52:T52)</f>
        <v>0</v>
      </c>
      <c r="V52" s="321"/>
      <c r="W52" s="247">
        <f t="shared" ref="W52:W66" si="17">O52+U52</f>
        <v>0</v>
      </c>
      <c r="X52" s="376">
        <v>1913.8140000000001</v>
      </c>
    </row>
    <row r="53" spans="1:24" ht="30" customHeight="1" x14ac:dyDescent="0.2">
      <c r="A53" s="40">
        <v>2</v>
      </c>
      <c r="B53" s="225" t="s">
        <v>396</v>
      </c>
      <c r="C53" s="41" t="s">
        <v>393</v>
      </c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>
        <f t="shared" si="15"/>
        <v>0</v>
      </c>
      <c r="P53" s="230"/>
      <c r="Q53" s="230"/>
      <c r="R53" s="230"/>
      <c r="S53" s="230"/>
      <c r="T53" s="230"/>
      <c r="U53" s="230">
        <f t="shared" si="16"/>
        <v>0</v>
      </c>
      <c r="V53" s="231"/>
      <c r="W53" s="247">
        <f t="shared" si="17"/>
        <v>0</v>
      </c>
      <c r="X53" s="376">
        <f>2958</f>
        <v>2958</v>
      </c>
    </row>
    <row r="54" spans="1:24" ht="30" customHeight="1" x14ac:dyDescent="0.2">
      <c r="A54" s="40">
        <v>3</v>
      </c>
      <c r="B54" s="624" t="s">
        <v>397</v>
      </c>
      <c r="C54" s="41" t="s">
        <v>395</v>
      </c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>
        <f t="shared" si="15"/>
        <v>0</v>
      </c>
      <c r="P54" s="230"/>
      <c r="Q54" s="230"/>
      <c r="R54" s="230"/>
      <c r="S54" s="230"/>
      <c r="T54" s="230"/>
      <c r="U54" s="230">
        <f t="shared" si="16"/>
        <v>0</v>
      </c>
      <c r="V54" s="231"/>
      <c r="W54" s="247">
        <f t="shared" si="17"/>
        <v>0</v>
      </c>
      <c r="X54" s="376">
        <f>2462</f>
        <v>2462</v>
      </c>
    </row>
    <row r="55" spans="1:24" ht="30" customHeight="1" x14ac:dyDescent="0.2">
      <c r="A55" s="40">
        <v>4</v>
      </c>
      <c r="B55" s="225" t="s">
        <v>496</v>
      </c>
      <c r="C55" s="41" t="s">
        <v>495</v>
      </c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>
        <f t="shared" si="15"/>
        <v>0</v>
      </c>
      <c r="P55" s="230"/>
      <c r="Q55" s="230"/>
      <c r="R55" s="230"/>
      <c r="S55" s="230"/>
      <c r="T55" s="230"/>
      <c r="U55" s="230">
        <f t="shared" si="16"/>
        <v>0</v>
      </c>
      <c r="V55" s="231"/>
      <c r="W55" s="247">
        <f t="shared" si="17"/>
        <v>0</v>
      </c>
      <c r="X55" s="376">
        <f>-184</f>
        <v>-184</v>
      </c>
    </row>
    <row r="56" spans="1:24" ht="30" customHeight="1" x14ac:dyDescent="0.2">
      <c r="A56" s="40">
        <v>5</v>
      </c>
      <c r="B56" s="630" t="s">
        <v>521</v>
      </c>
      <c r="C56" s="28" t="s">
        <v>263</v>
      </c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>
        <f t="shared" si="15"/>
        <v>0</v>
      </c>
      <c r="P56" s="230"/>
      <c r="Q56" s="230"/>
      <c r="R56" s="230"/>
      <c r="S56" s="230"/>
      <c r="T56" s="230"/>
      <c r="U56" s="230">
        <f t="shared" si="16"/>
        <v>0</v>
      </c>
      <c r="V56" s="231"/>
      <c r="W56" s="247">
        <f t="shared" si="17"/>
        <v>0</v>
      </c>
      <c r="X56" s="376">
        <f>1811.944</f>
        <v>1811.944</v>
      </c>
    </row>
    <row r="57" spans="1:24" ht="30" customHeight="1" x14ac:dyDescent="0.2">
      <c r="A57" s="40">
        <v>6</v>
      </c>
      <c r="B57" s="225" t="s">
        <v>535</v>
      </c>
      <c r="C57" s="41" t="s">
        <v>534</v>
      </c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>
        <f t="shared" si="15"/>
        <v>0</v>
      </c>
      <c r="P57" s="230"/>
      <c r="Q57" s="230"/>
      <c r="R57" s="230"/>
      <c r="S57" s="230"/>
      <c r="T57" s="230"/>
      <c r="U57" s="230">
        <f t="shared" si="16"/>
        <v>0</v>
      </c>
      <c r="V57" s="231"/>
      <c r="W57" s="247">
        <f t="shared" si="17"/>
        <v>0</v>
      </c>
      <c r="X57" s="376">
        <f>1500</f>
        <v>1500</v>
      </c>
    </row>
    <row r="58" spans="1:24" ht="30" customHeight="1" x14ac:dyDescent="0.2">
      <c r="A58" s="40">
        <v>7</v>
      </c>
      <c r="B58" s="596" t="s">
        <v>544</v>
      </c>
      <c r="C58" s="41" t="s">
        <v>545</v>
      </c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>
        <f t="shared" si="15"/>
        <v>0</v>
      </c>
      <c r="P58" s="230"/>
      <c r="Q58" s="230"/>
      <c r="R58" s="230"/>
      <c r="S58" s="230"/>
      <c r="T58" s="230"/>
      <c r="U58" s="230">
        <f t="shared" si="16"/>
        <v>0</v>
      </c>
      <c r="V58" s="231"/>
      <c r="W58" s="247">
        <f t="shared" si="17"/>
        <v>0</v>
      </c>
      <c r="X58" s="376">
        <f>5000</f>
        <v>5000</v>
      </c>
    </row>
    <row r="59" spans="1:24" ht="24.95" hidden="1" customHeight="1" x14ac:dyDescent="0.2">
      <c r="A59" s="40"/>
      <c r="B59" s="27"/>
      <c r="C59" s="34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>
        <f t="shared" si="15"/>
        <v>0</v>
      </c>
      <c r="P59" s="230"/>
      <c r="Q59" s="230"/>
      <c r="R59" s="230"/>
      <c r="S59" s="230"/>
      <c r="T59" s="230"/>
      <c r="U59" s="230">
        <f t="shared" si="16"/>
        <v>0</v>
      </c>
      <c r="V59" s="231"/>
      <c r="W59" s="247">
        <f t="shared" si="17"/>
        <v>0</v>
      </c>
      <c r="X59" s="248"/>
    </row>
    <row r="60" spans="1:24" ht="24.95" hidden="1" customHeight="1" x14ac:dyDescent="0.2">
      <c r="A60" s="40"/>
      <c r="B60" s="318"/>
      <c r="C60" s="28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>
        <f t="shared" si="15"/>
        <v>0</v>
      </c>
      <c r="P60" s="230"/>
      <c r="Q60" s="230"/>
      <c r="R60" s="230"/>
      <c r="S60" s="230"/>
      <c r="T60" s="230"/>
      <c r="U60" s="230">
        <f t="shared" si="16"/>
        <v>0</v>
      </c>
      <c r="V60" s="231"/>
      <c r="W60" s="247">
        <f t="shared" si="17"/>
        <v>0</v>
      </c>
      <c r="X60" s="248"/>
    </row>
    <row r="61" spans="1:24" ht="24.95" hidden="1" customHeight="1" x14ac:dyDescent="0.2">
      <c r="A61" s="40"/>
      <c r="B61" s="27"/>
      <c r="C61" s="28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>
        <f t="shared" si="15"/>
        <v>0</v>
      </c>
      <c r="P61" s="230"/>
      <c r="Q61" s="230"/>
      <c r="R61" s="230"/>
      <c r="S61" s="230"/>
      <c r="T61" s="230"/>
      <c r="U61" s="230">
        <f t="shared" si="16"/>
        <v>0</v>
      </c>
      <c r="V61" s="231"/>
      <c r="W61" s="247">
        <f t="shared" si="17"/>
        <v>0</v>
      </c>
      <c r="X61" s="248"/>
    </row>
    <row r="62" spans="1:24" ht="24.95" hidden="1" customHeight="1" x14ac:dyDescent="0.2">
      <c r="A62" s="40"/>
      <c r="B62" s="319"/>
      <c r="C62" s="28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>
        <f t="shared" si="15"/>
        <v>0</v>
      </c>
      <c r="P62" s="230"/>
      <c r="Q62" s="230"/>
      <c r="R62" s="230"/>
      <c r="S62" s="230"/>
      <c r="T62" s="230"/>
      <c r="U62" s="230">
        <f t="shared" si="16"/>
        <v>0</v>
      </c>
      <c r="V62" s="231"/>
      <c r="W62" s="247">
        <f t="shared" si="17"/>
        <v>0</v>
      </c>
      <c r="X62" s="248"/>
    </row>
    <row r="63" spans="1:24" ht="24.95" hidden="1" customHeight="1" x14ac:dyDescent="0.2">
      <c r="A63" s="40"/>
      <c r="B63" s="75"/>
      <c r="C63" s="28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>
        <f t="shared" si="15"/>
        <v>0</v>
      </c>
      <c r="P63" s="230"/>
      <c r="Q63" s="230"/>
      <c r="R63" s="230"/>
      <c r="S63" s="230"/>
      <c r="T63" s="230"/>
      <c r="U63" s="230">
        <f t="shared" si="16"/>
        <v>0</v>
      </c>
      <c r="V63" s="231"/>
      <c r="W63" s="247">
        <f t="shared" si="17"/>
        <v>0</v>
      </c>
      <c r="X63" s="248"/>
    </row>
    <row r="64" spans="1:24" ht="24.95" hidden="1" customHeight="1" x14ac:dyDescent="0.2">
      <c r="A64" s="40"/>
      <c r="B64" s="75"/>
      <c r="C64" s="41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>
        <f t="shared" si="15"/>
        <v>0</v>
      </c>
      <c r="P64" s="230"/>
      <c r="Q64" s="230"/>
      <c r="R64" s="230"/>
      <c r="S64" s="230"/>
      <c r="T64" s="230"/>
      <c r="U64" s="230">
        <f t="shared" si="16"/>
        <v>0</v>
      </c>
      <c r="V64" s="231"/>
      <c r="W64" s="247">
        <f t="shared" si="17"/>
        <v>0</v>
      </c>
      <c r="X64" s="248"/>
    </row>
    <row r="65" spans="1:24" ht="24.95" hidden="1" customHeight="1" x14ac:dyDescent="0.2">
      <c r="A65" s="40"/>
      <c r="B65" s="27"/>
      <c r="C65" s="41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>
        <f t="shared" si="15"/>
        <v>0</v>
      </c>
      <c r="P65" s="230"/>
      <c r="Q65" s="230"/>
      <c r="R65" s="230"/>
      <c r="S65" s="230"/>
      <c r="T65" s="230"/>
      <c r="U65" s="230">
        <f t="shared" si="16"/>
        <v>0</v>
      </c>
      <c r="V65" s="231"/>
      <c r="W65" s="247">
        <f t="shared" si="17"/>
        <v>0</v>
      </c>
      <c r="X65" s="248"/>
    </row>
    <row r="66" spans="1:24" ht="24.95" hidden="1" customHeight="1" x14ac:dyDescent="0.2">
      <c r="A66" s="40"/>
      <c r="B66" s="27"/>
      <c r="C66" s="41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>
        <f t="shared" si="15"/>
        <v>0</v>
      </c>
      <c r="P66" s="230"/>
      <c r="Q66" s="230"/>
      <c r="R66" s="230"/>
      <c r="S66" s="230"/>
      <c r="T66" s="230"/>
      <c r="U66" s="230">
        <f t="shared" si="16"/>
        <v>0</v>
      </c>
      <c r="V66" s="231"/>
      <c r="W66" s="247">
        <f t="shared" si="17"/>
        <v>0</v>
      </c>
      <c r="X66" s="248"/>
    </row>
    <row r="67" spans="1:24" ht="24.95" hidden="1" customHeight="1" x14ac:dyDescent="0.2">
      <c r="A67" s="40"/>
      <c r="B67" s="27"/>
      <c r="C67" s="41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>
        <f t="shared" si="15"/>
        <v>0</v>
      </c>
      <c r="P67" s="230"/>
      <c r="Q67" s="230"/>
      <c r="R67" s="230"/>
      <c r="S67" s="230"/>
      <c r="T67" s="230"/>
      <c r="U67" s="230"/>
      <c r="V67" s="231"/>
      <c r="W67" s="247"/>
      <c r="X67" s="248"/>
    </row>
    <row r="68" spans="1:24" ht="24.95" customHeight="1" x14ac:dyDescent="0.2">
      <c r="A68" s="40"/>
      <c r="B68" s="138"/>
      <c r="C68" s="41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1"/>
      <c r="W68" s="247"/>
      <c r="X68" s="248"/>
    </row>
    <row r="69" spans="1:24" ht="9.9499999999999993" customHeight="1" x14ac:dyDescent="0.2">
      <c r="A69" s="40"/>
      <c r="B69" s="128"/>
      <c r="C69" s="41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1"/>
      <c r="W69" s="247"/>
      <c r="X69" s="248"/>
    </row>
    <row r="70" spans="1:24" ht="30" customHeight="1" x14ac:dyDescent="0.2">
      <c r="A70" s="210" t="s">
        <v>81</v>
      </c>
      <c r="B70" s="206"/>
      <c r="C70" s="211" t="s">
        <v>79</v>
      </c>
      <c r="D70" s="72">
        <f t="shared" ref="D70:O70" si="18">SUM(D52:D69)</f>
        <v>0</v>
      </c>
      <c r="E70" s="72">
        <f t="shared" si="18"/>
        <v>0</v>
      </c>
      <c r="F70" s="72">
        <f t="shared" si="18"/>
        <v>0</v>
      </c>
      <c r="G70" s="72">
        <f t="shared" si="18"/>
        <v>0</v>
      </c>
      <c r="H70" s="72">
        <f t="shared" si="18"/>
        <v>0</v>
      </c>
      <c r="I70" s="72">
        <f t="shared" si="18"/>
        <v>0</v>
      </c>
      <c r="J70" s="72">
        <f t="shared" si="18"/>
        <v>0</v>
      </c>
      <c r="K70" s="72">
        <f t="shared" si="18"/>
        <v>0</v>
      </c>
      <c r="L70" s="72">
        <f t="shared" si="18"/>
        <v>0</v>
      </c>
      <c r="M70" s="72">
        <f t="shared" si="18"/>
        <v>0</v>
      </c>
      <c r="N70" s="72">
        <f t="shared" si="18"/>
        <v>0</v>
      </c>
      <c r="O70" s="72">
        <f t="shared" si="18"/>
        <v>0</v>
      </c>
      <c r="P70" s="72"/>
      <c r="Q70" s="72">
        <f>SUM(Q52:Q69)</f>
        <v>0</v>
      </c>
      <c r="R70" s="72">
        <f>SUM(R52:R69)</f>
        <v>0</v>
      </c>
      <c r="S70" s="72">
        <f>SUM(S52:S69)</f>
        <v>0</v>
      </c>
      <c r="T70" s="72">
        <f>SUM(T52:T69)</f>
        <v>0</v>
      </c>
      <c r="U70" s="72">
        <f>SUM(U52:U69)</f>
        <v>0</v>
      </c>
      <c r="V70" s="72"/>
      <c r="W70" s="249">
        <f>O70+U70</f>
        <v>0</v>
      </c>
      <c r="X70" s="244">
        <f>SUM(X52:X69)</f>
        <v>15461.758</v>
      </c>
    </row>
    <row r="71" spans="1:24" ht="20.100000000000001" customHeight="1" x14ac:dyDescent="0.2">
      <c r="A71" s="224"/>
      <c r="B71" s="225"/>
      <c r="C71" s="127"/>
      <c r="D71" s="72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1"/>
      <c r="W71" s="247"/>
      <c r="X71" s="248"/>
    </row>
    <row r="72" spans="1:24" ht="30" customHeight="1" x14ac:dyDescent="0.2">
      <c r="A72" s="40">
        <v>8</v>
      </c>
      <c r="B72" s="226" t="s">
        <v>333</v>
      </c>
      <c r="C72" s="41" t="s">
        <v>332</v>
      </c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>
        <f t="shared" ref="O72:O77" si="19">SUM(D72:N72)</f>
        <v>0</v>
      </c>
      <c r="P72" s="171"/>
      <c r="Q72" s="171"/>
      <c r="R72" s="171">
        <f>-1</f>
        <v>-1</v>
      </c>
      <c r="S72" s="171"/>
      <c r="T72" s="171"/>
      <c r="U72" s="171">
        <f>SUM(Q72:T72)</f>
        <v>-1</v>
      </c>
      <c r="V72" s="172"/>
      <c r="W72" s="464">
        <f>O72+U72</f>
        <v>-1</v>
      </c>
      <c r="X72" s="376"/>
    </row>
    <row r="73" spans="1:24" ht="30" customHeight="1" x14ac:dyDescent="0.2">
      <c r="A73" s="181">
        <v>9</v>
      </c>
      <c r="B73" s="182" t="s">
        <v>425</v>
      </c>
      <c r="C73" s="41" t="s">
        <v>426</v>
      </c>
      <c r="D73" s="171"/>
      <c r="E73" s="171"/>
      <c r="F73" s="171">
        <v>1376.076</v>
      </c>
      <c r="G73" s="171"/>
      <c r="H73" s="171"/>
      <c r="I73" s="171"/>
      <c r="J73" s="171"/>
      <c r="K73" s="171"/>
      <c r="L73" s="171"/>
      <c r="M73" s="171"/>
      <c r="N73" s="171"/>
      <c r="O73" s="171">
        <f t="shared" si="19"/>
        <v>1376.076</v>
      </c>
      <c r="P73" s="171"/>
      <c r="Q73" s="171"/>
      <c r="R73" s="171"/>
      <c r="S73" s="171"/>
      <c r="T73" s="171"/>
      <c r="U73" s="171">
        <f>SUM(Q73:T73)</f>
        <v>0</v>
      </c>
      <c r="V73" s="172"/>
      <c r="W73" s="464">
        <f>O73+U73</f>
        <v>1376.076</v>
      </c>
      <c r="X73" s="376"/>
    </row>
    <row r="74" spans="1:24" ht="30" customHeight="1" x14ac:dyDescent="0.2">
      <c r="A74" s="40">
        <v>10</v>
      </c>
      <c r="B74" s="625" t="s">
        <v>430</v>
      </c>
      <c r="C74" s="28" t="s">
        <v>431</v>
      </c>
      <c r="D74" s="171"/>
      <c r="E74" s="171"/>
      <c r="F74" s="171"/>
      <c r="G74" s="171">
        <f>-455</f>
        <v>-455</v>
      </c>
      <c r="H74" s="171">
        <f>455</f>
        <v>455</v>
      </c>
      <c r="I74" s="171"/>
      <c r="J74" s="171"/>
      <c r="K74" s="171"/>
      <c r="L74" s="171"/>
      <c r="M74" s="171"/>
      <c r="N74" s="171"/>
      <c r="O74" s="171">
        <f t="shared" si="19"/>
        <v>0</v>
      </c>
      <c r="P74" s="171"/>
      <c r="Q74" s="171"/>
      <c r="R74" s="171"/>
      <c r="S74" s="171"/>
      <c r="T74" s="171"/>
      <c r="U74" s="171">
        <f>SUM(Q74:T74)</f>
        <v>0</v>
      </c>
      <c r="V74" s="172"/>
      <c r="W74" s="464">
        <f>O74+U74</f>
        <v>0</v>
      </c>
      <c r="X74" s="376"/>
    </row>
    <row r="75" spans="1:24" ht="24.95" customHeight="1" x14ac:dyDescent="0.2">
      <c r="A75" s="40">
        <v>11</v>
      </c>
      <c r="B75" s="631" t="s">
        <v>522</v>
      </c>
      <c r="C75" s="41" t="s">
        <v>426</v>
      </c>
      <c r="D75" s="171"/>
      <c r="E75" s="171"/>
      <c r="F75" s="171">
        <f>1328.364+699.978</f>
        <v>2028.3420000000001</v>
      </c>
      <c r="G75" s="171"/>
      <c r="H75" s="171"/>
      <c r="I75" s="171"/>
      <c r="J75" s="171"/>
      <c r="K75" s="171"/>
      <c r="L75" s="171"/>
      <c r="M75" s="171"/>
      <c r="N75" s="171"/>
      <c r="O75" s="171">
        <f t="shared" si="19"/>
        <v>2028.3420000000001</v>
      </c>
      <c r="P75" s="171"/>
      <c r="Q75" s="171"/>
      <c r="R75" s="171"/>
      <c r="S75" s="171"/>
      <c r="T75" s="171"/>
      <c r="U75" s="171"/>
      <c r="V75" s="172"/>
      <c r="W75" s="464">
        <f t="shared" ref="W75:W83" si="20">O75+U75</f>
        <v>2028.3420000000001</v>
      </c>
      <c r="X75" s="376"/>
    </row>
    <row r="76" spans="1:24" ht="24.95" customHeight="1" x14ac:dyDescent="0.2">
      <c r="A76" s="40">
        <v>12</v>
      </c>
      <c r="B76" s="182" t="s">
        <v>527</v>
      </c>
      <c r="C76" s="41" t="s">
        <v>528</v>
      </c>
      <c r="D76" s="171"/>
      <c r="E76" s="171"/>
      <c r="F76" s="171"/>
      <c r="G76" s="171">
        <f>-55</f>
        <v>-55</v>
      </c>
      <c r="H76" s="171">
        <f>12</f>
        <v>12</v>
      </c>
      <c r="I76" s="171"/>
      <c r="J76" s="171"/>
      <c r="K76" s="171"/>
      <c r="L76" s="171">
        <f>43</f>
        <v>43</v>
      </c>
      <c r="M76" s="171"/>
      <c r="N76" s="171"/>
      <c r="O76" s="171">
        <f t="shared" si="19"/>
        <v>0</v>
      </c>
      <c r="P76" s="171"/>
      <c r="Q76" s="171"/>
      <c r="R76" s="171"/>
      <c r="S76" s="171"/>
      <c r="T76" s="171"/>
      <c r="U76" s="171"/>
      <c r="V76" s="172"/>
      <c r="W76" s="464">
        <f t="shared" si="20"/>
        <v>0</v>
      </c>
      <c r="X76" s="376"/>
    </row>
    <row r="77" spans="1:24" ht="24.95" customHeight="1" x14ac:dyDescent="0.2">
      <c r="A77" s="40">
        <v>13</v>
      </c>
      <c r="B77" s="182" t="s">
        <v>557</v>
      </c>
      <c r="C77" s="41" t="s">
        <v>426</v>
      </c>
      <c r="D77" s="171"/>
      <c r="E77" s="171"/>
      <c r="F77" s="171">
        <f>589.913</f>
        <v>589.91300000000001</v>
      </c>
      <c r="G77" s="171"/>
      <c r="H77" s="171"/>
      <c r="I77" s="171"/>
      <c r="J77" s="171"/>
      <c r="K77" s="171"/>
      <c r="L77" s="171"/>
      <c r="M77" s="171"/>
      <c r="N77" s="171"/>
      <c r="O77" s="171">
        <f t="shared" si="19"/>
        <v>589.91300000000001</v>
      </c>
      <c r="P77" s="171"/>
      <c r="Q77" s="171"/>
      <c r="R77" s="171"/>
      <c r="S77" s="171"/>
      <c r="T77" s="171"/>
      <c r="U77" s="171"/>
      <c r="V77" s="172"/>
      <c r="W77" s="464">
        <f t="shared" si="20"/>
        <v>589.91300000000001</v>
      </c>
      <c r="X77" s="376"/>
    </row>
    <row r="78" spans="1:24" ht="24.95" customHeight="1" x14ac:dyDescent="0.2">
      <c r="A78" s="40">
        <v>14</v>
      </c>
      <c r="B78" s="629" t="s">
        <v>566</v>
      </c>
      <c r="C78" s="41" t="s">
        <v>426</v>
      </c>
      <c r="D78" s="171"/>
      <c r="E78" s="171"/>
      <c r="F78" s="171">
        <v>263.97800000000001</v>
      </c>
      <c r="G78" s="171"/>
      <c r="H78" s="171"/>
      <c r="I78" s="171"/>
      <c r="J78" s="171"/>
      <c r="K78" s="171"/>
      <c r="L78" s="171"/>
      <c r="M78" s="171"/>
      <c r="N78" s="171"/>
      <c r="O78" s="171">
        <f t="shared" ref="O78:O83" si="21">SUM(D78:N78)</f>
        <v>263.97800000000001</v>
      </c>
      <c r="P78" s="171"/>
      <c r="Q78" s="171"/>
      <c r="R78" s="171"/>
      <c r="S78" s="171"/>
      <c r="T78" s="171"/>
      <c r="U78" s="171"/>
      <c r="V78" s="172"/>
      <c r="W78" s="464">
        <f t="shared" si="20"/>
        <v>263.97800000000001</v>
      </c>
      <c r="X78" s="376"/>
    </row>
    <row r="79" spans="1:24" ht="24.95" hidden="1" customHeight="1" x14ac:dyDescent="0.2">
      <c r="A79" s="40"/>
      <c r="B79" s="126"/>
      <c r="C79" s="4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>
        <f t="shared" si="21"/>
        <v>0</v>
      </c>
      <c r="P79" s="171"/>
      <c r="Q79" s="171"/>
      <c r="R79" s="171"/>
      <c r="S79" s="171"/>
      <c r="T79" s="171"/>
      <c r="U79" s="171"/>
      <c r="V79" s="172"/>
      <c r="W79" s="464">
        <f t="shared" si="20"/>
        <v>0</v>
      </c>
      <c r="X79" s="376"/>
    </row>
    <row r="80" spans="1:24" ht="24.95" hidden="1" customHeight="1" x14ac:dyDescent="0.2">
      <c r="A80" s="40"/>
      <c r="B80" s="126"/>
      <c r="C80" s="4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>
        <f t="shared" si="21"/>
        <v>0</v>
      </c>
      <c r="P80" s="171"/>
      <c r="Q80" s="171"/>
      <c r="R80" s="171"/>
      <c r="S80" s="171"/>
      <c r="T80" s="171"/>
      <c r="U80" s="171"/>
      <c r="V80" s="172"/>
      <c r="W80" s="464">
        <f t="shared" si="20"/>
        <v>0</v>
      </c>
      <c r="X80" s="376"/>
    </row>
    <row r="81" spans="1:24" ht="24.95" hidden="1" customHeight="1" x14ac:dyDescent="0.2">
      <c r="A81" s="40"/>
      <c r="B81" s="126"/>
      <c r="C81" s="4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>
        <f t="shared" si="21"/>
        <v>0</v>
      </c>
      <c r="P81" s="171"/>
      <c r="Q81" s="171"/>
      <c r="R81" s="171"/>
      <c r="S81" s="171"/>
      <c r="T81" s="171"/>
      <c r="U81" s="171"/>
      <c r="V81" s="172"/>
      <c r="W81" s="464">
        <f t="shared" si="20"/>
        <v>0</v>
      </c>
      <c r="X81" s="376"/>
    </row>
    <row r="82" spans="1:24" ht="24.95" hidden="1" customHeight="1" x14ac:dyDescent="0.2">
      <c r="A82" s="40"/>
      <c r="B82" s="126"/>
      <c r="C82" s="4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>
        <f t="shared" si="21"/>
        <v>0</v>
      </c>
      <c r="P82" s="171"/>
      <c r="Q82" s="171"/>
      <c r="R82" s="171"/>
      <c r="S82" s="171"/>
      <c r="T82" s="171"/>
      <c r="U82" s="171"/>
      <c r="V82" s="172"/>
      <c r="W82" s="464">
        <f t="shared" si="20"/>
        <v>0</v>
      </c>
      <c r="X82" s="376"/>
    </row>
    <row r="83" spans="1:24" ht="24.95" hidden="1" customHeight="1" x14ac:dyDescent="0.2">
      <c r="A83" s="40"/>
      <c r="B83" s="126"/>
      <c r="C83" s="4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>
        <f t="shared" si="21"/>
        <v>0</v>
      </c>
      <c r="P83" s="171"/>
      <c r="Q83" s="171"/>
      <c r="R83" s="171"/>
      <c r="S83" s="171"/>
      <c r="T83" s="171"/>
      <c r="U83" s="171"/>
      <c r="V83" s="172"/>
      <c r="W83" s="464">
        <f t="shared" si="20"/>
        <v>0</v>
      </c>
      <c r="X83" s="376"/>
    </row>
    <row r="84" spans="1:24" ht="24.95" customHeight="1" x14ac:dyDescent="0.2">
      <c r="A84" s="40"/>
      <c r="B84" s="126"/>
      <c r="C84" s="4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2"/>
      <c r="W84" s="464"/>
      <c r="X84" s="376"/>
    </row>
    <row r="85" spans="1:24" ht="9.9499999999999993" customHeight="1" x14ac:dyDescent="0.2">
      <c r="A85" s="40"/>
      <c r="B85" s="126"/>
      <c r="C85" s="41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1"/>
      <c r="W85" s="247"/>
      <c r="X85" s="248"/>
    </row>
    <row r="86" spans="1:24" ht="30" customHeight="1" x14ac:dyDescent="0.2">
      <c r="A86" s="210" t="s">
        <v>82</v>
      </c>
      <c r="B86" s="206"/>
      <c r="C86" s="211" t="s">
        <v>80</v>
      </c>
      <c r="D86" s="157">
        <f t="shared" ref="D86:O86" si="22">SUM(D72:D85)</f>
        <v>0</v>
      </c>
      <c r="E86" s="157">
        <f t="shared" si="22"/>
        <v>0</v>
      </c>
      <c r="F86" s="157">
        <f t="shared" si="22"/>
        <v>4258.3090000000002</v>
      </c>
      <c r="G86" s="157">
        <f t="shared" si="22"/>
        <v>-510</v>
      </c>
      <c r="H86" s="157">
        <f t="shared" si="22"/>
        <v>467</v>
      </c>
      <c r="I86" s="157">
        <f t="shared" si="22"/>
        <v>0</v>
      </c>
      <c r="J86" s="157">
        <f t="shared" si="22"/>
        <v>0</v>
      </c>
      <c r="K86" s="157">
        <f t="shared" si="22"/>
        <v>0</v>
      </c>
      <c r="L86" s="157">
        <f t="shared" si="22"/>
        <v>43</v>
      </c>
      <c r="M86" s="157">
        <f t="shared" si="22"/>
        <v>0</v>
      </c>
      <c r="N86" s="157">
        <f t="shared" si="22"/>
        <v>0</v>
      </c>
      <c r="O86" s="157">
        <f t="shared" si="22"/>
        <v>4258.3090000000002</v>
      </c>
      <c r="P86" s="157"/>
      <c r="Q86" s="157">
        <f>SUM(Q72:Q85)</f>
        <v>0</v>
      </c>
      <c r="R86" s="157">
        <f>SUM(R72:R85)</f>
        <v>-1</v>
      </c>
      <c r="S86" s="157">
        <f>SUM(S72:S85)</f>
        <v>0</v>
      </c>
      <c r="T86" s="157">
        <f>SUM(T72:T85)</f>
        <v>0</v>
      </c>
      <c r="U86" s="157">
        <f>SUM(U72:U85)</f>
        <v>-1</v>
      </c>
      <c r="V86" s="157"/>
      <c r="W86" s="236">
        <f>O86+U86</f>
        <v>4257.3090000000002</v>
      </c>
      <c r="X86" s="326">
        <f>SUM(X72:X85)</f>
        <v>0</v>
      </c>
    </row>
    <row r="87" spans="1:24" ht="9.9499999999999993" customHeight="1" x14ac:dyDescent="0.2">
      <c r="A87" s="40"/>
      <c r="B87" s="126"/>
      <c r="C87" s="41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1"/>
      <c r="W87" s="247"/>
      <c r="X87" s="248"/>
    </row>
    <row r="88" spans="1:24" ht="24.95" hidden="1" customHeight="1" x14ac:dyDescent="0.2">
      <c r="A88" s="40"/>
      <c r="B88" s="126"/>
      <c r="C88" s="41" t="s">
        <v>64</v>
      </c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>
        <f>SUM(D88:N88)</f>
        <v>0</v>
      </c>
      <c r="P88" s="230"/>
      <c r="Q88" s="230"/>
      <c r="R88" s="230"/>
      <c r="S88" s="230"/>
      <c r="T88" s="230"/>
      <c r="U88" s="230">
        <f>SUM(Q88:T88)</f>
        <v>0</v>
      </c>
      <c r="V88" s="231"/>
      <c r="W88" s="247">
        <f>O88+U88</f>
        <v>0</v>
      </c>
      <c r="X88" s="248"/>
    </row>
    <row r="89" spans="1:24" ht="24.95" customHeight="1" thickBot="1" x14ac:dyDescent="0.25">
      <c r="A89" s="40"/>
      <c r="B89" s="106"/>
      <c r="C89" s="107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1"/>
      <c r="W89" s="252"/>
      <c r="X89" s="253"/>
    </row>
    <row r="90" spans="1:24" ht="30" customHeight="1" thickTop="1" thickBot="1" x14ac:dyDescent="0.25">
      <c r="A90" s="47"/>
      <c r="B90" s="111" t="s">
        <v>166</v>
      </c>
      <c r="C90" s="44" t="s">
        <v>83</v>
      </c>
      <c r="D90" s="204">
        <f t="shared" ref="D90:O90" si="23">D70+D86</f>
        <v>0</v>
      </c>
      <c r="E90" s="204">
        <f t="shared" si="23"/>
        <v>0</v>
      </c>
      <c r="F90" s="204">
        <f t="shared" si="23"/>
        <v>4258.3090000000002</v>
      </c>
      <c r="G90" s="204">
        <f t="shared" si="23"/>
        <v>-510</v>
      </c>
      <c r="H90" s="204">
        <f t="shared" si="23"/>
        <v>467</v>
      </c>
      <c r="I90" s="204">
        <f t="shared" si="23"/>
        <v>0</v>
      </c>
      <c r="J90" s="204">
        <f t="shared" si="23"/>
        <v>0</v>
      </c>
      <c r="K90" s="204">
        <f t="shared" si="23"/>
        <v>0</v>
      </c>
      <c r="L90" s="204">
        <f t="shared" si="23"/>
        <v>43</v>
      </c>
      <c r="M90" s="204">
        <f t="shared" si="23"/>
        <v>0</v>
      </c>
      <c r="N90" s="204">
        <f t="shared" si="23"/>
        <v>0</v>
      </c>
      <c r="O90" s="204">
        <f t="shared" si="23"/>
        <v>4258.3090000000002</v>
      </c>
      <c r="P90" s="204"/>
      <c r="Q90" s="204">
        <f>Q70+Q86</f>
        <v>0</v>
      </c>
      <c r="R90" s="204">
        <f>R70+R86</f>
        <v>-1</v>
      </c>
      <c r="S90" s="204">
        <f>S70+S86</f>
        <v>0</v>
      </c>
      <c r="T90" s="204">
        <f>T70+T86</f>
        <v>0</v>
      </c>
      <c r="U90" s="204">
        <f>U70+U86</f>
        <v>-1</v>
      </c>
      <c r="V90" s="204"/>
      <c r="W90" s="254">
        <f>W70+W86</f>
        <v>4257.3090000000002</v>
      </c>
      <c r="X90" s="232">
        <f>X70+X86</f>
        <v>15461.758</v>
      </c>
    </row>
    <row r="91" spans="1:24" ht="30" customHeight="1" thickTop="1" thickBot="1" x14ac:dyDescent="0.25">
      <c r="A91" s="42"/>
      <c r="B91" s="324">
        <v>43008</v>
      </c>
      <c r="C91" s="44" t="s">
        <v>141</v>
      </c>
      <c r="D91" s="255">
        <f t="shared" ref="D91:O91" si="24">D50+D90</f>
        <v>0</v>
      </c>
      <c r="E91" s="255">
        <f t="shared" si="24"/>
        <v>0</v>
      </c>
      <c r="F91" s="255">
        <f t="shared" si="24"/>
        <v>7924.7620000000006</v>
      </c>
      <c r="G91" s="255">
        <f t="shared" si="24"/>
        <v>4640</v>
      </c>
      <c r="H91" s="255">
        <f t="shared" si="24"/>
        <v>10611</v>
      </c>
      <c r="I91" s="255">
        <f t="shared" si="24"/>
        <v>0</v>
      </c>
      <c r="J91" s="255">
        <f t="shared" si="24"/>
        <v>0</v>
      </c>
      <c r="K91" s="255">
        <f t="shared" si="24"/>
        <v>0</v>
      </c>
      <c r="L91" s="255">
        <f t="shared" si="24"/>
        <v>607</v>
      </c>
      <c r="M91" s="255">
        <f t="shared" si="24"/>
        <v>1200</v>
      </c>
      <c r="N91" s="255">
        <f t="shared" si="24"/>
        <v>0</v>
      </c>
      <c r="O91" s="255">
        <f t="shared" si="24"/>
        <v>24982.762000000002</v>
      </c>
      <c r="P91" s="255"/>
      <c r="Q91" s="255">
        <f>Q50+Q90</f>
        <v>0</v>
      </c>
      <c r="R91" s="255">
        <f>R50+R90</f>
        <v>326995.53700000001</v>
      </c>
      <c r="S91" s="255">
        <f>S50+S90</f>
        <v>0</v>
      </c>
      <c r="T91" s="255">
        <f>T50+T90</f>
        <v>0</v>
      </c>
      <c r="U91" s="255">
        <f>U50+U90</f>
        <v>326995.53700000001</v>
      </c>
      <c r="V91" s="255"/>
      <c r="W91" s="254">
        <f>W50+W90</f>
        <v>351978.299</v>
      </c>
      <c r="X91" s="232">
        <f>X50+X90</f>
        <v>2650896.9899999998</v>
      </c>
    </row>
    <row r="92" spans="1:24" ht="24.95" hidden="1" customHeight="1" thickTop="1" x14ac:dyDescent="0.25">
      <c r="A92" s="22"/>
      <c r="B92" s="479" t="s">
        <v>166</v>
      </c>
      <c r="C92" s="24" t="s">
        <v>18</v>
      </c>
      <c r="D92" s="25">
        <f t="shared" ref="D92:U92" si="25">D91</f>
        <v>0</v>
      </c>
      <c r="E92" s="25">
        <f t="shared" si="25"/>
        <v>0</v>
      </c>
      <c r="F92" s="25">
        <f t="shared" si="25"/>
        <v>7924.7620000000006</v>
      </c>
      <c r="G92" s="25">
        <f t="shared" si="25"/>
        <v>4640</v>
      </c>
      <c r="H92" s="25">
        <f t="shared" si="25"/>
        <v>10611</v>
      </c>
      <c r="I92" s="25">
        <f t="shared" si="25"/>
        <v>0</v>
      </c>
      <c r="J92" s="25">
        <f t="shared" si="25"/>
        <v>0</v>
      </c>
      <c r="K92" s="25">
        <f t="shared" si="25"/>
        <v>0</v>
      </c>
      <c r="L92" s="25">
        <f t="shared" si="25"/>
        <v>607</v>
      </c>
      <c r="M92" s="25">
        <f t="shared" si="25"/>
        <v>1200</v>
      </c>
      <c r="N92" s="25">
        <f t="shared" si="25"/>
        <v>0</v>
      </c>
      <c r="O92" s="25">
        <f t="shared" si="25"/>
        <v>24982.762000000002</v>
      </c>
      <c r="P92" s="25"/>
      <c r="Q92" s="25">
        <f t="shared" si="25"/>
        <v>0</v>
      </c>
      <c r="R92" s="25">
        <f t="shared" si="25"/>
        <v>326995.53700000001</v>
      </c>
      <c r="S92" s="25">
        <f t="shared" si="25"/>
        <v>0</v>
      </c>
      <c r="T92" s="25">
        <f t="shared" si="25"/>
        <v>0</v>
      </c>
      <c r="U92" s="25">
        <f t="shared" si="25"/>
        <v>326995.53700000001</v>
      </c>
      <c r="V92" s="25"/>
      <c r="W92" s="239">
        <f t="shared" ref="W92:W97" si="26">O92+U92</f>
        <v>351978.299</v>
      </c>
      <c r="X92" s="246">
        <f>X91</f>
        <v>2650896.9899999998</v>
      </c>
    </row>
    <row r="93" spans="1:24" ht="30.75" hidden="1" customHeight="1" x14ac:dyDescent="0.2">
      <c r="A93" s="40">
        <v>1</v>
      </c>
      <c r="B93" s="493"/>
      <c r="C93" s="41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>
        <f>SUM(D93:N93)</f>
        <v>0</v>
      </c>
      <c r="P93" s="72"/>
      <c r="Q93" s="72"/>
      <c r="R93" s="72"/>
      <c r="S93" s="72"/>
      <c r="T93" s="72"/>
      <c r="U93" s="72">
        <f>SUM(Q93:T93)</f>
        <v>0</v>
      </c>
      <c r="V93" s="73"/>
      <c r="W93" s="256">
        <f t="shared" si="26"/>
        <v>0</v>
      </c>
      <c r="X93" s="326"/>
    </row>
    <row r="94" spans="1:24" ht="30.75" hidden="1" customHeight="1" x14ac:dyDescent="0.2">
      <c r="A94" s="181">
        <v>2</v>
      </c>
      <c r="B94" s="493"/>
      <c r="C94" s="41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>
        <f>SUM(D94:N94)</f>
        <v>0</v>
      </c>
      <c r="P94" s="72"/>
      <c r="Q94" s="72"/>
      <c r="R94" s="72"/>
      <c r="S94" s="72"/>
      <c r="T94" s="72"/>
      <c r="U94" s="72">
        <f>SUM(Q94:T94)</f>
        <v>0</v>
      </c>
      <c r="V94" s="73"/>
      <c r="W94" s="256">
        <f t="shared" si="26"/>
        <v>0</v>
      </c>
      <c r="X94" s="326"/>
    </row>
    <row r="95" spans="1:24" ht="30.75" hidden="1" customHeight="1" x14ac:dyDescent="0.2">
      <c r="A95" s="40">
        <v>3</v>
      </c>
      <c r="B95" s="494"/>
      <c r="C95" s="41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>
        <f>SUM(D95:N95)</f>
        <v>0</v>
      </c>
      <c r="P95" s="72"/>
      <c r="Q95" s="72"/>
      <c r="R95" s="72"/>
      <c r="S95" s="72"/>
      <c r="T95" s="72"/>
      <c r="U95" s="72">
        <f>SUM(Q95:T95)</f>
        <v>0</v>
      </c>
      <c r="V95" s="73"/>
      <c r="W95" s="256">
        <f t="shared" si="26"/>
        <v>0</v>
      </c>
      <c r="X95" s="326"/>
    </row>
    <row r="96" spans="1:24" ht="30.75" hidden="1" customHeight="1" x14ac:dyDescent="0.2">
      <c r="A96" s="181">
        <v>4</v>
      </c>
      <c r="B96" s="494"/>
      <c r="C96" s="41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>
        <f>SUM(D96:N96)</f>
        <v>0</v>
      </c>
      <c r="P96" s="72"/>
      <c r="Q96" s="72"/>
      <c r="R96" s="72"/>
      <c r="S96" s="72"/>
      <c r="T96" s="72"/>
      <c r="U96" s="72">
        <f>SUM(Q96:T96)</f>
        <v>0</v>
      </c>
      <c r="V96" s="73"/>
      <c r="W96" s="256">
        <f t="shared" si="26"/>
        <v>0</v>
      </c>
      <c r="X96" s="326"/>
    </row>
    <row r="97" spans="1:24" ht="30.75" hidden="1" customHeight="1" x14ac:dyDescent="0.2">
      <c r="A97" s="40">
        <v>5</v>
      </c>
      <c r="B97" s="494"/>
      <c r="C97" s="41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>
        <f>SUM(D97:N97)</f>
        <v>0</v>
      </c>
      <c r="P97" s="72"/>
      <c r="Q97" s="72"/>
      <c r="R97" s="72"/>
      <c r="S97" s="72"/>
      <c r="T97" s="72"/>
      <c r="U97" s="72">
        <f>SUM(Q97:T97)</f>
        <v>0</v>
      </c>
      <c r="V97" s="73"/>
      <c r="W97" s="256">
        <f t="shared" si="26"/>
        <v>0</v>
      </c>
      <c r="X97" s="326"/>
    </row>
    <row r="98" spans="1:24" ht="30.75" hidden="1" customHeight="1" x14ac:dyDescent="0.2">
      <c r="A98" s="40"/>
      <c r="B98" s="494"/>
      <c r="C98" s="41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3"/>
      <c r="W98" s="256"/>
      <c r="X98" s="326"/>
    </row>
    <row r="99" spans="1:24" ht="30.75" hidden="1" customHeight="1" x14ac:dyDescent="0.2">
      <c r="A99" s="40"/>
      <c r="B99" s="494"/>
      <c r="C99" s="41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3"/>
      <c r="W99" s="256"/>
      <c r="X99" s="326"/>
    </row>
    <row r="100" spans="1:24" ht="24.95" hidden="1" customHeight="1" x14ac:dyDescent="0.2">
      <c r="A100" s="40"/>
      <c r="B100" s="32"/>
      <c r="C100" s="41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3"/>
      <c r="W100" s="256">
        <f>SUM(D100:V100)</f>
        <v>0</v>
      </c>
      <c r="X100" s="326"/>
    </row>
    <row r="101" spans="1:24" ht="24.95" hidden="1" customHeight="1" x14ac:dyDescent="0.2">
      <c r="A101" s="210" t="s">
        <v>81</v>
      </c>
      <c r="B101" s="206"/>
      <c r="C101" s="211" t="s">
        <v>79</v>
      </c>
      <c r="D101" s="171">
        <f t="shared" ref="D101:X101" si="27">SUM(D93:D100)</f>
        <v>0</v>
      </c>
      <c r="E101" s="171">
        <f t="shared" si="27"/>
        <v>0</v>
      </c>
      <c r="F101" s="171">
        <f t="shared" si="27"/>
        <v>0</v>
      </c>
      <c r="G101" s="171">
        <f t="shared" si="27"/>
        <v>0</v>
      </c>
      <c r="H101" s="171">
        <f t="shared" si="27"/>
        <v>0</v>
      </c>
      <c r="I101" s="171">
        <f t="shared" si="27"/>
        <v>0</v>
      </c>
      <c r="J101" s="171">
        <f t="shared" si="27"/>
        <v>0</v>
      </c>
      <c r="K101" s="171">
        <f t="shared" si="27"/>
        <v>0</v>
      </c>
      <c r="L101" s="171">
        <f t="shared" si="27"/>
        <v>0</v>
      </c>
      <c r="M101" s="171">
        <f t="shared" si="27"/>
        <v>0</v>
      </c>
      <c r="N101" s="171">
        <f t="shared" si="27"/>
        <v>0</v>
      </c>
      <c r="O101" s="171">
        <f t="shared" si="27"/>
        <v>0</v>
      </c>
      <c r="P101" s="171"/>
      <c r="Q101" s="171">
        <f t="shared" si="27"/>
        <v>0</v>
      </c>
      <c r="R101" s="171">
        <f t="shared" si="27"/>
        <v>0</v>
      </c>
      <c r="S101" s="171">
        <f t="shared" si="27"/>
        <v>0</v>
      </c>
      <c r="T101" s="171">
        <f t="shared" si="27"/>
        <v>0</v>
      </c>
      <c r="U101" s="171">
        <f t="shared" si="27"/>
        <v>0</v>
      </c>
      <c r="V101" s="171"/>
      <c r="W101" s="249">
        <f t="shared" si="27"/>
        <v>0</v>
      </c>
      <c r="X101" s="329">
        <f t="shared" si="27"/>
        <v>0</v>
      </c>
    </row>
    <row r="102" spans="1:24" ht="15.75" hidden="1" customHeight="1" x14ac:dyDescent="0.2">
      <c r="A102" s="40"/>
      <c r="B102" s="31"/>
      <c r="C102" s="41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3"/>
      <c r="W102" s="256"/>
      <c r="X102" s="326"/>
    </row>
    <row r="103" spans="1:24" ht="30.75" hidden="1" customHeight="1" x14ac:dyDescent="0.2">
      <c r="A103" s="40" t="s">
        <v>108</v>
      </c>
      <c r="B103" s="494"/>
      <c r="C103" s="41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>
        <f>SUM(D103:N103)</f>
        <v>0</v>
      </c>
      <c r="P103" s="157"/>
      <c r="Q103" s="157"/>
      <c r="R103" s="157"/>
      <c r="S103" s="157"/>
      <c r="T103" s="157"/>
      <c r="U103" s="157">
        <f>SUM(Q103:T103)</f>
        <v>0</v>
      </c>
      <c r="V103" s="163"/>
      <c r="W103" s="492">
        <f>O103+U103</f>
        <v>0</v>
      </c>
      <c r="X103" s="326"/>
    </row>
    <row r="104" spans="1:24" ht="30.75" hidden="1" customHeight="1" x14ac:dyDescent="0.2">
      <c r="A104" s="40" t="s">
        <v>108</v>
      </c>
      <c r="B104" s="494"/>
      <c r="C104" s="41"/>
      <c r="D104" s="157"/>
      <c r="E104" s="157"/>
      <c r="F104" s="157"/>
      <c r="G104" s="157"/>
      <c r="H104" s="157"/>
      <c r="I104" s="157"/>
      <c r="J104" s="157"/>
      <c r="K104" s="157"/>
      <c r="L104" s="170"/>
      <c r="M104" s="157"/>
      <c r="N104" s="157"/>
      <c r="O104" s="157">
        <f>SUM(D104:N104)</f>
        <v>0</v>
      </c>
      <c r="P104" s="157"/>
      <c r="Q104" s="157"/>
      <c r="R104" s="157"/>
      <c r="S104" s="157"/>
      <c r="T104" s="157"/>
      <c r="U104" s="157">
        <f>SUM(Q104:T104)</f>
        <v>0</v>
      </c>
      <c r="V104" s="163"/>
      <c r="W104" s="492">
        <f>O104+U104</f>
        <v>0</v>
      </c>
      <c r="X104" s="326"/>
    </row>
    <row r="105" spans="1:24" ht="30.75" hidden="1" customHeight="1" x14ac:dyDescent="0.2">
      <c r="A105" s="40" t="s">
        <v>108</v>
      </c>
      <c r="B105" s="494"/>
      <c r="C105" s="41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70"/>
      <c r="O105" s="157">
        <f>SUM(D105:N105)</f>
        <v>0</v>
      </c>
      <c r="P105" s="157"/>
      <c r="Q105" s="157"/>
      <c r="R105" s="157"/>
      <c r="S105" s="157"/>
      <c r="T105" s="157"/>
      <c r="U105" s="157">
        <f>SUM(Q105:T105)</f>
        <v>0</v>
      </c>
      <c r="V105" s="163"/>
      <c r="W105" s="492">
        <f>O105+U105</f>
        <v>0</v>
      </c>
      <c r="X105" s="326"/>
    </row>
    <row r="106" spans="1:24" ht="24.95" hidden="1" customHeight="1" x14ac:dyDescent="0.2">
      <c r="A106" s="40" t="s">
        <v>108</v>
      </c>
      <c r="B106" s="226"/>
      <c r="C106" s="41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>
        <f>SUM(D106:N106)</f>
        <v>0</v>
      </c>
      <c r="P106" s="157"/>
      <c r="Q106" s="157"/>
      <c r="R106" s="157"/>
      <c r="S106" s="157"/>
      <c r="T106" s="157"/>
      <c r="U106" s="157">
        <f>SUM(Q106:T106)</f>
        <v>0</v>
      </c>
      <c r="V106" s="163"/>
      <c r="W106" s="492">
        <f>O106+U106</f>
        <v>0</v>
      </c>
      <c r="X106" s="326"/>
    </row>
    <row r="107" spans="1:24" ht="24.95" hidden="1" customHeight="1" x14ac:dyDescent="0.2">
      <c r="A107" s="40" t="s">
        <v>108</v>
      </c>
      <c r="B107" s="226"/>
      <c r="C107" s="41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>
        <f>SUM(D107:N107)</f>
        <v>0</v>
      </c>
      <c r="P107" s="157"/>
      <c r="Q107" s="157"/>
      <c r="R107" s="157"/>
      <c r="S107" s="157"/>
      <c r="T107" s="157"/>
      <c r="U107" s="157">
        <f>SUM(Q107:T107)</f>
        <v>0</v>
      </c>
      <c r="V107" s="163"/>
      <c r="W107" s="492">
        <f>O107+U107</f>
        <v>0</v>
      </c>
      <c r="X107" s="326"/>
    </row>
    <row r="108" spans="1:24" ht="24.95" hidden="1" customHeight="1" x14ac:dyDescent="0.2">
      <c r="A108" s="40"/>
      <c r="B108" s="226"/>
      <c r="C108" s="41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63"/>
      <c r="W108" s="492"/>
      <c r="X108" s="326"/>
    </row>
    <row r="109" spans="1:24" ht="24.95" hidden="1" customHeight="1" x14ac:dyDescent="0.2">
      <c r="A109" s="40"/>
      <c r="B109" s="31"/>
      <c r="C109" s="41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3"/>
      <c r="W109" s="256"/>
      <c r="X109" s="326"/>
    </row>
    <row r="110" spans="1:24" ht="24.95" hidden="1" customHeight="1" x14ac:dyDescent="0.2">
      <c r="A110" s="210" t="s">
        <v>82</v>
      </c>
      <c r="B110" s="206"/>
      <c r="C110" s="211" t="s">
        <v>80</v>
      </c>
      <c r="D110" s="171">
        <f t="shared" ref="D110:X110" si="28">SUM(D103:D109)</f>
        <v>0</v>
      </c>
      <c r="E110" s="171">
        <f t="shared" si="28"/>
        <v>0</v>
      </c>
      <c r="F110" s="171">
        <f t="shared" si="28"/>
        <v>0</v>
      </c>
      <c r="G110" s="171">
        <f t="shared" si="28"/>
        <v>0</v>
      </c>
      <c r="H110" s="171">
        <f t="shared" si="28"/>
        <v>0</v>
      </c>
      <c r="I110" s="171">
        <f t="shared" si="28"/>
        <v>0</v>
      </c>
      <c r="J110" s="171">
        <f t="shared" si="28"/>
        <v>0</v>
      </c>
      <c r="K110" s="171">
        <f t="shared" si="28"/>
        <v>0</v>
      </c>
      <c r="L110" s="171">
        <f t="shared" si="28"/>
        <v>0</v>
      </c>
      <c r="M110" s="171">
        <f t="shared" si="28"/>
        <v>0</v>
      </c>
      <c r="N110" s="171">
        <f t="shared" si="28"/>
        <v>0</v>
      </c>
      <c r="O110" s="171">
        <f t="shared" si="28"/>
        <v>0</v>
      </c>
      <c r="P110" s="171"/>
      <c r="Q110" s="171">
        <f t="shared" si="28"/>
        <v>0</v>
      </c>
      <c r="R110" s="171">
        <f t="shared" si="28"/>
        <v>0</v>
      </c>
      <c r="S110" s="171">
        <f t="shared" si="28"/>
        <v>0</v>
      </c>
      <c r="T110" s="171">
        <f t="shared" si="28"/>
        <v>0</v>
      </c>
      <c r="U110" s="171">
        <f t="shared" si="28"/>
        <v>0</v>
      </c>
      <c r="V110" s="171"/>
      <c r="W110" s="260">
        <f t="shared" si="28"/>
        <v>0</v>
      </c>
      <c r="X110" s="260">
        <f t="shared" si="28"/>
        <v>0</v>
      </c>
    </row>
    <row r="111" spans="1:24" ht="12" hidden="1" customHeight="1" x14ac:dyDescent="0.2">
      <c r="A111" s="40"/>
      <c r="B111" s="31"/>
      <c r="C111" s="41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3"/>
      <c r="W111" s="256">
        <f>SUM(D111:V111)</f>
        <v>0</v>
      </c>
      <c r="X111" s="326"/>
    </row>
    <row r="112" spans="1:24" ht="24.95" hidden="1" customHeight="1" thickBot="1" x14ac:dyDescent="0.25">
      <c r="A112" s="40"/>
      <c r="B112" s="32"/>
      <c r="C112" s="34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3"/>
      <c r="W112" s="256"/>
      <c r="X112" s="326"/>
    </row>
    <row r="113" spans="1:24" ht="24.95" hidden="1" customHeight="1" thickTop="1" thickBot="1" x14ac:dyDescent="0.25">
      <c r="A113" s="42"/>
      <c r="B113" s="111" t="s">
        <v>166</v>
      </c>
      <c r="C113" s="44" t="s">
        <v>83</v>
      </c>
      <c r="D113" s="204">
        <f>D101+D110</f>
        <v>0</v>
      </c>
      <c r="E113" s="204">
        <f t="shared" ref="E113:U113" si="29">E101+E110</f>
        <v>0</v>
      </c>
      <c r="F113" s="204">
        <f t="shared" si="29"/>
        <v>0</v>
      </c>
      <c r="G113" s="204">
        <f t="shared" si="29"/>
        <v>0</v>
      </c>
      <c r="H113" s="204">
        <f t="shared" si="29"/>
        <v>0</v>
      </c>
      <c r="I113" s="204">
        <f t="shared" si="29"/>
        <v>0</v>
      </c>
      <c r="J113" s="204">
        <f t="shared" si="29"/>
        <v>0</v>
      </c>
      <c r="K113" s="204">
        <f t="shared" si="29"/>
        <v>0</v>
      </c>
      <c r="L113" s="204">
        <f>L101+L110</f>
        <v>0</v>
      </c>
      <c r="M113" s="204">
        <f t="shared" si="29"/>
        <v>0</v>
      </c>
      <c r="N113" s="204">
        <f t="shared" si="29"/>
        <v>0</v>
      </c>
      <c r="O113" s="204">
        <f t="shared" si="29"/>
        <v>0</v>
      </c>
      <c r="P113" s="204"/>
      <c r="Q113" s="204">
        <f>Q101+Q110</f>
        <v>0</v>
      </c>
      <c r="R113" s="204">
        <f t="shared" si="29"/>
        <v>0</v>
      </c>
      <c r="S113" s="204">
        <f t="shared" si="29"/>
        <v>0</v>
      </c>
      <c r="T113" s="204">
        <f t="shared" si="29"/>
        <v>0</v>
      </c>
      <c r="U113" s="204">
        <f t="shared" si="29"/>
        <v>0</v>
      </c>
      <c r="V113" s="204"/>
      <c r="W113" s="254">
        <f>W101+W110</f>
        <v>0</v>
      </c>
      <c r="X113" s="176">
        <f>X101+X110</f>
        <v>0</v>
      </c>
    </row>
    <row r="114" spans="1:24" ht="30" hidden="1" customHeight="1" thickTop="1" thickBot="1" x14ac:dyDescent="0.25">
      <c r="A114" s="42"/>
      <c r="B114" s="478" t="s">
        <v>170</v>
      </c>
      <c r="C114" s="44" t="s">
        <v>141</v>
      </c>
      <c r="D114" s="255">
        <f t="shared" ref="D114:O114" si="30">D50+D90+D113</f>
        <v>0</v>
      </c>
      <c r="E114" s="255">
        <f t="shared" si="30"/>
        <v>0</v>
      </c>
      <c r="F114" s="255">
        <f t="shared" si="30"/>
        <v>7924.7620000000006</v>
      </c>
      <c r="G114" s="255">
        <f t="shared" si="30"/>
        <v>4640</v>
      </c>
      <c r="H114" s="255">
        <f t="shared" si="30"/>
        <v>10611</v>
      </c>
      <c r="I114" s="255">
        <f t="shared" si="30"/>
        <v>0</v>
      </c>
      <c r="J114" s="255">
        <f t="shared" si="30"/>
        <v>0</v>
      </c>
      <c r="K114" s="255">
        <f t="shared" si="30"/>
        <v>0</v>
      </c>
      <c r="L114" s="255">
        <f t="shared" si="30"/>
        <v>607</v>
      </c>
      <c r="M114" s="255">
        <f t="shared" si="30"/>
        <v>1200</v>
      </c>
      <c r="N114" s="255">
        <f t="shared" si="30"/>
        <v>0</v>
      </c>
      <c r="O114" s="255">
        <f t="shared" si="30"/>
        <v>24982.762000000002</v>
      </c>
      <c r="P114" s="255"/>
      <c r="Q114" s="255">
        <f>Q50+Q90+Q113</f>
        <v>0</v>
      </c>
      <c r="R114" s="255">
        <f>R50+R90+R113</f>
        <v>326995.53700000001</v>
      </c>
      <c r="S114" s="255">
        <f>S50+S90+S113</f>
        <v>0</v>
      </c>
      <c r="T114" s="255">
        <f>T50+T90+T113</f>
        <v>0</v>
      </c>
      <c r="U114" s="255">
        <f>U50+U90+U113</f>
        <v>326995.53700000001</v>
      </c>
      <c r="V114" s="255"/>
      <c r="W114" s="254">
        <f>W50+W90+W113</f>
        <v>351978.299</v>
      </c>
      <c r="X114" s="232">
        <f>X50+X90+X113</f>
        <v>2650896.9899999998</v>
      </c>
    </row>
    <row r="115" spans="1:24" ht="24.95" hidden="1" customHeight="1" thickTop="1" x14ac:dyDescent="0.2">
      <c r="A115" s="183"/>
      <c r="B115" s="516" t="s">
        <v>168</v>
      </c>
      <c r="C115" s="24" t="s">
        <v>18</v>
      </c>
      <c r="D115" s="25">
        <f t="shared" ref="D115:U115" si="31">D114</f>
        <v>0</v>
      </c>
      <c r="E115" s="25">
        <f t="shared" si="31"/>
        <v>0</v>
      </c>
      <c r="F115" s="25">
        <f t="shared" si="31"/>
        <v>7924.7620000000006</v>
      </c>
      <c r="G115" s="25">
        <f t="shared" si="31"/>
        <v>4640</v>
      </c>
      <c r="H115" s="25">
        <f t="shared" si="31"/>
        <v>10611</v>
      </c>
      <c r="I115" s="25">
        <f t="shared" si="31"/>
        <v>0</v>
      </c>
      <c r="J115" s="25">
        <f t="shared" si="31"/>
        <v>0</v>
      </c>
      <c r="K115" s="25">
        <f t="shared" si="31"/>
        <v>0</v>
      </c>
      <c r="L115" s="25">
        <f t="shared" si="31"/>
        <v>607</v>
      </c>
      <c r="M115" s="25">
        <f t="shared" si="31"/>
        <v>1200</v>
      </c>
      <c r="N115" s="25">
        <f t="shared" si="31"/>
        <v>0</v>
      </c>
      <c r="O115" s="25">
        <f t="shared" si="31"/>
        <v>24982.762000000002</v>
      </c>
      <c r="P115" s="25"/>
      <c r="Q115" s="25">
        <f>Q114</f>
        <v>0</v>
      </c>
      <c r="R115" s="25">
        <f>R114</f>
        <v>326995.53700000001</v>
      </c>
      <c r="S115" s="25">
        <f t="shared" si="31"/>
        <v>0</v>
      </c>
      <c r="T115" s="25">
        <f t="shared" si="31"/>
        <v>0</v>
      </c>
      <c r="U115" s="25">
        <f t="shared" si="31"/>
        <v>326995.53700000001</v>
      </c>
      <c r="V115" s="25"/>
      <c r="W115" s="239">
        <f t="shared" ref="W115:W120" si="32">O115+U115</f>
        <v>351978.299</v>
      </c>
      <c r="X115" s="246">
        <f>X114</f>
        <v>2650896.9899999998</v>
      </c>
    </row>
    <row r="116" spans="1:24" ht="30.75" hidden="1" customHeight="1" x14ac:dyDescent="0.2">
      <c r="A116" s="40">
        <v>1</v>
      </c>
      <c r="B116" s="330"/>
      <c r="C116" s="28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>
        <f>SUM(D116:N116)</f>
        <v>0</v>
      </c>
      <c r="P116" s="171"/>
      <c r="Q116" s="171"/>
      <c r="R116" s="171"/>
      <c r="S116" s="171"/>
      <c r="T116" s="171"/>
      <c r="U116" s="171">
        <f>SUM(Q116:T116)</f>
        <v>0</v>
      </c>
      <c r="V116" s="172"/>
      <c r="W116" s="173">
        <f t="shared" si="32"/>
        <v>0</v>
      </c>
      <c r="X116" s="421"/>
    </row>
    <row r="117" spans="1:24" ht="30.75" hidden="1" customHeight="1" x14ac:dyDescent="0.2">
      <c r="A117" s="181"/>
      <c r="B117" s="227"/>
      <c r="C117" s="28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>
        <f>SUM(D117:N117)</f>
        <v>0</v>
      </c>
      <c r="P117" s="171"/>
      <c r="Q117" s="171"/>
      <c r="R117" s="171"/>
      <c r="S117" s="171"/>
      <c r="T117" s="171"/>
      <c r="U117" s="171">
        <f>SUM(Q117:T117)</f>
        <v>0</v>
      </c>
      <c r="V117" s="172"/>
      <c r="W117" s="173">
        <f t="shared" si="32"/>
        <v>0</v>
      </c>
      <c r="X117" s="376"/>
    </row>
    <row r="118" spans="1:24" ht="30.75" hidden="1" customHeight="1" x14ac:dyDescent="0.2">
      <c r="A118" s="181"/>
      <c r="B118" s="227"/>
      <c r="C118" s="28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>
        <f>SUM(D118:N118)</f>
        <v>0</v>
      </c>
      <c r="P118" s="171"/>
      <c r="Q118" s="171"/>
      <c r="R118" s="171"/>
      <c r="S118" s="171"/>
      <c r="T118" s="171"/>
      <c r="U118" s="171">
        <f>SUM(Q118:T118)</f>
        <v>0</v>
      </c>
      <c r="V118" s="172"/>
      <c r="W118" s="173">
        <f t="shared" si="32"/>
        <v>0</v>
      </c>
      <c r="X118" s="376"/>
    </row>
    <row r="119" spans="1:24" ht="24.95" hidden="1" customHeight="1" x14ac:dyDescent="0.2">
      <c r="A119" s="40"/>
      <c r="B119" s="30"/>
      <c r="C119" s="28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>
        <f>SUM(D119:N119)</f>
        <v>0</v>
      </c>
      <c r="P119" s="171"/>
      <c r="Q119" s="171"/>
      <c r="R119" s="171"/>
      <c r="S119" s="171"/>
      <c r="T119" s="171"/>
      <c r="U119" s="171">
        <f>SUM(Q119:T119)</f>
        <v>0</v>
      </c>
      <c r="V119" s="172"/>
      <c r="W119" s="173">
        <f t="shared" si="32"/>
        <v>0</v>
      </c>
      <c r="X119" s="376"/>
    </row>
    <row r="120" spans="1:24" ht="24.95" hidden="1" customHeight="1" x14ac:dyDescent="0.2">
      <c r="A120" s="40"/>
      <c r="B120" s="31"/>
      <c r="C120" s="4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>
        <f>SUM(D120:N120)</f>
        <v>0</v>
      </c>
      <c r="P120" s="171"/>
      <c r="Q120" s="171"/>
      <c r="R120" s="171"/>
      <c r="S120" s="171"/>
      <c r="T120" s="171"/>
      <c r="U120" s="171">
        <f>SUM(Q120:T120)</f>
        <v>0</v>
      </c>
      <c r="V120" s="172"/>
      <c r="W120" s="173">
        <f t="shared" si="32"/>
        <v>0</v>
      </c>
      <c r="X120" s="376"/>
    </row>
    <row r="121" spans="1:24" ht="24.95" hidden="1" customHeight="1" x14ac:dyDescent="0.2">
      <c r="A121" s="40"/>
      <c r="B121" s="31"/>
      <c r="C121" s="4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2"/>
      <c r="W121" s="173"/>
      <c r="X121" s="376"/>
    </row>
    <row r="122" spans="1:24" ht="9.9499999999999993" hidden="1" customHeight="1" x14ac:dyDescent="0.2">
      <c r="A122" s="40"/>
      <c r="B122" s="128"/>
      <c r="C122" s="4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2"/>
      <c r="W122" s="173"/>
      <c r="X122" s="248"/>
    </row>
    <row r="123" spans="1:24" ht="24.95" hidden="1" customHeight="1" x14ac:dyDescent="0.2">
      <c r="A123" s="210" t="s">
        <v>81</v>
      </c>
      <c r="B123" s="206"/>
      <c r="C123" s="211" t="s">
        <v>79</v>
      </c>
      <c r="D123" s="171">
        <f t="shared" ref="D123:X123" si="33">SUM(D116:D122)</f>
        <v>0</v>
      </c>
      <c r="E123" s="171">
        <f t="shared" si="33"/>
        <v>0</v>
      </c>
      <c r="F123" s="171">
        <f t="shared" si="33"/>
        <v>0</v>
      </c>
      <c r="G123" s="171">
        <f t="shared" si="33"/>
        <v>0</v>
      </c>
      <c r="H123" s="171">
        <f t="shared" si="33"/>
        <v>0</v>
      </c>
      <c r="I123" s="171">
        <f t="shared" si="33"/>
        <v>0</v>
      </c>
      <c r="J123" s="171">
        <f t="shared" si="33"/>
        <v>0</v>
      </c>
      <c r="K123" s="171">
        <f t="shared" si="33"/>
        <v>0</v>
      </c>
      <c r="L123" s="171">
        <f t="shared" si="33"/>
        <v>0</v>
      </c>
      <c r="M123" s="171">
        <f t="shared" si="33"/>
        <v>0</v>
      </c>
      <c r="N123" s="171">
        <f t="shared" si="33"/>
        <v>0</v>
      </c>
      <c r="O123" s="171">
        <f t="shared" si="33"/>
        <v>0</v>
      </c>
      <c r="P123" s="171"/>
      <c r="Q123" s="171">
        <f t="shared" si="33"/>
        <v>0</v>
      </c>
      <c r="R123" s="171">
        <f t="shared" si="33"/>
        <v>0</v>
      </c>
      <c r="S123" s="171">
        <f t="shared" si="33"/>
        <v>0</v>
      </c>
      <c r="T123" s="171">
        <f t="shared" si="33"/>
        <v>0</v>
      </c>
      <c r="U123" s="171">
        <f t="shared" si="33"/>
        <v>0</v>
      </c>
      <c r="V123" s="171"/>
      <c r="W123" s="260">
        <f t="shared" si="33"/>
        <v>0</v>
      </c>
      <c r="X123" s="376">
        <f t="shared" si="33"/>
        <v>0</v>
      </c>
    </row>
    <row r="124" spans="1:24" ht="9.9499999999999993" hidden="1" customHeight="1" x14ac:dyDescent="0.2">
      <c r="A124" s="40"/>
      <c r="B124" s="31"/>
      <c r="C124" s="4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3"/>
      <c r="X124" s="248"/>
    </row>
    <row r="125" spans="1:24" ht="30.75" hidden="1" customHeight="1" x14ac:dyDescent="0.2">
      <c r="A125" s="181" t="s">
        <v>108</v>
      </c>
      <c r="B125" s="226"/>
      <c r="C125" s="41"/>
      <c r="D125" s="171"/>
      <c r="E125" s="171"/>
      <c r="F125" s="171"/>
      <c r="G125" s="171"/>
      <c r="H125" s="171"/>
      <c r="I125" s="171"/>
      <c r="J125" s="171"/>
      <c r="K125" s="171"/>
      <c r="M125" s="171"/>
      <c r="N125" s="171"/>
      <c r="O125" s="171">
        <f>SUM(D125:N125)</f>
        <v>0</v>
      </c>
      <c r="P125" s="171"/>
      <c r="Q125" s="171"/>
      <c r="R125" s="171"/>
      <c r="S125" s="171"/>
      <c r="T125" s="171"/>
      <c r="U125" s="171">
        <f>SUM(Q125:T125)</f>
        <v>0</v>
      </c>
      <c r="V125" s="171"/>
      <c r="W125" s="173">
        <f>O125+U125</f>
        <v>0</v>
      </c>
      <c r="X125" s="248"/>
    </row>
    <row r="126" spans="1:24" ht="30.75" hidden="1" customHeight="1" x14ac:dyDescent="0.2">
      <c r="A126" s="181"/>
      <c r="B126" s="226"/>
      <c r="C126" s="4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>
        <f>SUM(D126:N126)</f>
        <v>0</v>
      </c>
      <c r="P126" s="171"/>
      <c r="Q126" s="171"/>
      <c r="R126" s="171"/>
      <c r="S126" s="171"/>
      <c r="T126" s="171"/>
      <c r="U126" s="171">
        <f>SUM(Q126:T126)</f>
        <v>0</v>
      </c>
      <c r="V126" s="171"/>
      <c r="W126" s="173">
        <f>O126+U126</f>
        <v>0</v>
      </c>
      <c r="X126" s="248"/>
    </row>
    <row r="127" spans="1:24" ht="30.75" hidden="1" customHeight="1" x14ac:dyDescent="0.2">
      <c r="A127" s="40"/>
      <c r="B127" s="31"/>
      <c r="C127" s="4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>
        <f>SUM(D127:N127)</f>
        <v>0</v>
      </c>
      <c r="P127" s="171"/>
      <c r="Q127" s="171"/>
      <c r="R127" s="171"/>
      <c r="S127" s="171"/>
      <c r="T127" s="171"/>
      <c r="U127" s="171">
        <f>SUM(Q127:T127)</f>
        <v>0</v>
      </c>
      <c r="V127" s="171"/>
      <c r="W127" s="173">
        <f>O127+U127</f>
        <v>0</v>
      </c>
      <c r="X127" s="248"/>
    </row>
    <row r="128" spans="1:24" ht="24.95" hidden="1" customHeight="1" x14ac:dyDescent="0.2">
      <c r="A128" s="40"/>
      <c r="B128" s="126"/>
      <c r="C128" s="4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>
        <f>SUM(D128:N128)</f>
        <v>0</v>
      </c>
      <c r="P128" s="171"/>
      <c r="Q128" s="171"/>
      <c r="R128" s="171"/>
      <c r="S128" s="171"/>
      <c r="T128" s="171"/>
      <c r="U128" s="171">
        <f>SUM(Q128:T128)</f>
        <v>0</v>
      </c>
      <c r="V128" s="171"/>
      <c r="W128" s="173">
        <f>O128+U128</f>
        <v>0</v>
      </c>
      <c r="X128" s="248"/>
    </row>
    <row r="129" spans="1:27" ht="9.9499999999999993" hidden="1" customHeight="1" x14ac:dyDescent="0.2">
      <c r="A129" s="40"/>
      <c r="B129" s="126"/>
      <c r="C129" s="4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3"/>
      <c r="X129" s="244"/>
    </row>
    <row r="130" spans="1:27" ht="24.95" hidden="1" customHeight="1" x14ac:dyDescent="0.2">
      <c r="A130" s="210" t="s">
        <v>82</v>
      </c>
      <c r="B130" s="206"/>
      <c r="C130" s="211" t="s">
        <v>80</v>
      </c>
      <c r="D130" s="171">
        <f>SUM(D125:D129)</f>
        <v>0</v>
      </c>
      <c r="E130" s="171">
        <f t="shared" ref="E130:K130" si="34">SUM(E125:E129)</f>
        <v>0</v>
      </c>
      <c r="F130" s="171">
        <f t="shared" si="34"/>
        <v>0</v>
      </c>
      <c r="G130" s="171">
        <f t="shared" si="34"/>
        <v>0</v>
      </c>
      <c r="H130" s="171">
        <f t="shared" si="34"/>
        <v>0</v>
      </c>
      <c r="I130" s="171">
        <f t="shared" si="34"/>
        <v>0</v>
      </c>
      <c r="J130" s="171">
        <f t="shared" si="34"/>
        <v>0</v>
      </c>
      <c r="K130" s="171">
        <f t="shared" si="34"/>
        <v>0</v>
      </c>
      <c r="L130" s="171">
        <f>SUM(L125:L129)</f>
        <v>0</v>
      </c>
      <c r="M130" s="171">
        <f t="shared" ref="M130:X130" si="35">SUM(M125:M129)</f>
        <v>0</v>
      </c>
      <c r="N130" s="171">
        <f>SUM(N125:N129)</f>
        <v>0</v>
      </c>
      <c r="O130" s="171">
        <f t="shared" si="35"/>
        <v>0</v>
      </c>
      <c r="P130" s="171"/>
      <c r="Q130" s="171">
        <f>SUM(Q125:Q129)</f>
        <v>0</v>
      </c>
      <c r="R130" s="171">
        <f>SUM(R125:R129)</f>
        <v>0</v>
      </c>
      <c r="S130" s="171">
        <f t="shared" si="35"/>
        <v>0</v>
      </c>
      <c r="T130" s="171">
        <f t="shared" si="35"/>
        <v>0</v>
      </c>
      <c r="U130" s="171">
        <f t="shared" si="35"/>
        <v>0</v>
      </c>
      <c r="V130" s="171"/>
      <c r="W130" s="260">
        <f t="shared" si="35"/>
        <v>0</v>
      </c>
      <c r="X130" s="260">
        <f t="shared" si="35"/>
        <v>0</v>
      </c>
    </row>
    <row r="131" spans="1:27" ht="24.95" hidden="1" customHeight="1" x14ac:dyDescent="0.2">
      <c r="A131" s="40"/>
      <c r="B131" s="31"/>
      <c r="C131" s="41"/>
      <c r="D131" s="171"/>
      <c r="E131" s="171"/>
      <c r="F131" s="171"/>
      <c r="G131" s="171"/>
      <c r="H131" s="171"/>
      <c r="I131" s="171"/>
      <c r="J131" s="171"/>
      <c r="K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3"/>
      <c r="X131" s="248"/>
    </row>
    <row r="132" spans="1:27" ht="24.95" hidden="1" customHeight="1" thickBot="1" x14ac:dyDescent="0.25">
      <c r="A132" s="40"/>
      <c r="B132" s="32"/>
      <c r="C132" s="34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3"/>
      <c r="X132" s="248"/>
    </row>
    <row r="133" spans="1:27" ht="24.95" hidden="1" customHeight="1" thickTop="1" thickBot="1" x14ac:dyDescent="0.25">
      <c r="A133" s="46"/>
      <c r="B133" s="259" t="s">
        <v>169</v>
      </c>
      <c r="C133" s="44" t="s">
        <v>83</v>
      </c>
      <c r="D133" s="175">
        <f t="shared" ref="D133:X133" si="36">D123+D130</f>
        <v>0</v>
      </c>
      <c r="E133" s="175">
        <f t="shared" si="36"/>
        <v>0</v>
      </c>
      <c r="F133" s="175">
        <f t="shared" si="36"/>
        <v>0</v>
      </c>
      <c r="G133" s="175">
        <f t="shared" si="36"/>
        <v>0</v>
      </c>
      <c r="H133" s="175">
        <f t="shared" si="36"/>
        <v>0</v>
      </c>
      <c r="I133" s="175">
        <f t="shared" si="36"/>
        <v>0</v>
      </c>
      <c r="J133" s="175">
        <f t="shared" si="36"/>
        <v>0</v>
      </c>
      <c r="K133" s="175">
        <f t="shared" si="36"/>
        <v>0</v>
      </c>
      <c r="L133" s="175">
        <f t="shared" si="36"/>
        <v>0</v>
      </c>
      <c r="M133" s="175">
        <f t="shared" si="36"/>
        <v>0</v>
      </c>
      <c r="N133" s="175">
        <f t="shared" si="36"/>
        <v>0</v>
      </c>
      <c r="O133" s="175">
        <f t="shared" si="36"/>
        <v>0</v>
      </c>
      <c r="P133" s="175"/>
      <c r="Q133" s="175">
        <f>Q123+Q130</f>
        <v>0</v>
      </c>
      <c r="R133" s="175">
        <f>R123+R130</f>
        <v>0</v>
      </c>
      <c r="S133" s="175">
        <f t="shared" si="36"/>
        <v>0</v>
      </c>
      <c r="T133" s="175">
        <f t="shared" si="36"/>
        <v>0</v>
      </c>
      <c r="U133" s="175">
        <f t="shared" si="36"/>
        <v>0</v>
      </c>
      <c r="V133" s="175"/>
      <c r="W133" s="176">
        <f t="shared" si="36"/>
        <v>0</v>
      </c>
      <c r="X133" s="176">
        <f t="shared" si="36"/>
        <v>0</v>
      </c>
    </row>
    <row r="134" spans="1:27" ht="24.95" hidden="1" customHeight="1" thickTop="1" thickBot="1" x14ac:dyDescent="0.25">
      <c r="A134" s="42"/>
      <c r="B134" s="43" t="s">
        <v>168</v>
      </c>
      <c r="C134" s="44" t="s">
        <v>141</v>
      </c>
      <c r="D134" s="204">
        <f t="shared" ref="D134:U134" si="37">D115+D133</f>
        <v>0</v>
      </c>
      <c r="E134" s="204">
        <f t="shared" si="37"/>
        <v>0</v>
      </c>
      <c r="F134" s="204">
        <f t="shared" si="37"/>
        <v>7924.7620000000006</v>
      </c>
      <c r="G134" s="204">
        <f t="shared" si="37"/>
        <v>4640</v>
      </c>
      <c r="H134" s="204">
        <f t="shared" si="37"/>
        <v>10611</v>
      </c>
      <c r="I134" s="204">
        <f t="shared" si="37"/>
        <v>0</v>
      </c>
      <c r="J134" s="204">
        <f t="shared" si="37"/>
        <v>0</v>
      </c>
      <c r="K134" s="204">
        <f t="shared" si="37"/>
        <v>0</v>
      </c>
      <c r="L134" s="204">
        <f t="shared" si="37"/>
        <v>607</v>
      </c>
      <c r="M134" s="204">
        <f t="shared" si="37"/>
        <v>1200</v>
      </c>
      <c r="N134" s="204">
        <f t="shared" si="37"/>
        <v>0</v>
      </c>
      <c r="O134" s="204">
        <f t="shared" si="37"/>
        <v>24982.762000000002</v>
      </c>
      <c r="P134" s="204"/>
      <c r="Q134" s="204">
        <f t="shared" si="37"/>
        <v>0</v>
      </c>
      <c r="R134" s="204">
        <f t="shared" si="37"/>
        <v>326995.53700000001</v>
      </c>
      <c r="S134" s="204">
        <f t="shared" si="37"/>
        <v>0</v>
      </c>
      <c r="T134" s="204">
        <f t="shared" si="37"/>
        <v>0</v>
      </c>
      <c r="U134" s="204">
        <f t="shared" si="37"/>
        <v>326995.53700000001</v>
      </c>
      <c r="V134" s="204"/>
      <c r="W134" s="176">
        <f>O134+U134</f>
        <v>351978.299</v>
      </c>
      <c r="X134" s="176">
        <f>X114+X133</f>
        <v>2650896.9899999998</v>
      </c>
      <c r="Y134" s="29"/>
      <c r="Z134" s="29"/>
      <c r="AA134" s="29"/>
    </row>
    <row r="135" spans="1:27" ht="24.95" hidden="1" customHeight="1" thickTop="1" x14ac:dyDescent="0.2">
      <c r="A135" s="183"/>
      <c r="B135" s="516" t="s">
        <v>172</v>
      </c>
      <c r="C135" s="24" t="s">
        <v>18</v>
      </c>
      <c r="D135" s="25">
        <f t="shared" ref="D135:O135" si="38">D134</f>
        <v>0</v>
      </c>
      <c r="E135" s="25">
        <f t="shared" si="38"/>
        <v>0</v>
      </c>
      <c r="F135" s="25">
        <f t="shared" si="38"/>
        <v>7924.7620000000006</v>
      </c>
      <c r="G135" s="25">
        <f t="shared" si="38"/>
        <v>4640</v>
      </c>
      <c r="H135" s="25">
        <f t="shared" si="38"/>
        <v>10611</v>
      </c>
      <c r="I135" s="25">
        <f t="shared" si="38"/>
        <v>0</v>
      </c>
      <c r="J135" s="25">
        <f t="shared" si="38"/>
        <v>0</v>
      </c>
      <c r="K135" s="25">
        <f t="shared" si="38"/>
        <v>0</v>
      </c>
      <c r="L135" s="25">
        <f t="shared" si="38"/>
        <v>607</v>
      </c>
      <c r="M135" s="25">
        <f t="shared" si="38"/>
        <v>1200</v>
      </c>
      <c r="N135" s="25">
        <f t="shared" si="38"/>
        <v>0</v>
      </c>
      <c r="O135" s="25">
        <f t="shared" si="38"/>
        <v>24982.762000000002</v>
      </c>
      <c r="P135" s="25"/>
      <c r="Q135" s="25">
        <f>Q134</f>
        <v>0</v>
      </c>
      <c r="R135" s="25">
        <f>R134</f>
        <v>326995.53700000001</v>
      </c>
      <c r="S135" s="25">
        <f>S134</f>
        <v>0</v>
      </c>
      <c r="T135" s="25">
        <f>T134</f>
        <v>0</v>
      </c>
      <c r="U135" s="25">
        <f>U134</f>
        <v>326995.53700000001</v>
      </c>
      <c r="V135" s="25"/>
      <c r="W135" s="239">
        <f>O135+U135</f>
        <v>351978.299</v>
      </c>
      <c r="X135" s="246">
        <f>X134</f>
        <v>2650896.9899999998</v>
      </c>
      <c r="Y135" s="29"/>
      <c r="Z135" s="29"/>
      <c r="AA135" s="29"/>
    </row>
    <row r="136" spans="1:27" ht="24.95" hidden="1" customHeight="1" x14ac:dyDescent="0.2">
      <c r="A136" s="207"/>
      <c r="B136" s="525"/>
      <c r="C136" s="468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1"/>
      <c r="W136" s="469"/>
      <c r="X136" s="526"/>
      <c r="Y136" s="29"/>
      <c r="Z136" s="29"/>
      <c r="AA136" s="29"/>
    </row>
    <row r="137" spans="1:27" ht="24.95" hidden="1" customHeight="1" x14ac:dyDescent="0.2">
      <c r="A137" s="181">
        <v>1</v>
      </c>
      <c r="B137" s="524"/>
      <c r="C137" s="28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>
        <f>SUM(D137:N137)</f>
        <v>0</v>
      </c>
      <c r="P137" s="171"/>
      <c r="Q137" s="171"/>
      <c r="R137" s="171"/>
      <c r="S137" s="171"/>
      <c r="T137" s="171"/>
      <c r="U137" s="171">
        <f>SUM(Q137:T137)</f>
        <v>0</v>
      </c>
      <c r="V137" s="172"/>
      <c r="W137" s="173">
        <f t="shared" ref="W137:W142" si="39">O137+U137</f>
        <v>0</v>
      </c>
      <c r="X137" s="376"/>
      <c r="Y137" s="29"/>
      <c r="Z137" s="29"/>
      <c r="AA137" s="29"/>
    </row>
    <row r="138" spans="1:27" ht="24.95" hidden="1" customHeight="1" x14ac:dyDescent="0.2">
      <c r="A138" s="181">
        <v>2</v>
      </c>
      <c r="B138" s="523"/>
      <c r="C138" s="28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>
        <f>SUM(D138:N138)</f>
        <v>0</v>
      </c>
      <c r="P138" s="171"/>
      <c r="Q138" s="171"/>
      <c r="R138" s="171"/>
      <c r="S138" s="171"/>
      <c r="T138" s="171"/>
      <c r="U138" s="171">
        <f>SUM(Q138:T138)</f>
        <v>0</v>
      </c>
      <c r="V138" s="172"/>
      <c r="W138" s="173">
        <f t="shared" si="39"/>
        <v>0</v>
      </c>
      <c r="X138" s="376"/>
      <c r="Y138" s="29"/>
      <c r="Z138" s="29"/>
      <c r="AA138" s="29"/>
    </row>
    <row r="139" spans="1:27" ht="24.95" hidden="1" customHeight="1" x14ac:dyDescent="0.2">
      <c r="A139" s="181">
        <v>3</v>
      </c>
      <c r="B139" s="524"/>
      <c r="C139" s="28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>
        <f>SUM(D139:N139)</f>
        <v>0</v>
      </c>
      <c r="P139" s="171"/>
      <c r="Q139" s="171"/>
      <c r="R139" s="171"/>
      <c r="S139" s="171"/>
      <c r="T139" s="171"/>
      <c r="U139" s="171">
        <f>SUM(Q139:T139)</f>
        <v>0</v>
      </c>
      <c r="V139" s="172"/>
      <c r="W139" s="173">
        <f t="shared" si="39"/>
        <v>0</v>
      </c>
      <c r="X139" s="376"/>
      <c r="Y139" s="29"/>
      <c r="Z139" s="29"/>
      <c r="AA139" s="29"/>
    </row>
    <row r="140" spans="1:27" ht="24.95" hidden="1" customHeight="1" x14ac:dyDescent="0.2">
      <c r="A140" s="40">
        <v>4</v>
      </c>
      <c r="B140" s="524"/>
      <c r="C140" s="28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>
        <f>SUM(D140:N140)</f>
        <v>0</v>
      </c>
      <c r="P140" s="171"/>
      <c r="Q140" s="171"/>
      <c r="R140" s="171"/>
      <c r="S140" s="171"/>
      <c r="T140" s="171"/>
      <c r="U140" s="171">
        <f>SUM(Q140:T140)</f>
        <v>0</v>
      </c>
      <c r="V140" s="172"/>
      <c r="W140" s="173">
        <f t="shared" si="39"/>
        <v>0</v>
      </c>
      <c r="X140" s="376"/>
      <c r="Y140" s="29"/>
      <c r="Z140" s="29"/>
      <c r="AA140" s="29"/>
    </row>
    <row r="141" spans="1:27" ht="24.95" hidden="1" customHeight="1" x14ac:dyDescent="0.2">
      <c r="A141" s="40"/>
      <c r="B141" s="31"/>
      <c r="C141" s="4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>
        <f>SUM(D141:N141)</f>
        <v>0</v>
      </c>
      <c r="P141" s="171"/>
      <c r="Q141" s="171"/>
      <c r="R141" s="171"/>
      <c r="S141" s="171"/>
      <c r="T141" s="171"/>
      <c r="U141" s="171">
        <f>SUM(Q141:T141)</f>
        <v>0</v>
      </c>
      <c r="V141" s="172"/>
      <c r="W141" s="173">
        <f t="shared" si="39"/>
        <v>0</v>
      </c>
      <c r="X141" s="376"/>
      <c r="Y141" s="29"/>
      <c r="Z141" s="29"/>
      <c r="AA141" s="29"/>
    </row>
    <row r="142" spans="1:27" ht="24.95" hidden="1" customHeight="1" x14ac:dyDescent="0.2">
      <c r="A142" s="40"/>
      <c r="B142" s="31"/>
      <c r="C142" s="4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2"/>
      <c r="W142" s="173">
        <f t="shared" si="39"/>
        <v>0</v>
      </c>
      <c r="X142" s="376"/>
      <c r="Y142" s="29"/>
      <c r="Z142" s="29"/>
      <c r="AA142" s="29"/>
    </row>
    <row r="143" spans="1:27" ht="24.95" hidden="1" customHeight="1" x14ac:dyDescent="0.2">
      <c r="A143" s="40"/>
      <c r="B143" s="128"/>
      <c r="C143" s="4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  <c r="V143" s="172"/>
      <c r="W143" s="173"/>
      <c r="X143" s="248"/>
      <c r="Y143" s="29"/>
      <c r="Z143" s="29"/>
      <c r="AA143" s="29"/>
    </row>
    <row r="144" spans="1:27" ht="24.95" hidden="1" customHeight="1" x14ac:dyDescent="0.2">
      <c r="A144" s="210" t="s">
        <v>81</v>
      </c>
      <c r="B144" s="206"/>
      <c r="C144" s="211" t="s">
        <v>79</v>
      </c>
      <c r="D144" s="171">
        <f t="shared" ref="D144:X144" si="40">SUM(D137:D143)</f>
        <v>0</v>
      </c>
      <c r="E144" s="171">
        <f t="shared" si="40"/>
        <v>0</v>
      </c>
      <c r="F144" s="171">
        <f t="shared" si="40"/>
        <v>0</v>
      </c>
      <c r="G144" s="171">
        <f t="shared" si="40"/>
        <v>0</v>
      </c>
      <c r="H144" s="171">
        <f t="shared" si="40"/>
        <v>0</v>
      </c>
      <c r="I144" s="171">
        <f t="shared" si="40"/>
        <v>0</v>
      </c>
      <c r="J144" s="171">
        <f t="shared" si="40"/>
        <v>0</v>
      </c>
      <c r="K144" s="171">
        <f t="shared" si="40"/>
        <v>0</v>
      </c>
      <c r="L144" s="171">
        <f t="shared" si="40"/>
        <v>0</v>
      </c>
      <c r="M144" s="171">
        <f t="shared" si="40"/>
        <v>0</v>
      </c>
      <c r="N144" s="171">
        <f t="shared" si="40"/>
        <v>0</v>
      </c>
      <c r="O144" s="171">
        <f t="shared" si="40"/>
        <v>0</v>
      </c>
      <c r="P144" s="171"/>
      <c r="Q144" s="171">
        <f t="shared" si="40"/>
        <v>0</v>
      </c>
      <c r="R144" s="171">
        <f t="shared" si="40"/>
        <v>0</v>
      </c>
      <c r="S144" s="171">
        <f t="shared" si="40"/>
        <v>0</v>
      </c>
      <c r="T144" s="171">
        <f t="shared" si="40"/>
        <v>0</v>
      </c>
      <c r="U144" s="171">
        <f t="shared" si="40"/>
        <v>0</v>
      </c>
      <c r="V144" s="171"/>
      <c r="W144" s="260">
        <f t="shared" si="40"/>
        <v>0</v>
      </c>
      <c r="X144" s="376">
        <f t="shared" si="40"/>
        <v>0</v>
      </c>
      <c r="Y144" s="29"/>
      <c r="Z144" s="29"/>
      <c r="AA144" s="29"/>
    </row>
    <row r="145" spans="1:27" ht="24.95" hidden="1" customHeight="1" x14ac:dyDescent="0.25">
      <c r="A145" s="40"/>
      <c r="C145" s="417"/>
      <c r="D145" s="417"/>
      <c r="E145" s="417"/>
      <c r="F145" s="417"/>
      <c r="G145" s="171"/>
      <c r="H145" s="171"/>
      <c r="I145" s="171"/>
      <c r="J145" s="171"/>
      <c r="K145" s="171"/>
      <c r="L145" s="171"/>
      <c r="M145" s="171"/>
      <c r="N145" s="171"/>
      <c r="O145" s="171">
        <f>SUM(D145:N145)</f>
        <v>0</v>
      </c>
      <c r="P145" s="171"/>
      <c r="Q145" s="171"/>
      <c r="R145" s="171"/>
      <c r="S145" s="171"/>
      <c r="T145" s="171"/>
      <c r="U145" s="171"/>
      <c r="V145" s="171"/>
      <c r="W145" s="173"/>
      <c r="X145" s="248"/>
      <c r="Y145" s="29"/>
      <c r="Z145" s="29"/>
      <c r="AA145" s="29"/>
    </row>
    <row r="146" spans="1:27" ht="24.95" hidden="1" customHeight="1" x14ac:dyDescent="0.2">
      <c r="A146" s="181" t="s">
        <v>108</v>
      </c>
      <c r="B146" s="226"/>
      <c r="C146" s="41"/>
      <c r="D146" s="171"/>
      <c r="E146" s="171"/>
      <c r="F146" s="171"/>
      <c r="G146" s="171"/>
      <c r="H146" s="171"/>
      <c r="I146" s="171"/>
      <c r="J146" s="171"/>
      <c r="K146" s="171"/>
      <c r="M146" s="171"/>
      <c r="N146" s="171"/>
      <c r="O146" s="171">
        <f>SUM(D146:N146)</f>
        <v>0</v>
      </c>
      <c r="P146" s="171"/>
      <c r="Q146" s="171"/>
      <c r="R146" s="171"/>
      <c r="S146" s="171"/>
      <c r="T146" s="171"/>
      <c r="U146" s="171">
        <f>SUM(Q146:T146)</f>
        <v>0</v>
      </c>
      <c r="V146" s="171"/>
      <c r="W146" s="173">
        <f>O146+U146</f>
        <v>0</v>
      </c>
      <c r="X146" s="248"/>
      <c r="Y146" s="29"/>
      <c r="Z146" s="29"/>
      <c r="AA146" s="29"/>
    </row>
    <row r="147" spans="1:27" ht="24.95" hidden="1" customHeight="1" x14ac:dyDescent="0.2">
      <c r="A147" s="181" t="s">
        <v>108</v>
      </c>
      <c r="B147" s="226"/>
      <c r="C147" s="4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>
        <f>SUM(D147:N147)</f>
        <v>0</v>
      </c>
      <c r="P147" s="171"/>
      <c r="Q147" s="171"/>
      <c r="R147" s="171"/>
      <c r="S147" s="171"/>
      <c r="T147" s="171"/>
      <c r="U147" s="171">
        <f>SUM(Q147:T147)</f>
        <v>0</v>
      </c>
      <c r="V147" s="171"/>
      <c r="W147" s="173">
        <f>O147+U147</f>
        <v>0</v>
      </c>
      <c r="X147" s="248"/>
      <c r="Y147" s="29"/>
      <c r="Z147" s="29"/>
      <c r="AA147" s="29"/>
    </row>
    <row r="148" spans="1:27" ht="24.95" hidden="1" customHeight="1" x14ac:dyDescent="0.2">
      <c r="A148" s="40"/>
      <c r="B148" s="126"/>
      <c r="C148" s="4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>
        <f>SUM(D148:N148)</f>
        <v>0</v>
      </c>
      <c r="P148" s="171"/>
      <c r="Q148" s="171"/>
      <c r="R148" s="171"/>
      <c r="S148" s="171"/>
      <c r="T148" s="171"/>
      <c r="U148" s="171">
        <f>SUM(Q148:T148)</f>
        <v>0</v>
      </c>
      <c r="V148" s="171"/>
      <c r="W148" s="173">
        <f>O148+U148</f>
        <v>0</v>
      </c>
      <c r="X148" s="248"/>
      <c r="Y148" s="29"/>
      <c r="Z148" s="29"/>
      <c r="AA148" s="29"/>
    </row>
    <row r="149" spans="1:27" ht="24.95" hidden="1" customHeight="1" x14ac:dyDescent="0.2">
      <c r="A149" s="40"/>
      <c r="B149" s="126"/>
      <c r="C149" s="4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3"/>
      <c r="X149" s="244"/>
      <c r="Y149" s="29"/>
      <c r="Z149" s="29"/>
      <c r="AA149" s="29"/>
    </row>
    <row r="150" spans="1:27" ht="24.95" hidden="1" customHeight="1" x14ac:dyDescent="0.2">
      <c r="A150" s="210" t="s">
        <v>82</v>
      </c>
      <c r="B150" s="206"/>
      <c r="C150" s="211" t="s">
        <v>80</v>
      </c>
      <c r="D150" s="171">
        <f t="shared" ref="D150:O150" si="41">SUM(D146:D149)</f>
        <v>0</v>
      </c>
      <c r="E150" s="171">
        <f t="shared" si="41"/>
        <v>0</v>
      </c>
      <c r="F150" s="171">
        <f t="shared" si="41"/>
        <v>0</v>
      </c>
      <c r="G150" s="171">
        <f t="shared" si="41"/>
        <v>0</v>
      </c>
      <c r="H150" s="171">
        <f t="shared" si="41"/>
        <v>0</v>
      </c>
      <c r="I150" s="171">
        <f t="shared" si="41"/>
        <v>0</v>
      </c>
      <c r="J150" s="171">
        <f t="shared" si="41"/>
        <v>0</v>
      </c>
      <c r="K150" s="171">
        <f t="shared" si="41"/>
        <v>0</v>
      </c>
      <c r="L150" s="171">
        <f t="shared" si="41"/>
        <v>0</v>
      </c>
      <c r="M150" s="171">
        <f t="shared" si="41"/>
        <v>0</v>
      </c>
      <c r="N150" s="171">
        <f t="shared" si="41"/>
        <v>0</v>
      </c>
      <c r="O150" s="171">
        <f t="shared" si="41"/>
        <v>0</v>
      </c>
      <c r="P150" s="171"/>
      <c r="Q150" s="171">
        <f>SUM(Q146:Q149)</f>
        <v>0</v>
      </c>
      <c r="R150" s="171">
        <f>SUM(R146:R149)</f>
        <v>0</v>
      </c>
      <c r="S150" s="171">
        <f>SUM(S146:S149)</f>
        <v>0</v>
      </c>
      <c r="T150" s="171">
        <f>SUM(T146:T149)</f>
        <v>0</v>
      </c>
      <c r="U150" s="171">
        <f>SUM(U146:U149)</f>
        <v>0</v>
      </c>
      <c r="V150" s="171"/>
      <c r="W150" s="260">
        <f>SUM(W146:W149)</f>
        <v>0</v>
      </c>
      <c r="X150" s="260">
        <f>SUM(X146:X149)</f>
        <v>0</v>
      </c>
      <c r="Y150" s="29"/>
      <c r="Z150" s="29"/>
      <c r="AA150" s="29"/>
    </row>
    <row r="151" spans="1:27" ht="24.95" hidden="1" customHeight="1" x14ac:dyDescent="0.2">
      <c r="A151" s="40"/>
      <c r="B151" s="31"/>
      <c r="C151" s="41"/>
      <c r="D151" s="171"/>
      <c r="E151" s="171"/>
      <c r="F151" s="171"/>
      <c r="G151" s="171"/>
      <c r="H151" s="171"/>
      <c r="I151" s="171"/>
      <c r="J151" s="171"/>
      <c r="K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3"/>
      <c r="X151" s="248"/>
      <c r="Y151" s="29"/>
      <c r="Z151" s="29"/>
      <c r="AA151" s="29"/>
    </row>
    <row r="152" spans="1:27" ht="24.95" hidden="1" customHeight="1" thickBot="1" x14ac:dyDescent="0.25">
      <c r="A152" s="40"/>
      <c r="B152" s="32"/>
      <c r="C152" s="34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3"/>
      <c r="X152" s="248"/>
      <c r="Y152" s="29"/>
      <c r="Z152" s="29"/>
      <c r="AA152" s="29"/>
    </row>
    <row r="153" spans="1:27" ht="24.95" hidden="1" customHeight="1" thickTop="1" thickBot="1" x14ac:dyDescent="0.25">
      <c r="A153" s="46"/>
      <c r="B153" s="259" t="s">
        <v>171</v>
      </c>
      <c r="C153" s="44" t="s">
        <v>83</v>
      </c>
      <c r="D153" s="175">
        <f t="shared" ref="D153:O153" si="42">D144+D150</f>
        <v>0</v>
      </c>
      <c r="E153" s="175">
        <f t="shared" si="42"/>
        <v>0</v>
      </c>
      <c r="F153" s="175">
        <f t="shared" si="42"/>
        <v>0</v>
      </c>
      <c r="G153" s="175">
        <f t="shared" si="42"/>
        <v>0</v>
      </c>
      <c r="H153" s="175">
        <f t="shared" si="42"/>
        <v>0</v>
      </c>
      <c r="I153" s="175">
        <f t="shared" si="42"/>
        <v>0</v>
      </c>
      <c r="J153" s="175">
        <f t="shared" si="42"/>
        <v>0</v>
      </c>
      <c r="K153" s="175">
        <f t="shared" si="42"/>
        <v>0</v>
      </c>
      <c r="L153" s="175">
        <f t="shared" si="42"/>
        <v>0</v>
      </c>
      <c r="M153" s="175">
        <f t="shared" si="42"/>
        <v>0</v>
      </c>
      <c r="N153" s="175">
        <f t="shared" si="42"/>
        <v>0</v>
      </c>
      <c r="O153" s="175">
        <f t="shared" si="42"/>
        <v>0</v>
      </c>
      <c r="P153" s="175"/>
      <c r="Q153" s="175">
        <f>Q144+Q150</f>
        <v>0</v>
      </c>
      <c r="R153" s="175">
        <f>R144+R150</f>
        <v>0</v>
      </c>
      <c r="S153" s="175">
        <f>S144+S150</f>
        <v>0</v>
      </c>
      <c r="T153" s="175">
        <f>T144+T150</f>
        <v>0</v>
      </c>
      <c r="U153" s="175">
        <f>U144+U150</f>
        <v>0</v>
      </c>
      <c r="V153" s="175"/>
      <c r="W153" s="176">
        <f>W144+W150</f>
        <v>0</v>
      </c>
      <c r="X153" s="176">
        <f>X144+X150</f>
        <v>0</v>
      </c>
      <c r="Y153" s="29"/>
      <c r="Z153" s="29"/>
      <c r="AA153" s="29"/>
    </row>
    <row r="154" spans="1:27" ht="24.95" hidden="1" customHeight="1" thickTop="1" thickBot="1" x14ac:dyDescent="0.25">
      <c r="A154" s="42"/>
      <c r="B154" s="43" t="s">
        <v>172</v>
      </c>
      <c r="C154" s="44" t="s">
        <v>141</v>
      </c>
      <c r="D154" s="204">
        <f t="shared" ref="D154:O154" si="43">D135+D153</f>
        <v>0</v>
      </c>
      <c r="E154" s="204">
        <f t="shared" si="43"/>
        <v>0</v>
      </c>
      <c r="F154" s="204">
        <f t="shared" si="43"/>
        <v>7924.7620000000006</v>
      </c>
      <c r="G154" s="204">
        <f t="shared" si="43"/>
        <v>4640</v>
      </c>
      <c r="H154" s="204">
        <f t="shared" si="43"/>
        <v>10611</v>
      </c>
      <c r="I154" s="204">
        <f t="shared" si="43"/>
        <v>0</v>
      </c>
      <c r="J154" s="204">
        <f t="shared" si="43"/>
        <v>0</v>
      </c>
      <c r="K154" s="204">
        <f t="shared" si="43"/>
        <v>0</v>
      </c>
      <c r="L154" s="204">
        <f t="shared" si="43"/>
        <v>607</v>
      </c>
      <c r="M154" s="204">
        <f t="shared" si="43"/>
        <v>1200</v>
      </c>
      <c r="N154" s="204">
        <f t="shared" si="43"/>
        <v>0</v>
      </c>
      <c r="O154" s="204">
        <f t="shared" si="43"/>
        <v>24982.762000000002</v>
      </c>
      <c r="P154" s="204"/>
      <c r="Q154" s="204">
        <f>Q135+Q153</f>
        <v>0</v>
      </c>
      <c r="R154" s="204">
        <f>R135+R153</f>
        <v>326995.53700000001</v>
      </c>
      <c r="S154" s="204">
        <f>S135+S153</f>
        <v>0</v>
      </c>
      <c r="T154" s="204">
        <f>T135+T153</f>
        <v>0</v>
      </c>
      <c r="U154" s="204">
        <f>U135+U153</f>
        <v>326995.53700000001</v>
      </c>
      <c r="V154" s="204"/>
      <c r="W154" s="176">
        <f>O154+U154</f>
        <v>351978.299</v>
      </c>
      <c r="X154" s="176">
        <f>X134+X153</f>
        <v>2650896.9899999998</v>
      </c>
      <c r="Y154" s="29"/>
      <c r="Z154" s="29"/>
      <c r="AA154" s="29"/>
    </row>
    <row r="155" spans="1:27" ht="24.95" hidden="1" customHeight="1" thickTop="1" x14ac:dyDescent="0.2">
      <c r="A155" s="207"/>
      <c r="B155" s="221"/>
      <c r="C155" s="222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>
        <f t="shared" ref="O155:O161" si="44">SUM(D155:N155)</f>
        <v>0</v>
      </c>
      <c r="P155" s="257"/>
      <c r="Q155" s="257"/>
      <c r="R155" s="257"/>
      <c r="S155" s="257"/>
      <c r="T155" s="257"/>
      <c r="U155" s="257">
        <f t="shared" ref="U155:U161" si="45">SUM(Q155:T155)</f>
        <v>0</v>
      </c>
      <c r="V155" s="258"/>
      <c r="W155" s="333">
        <f t="shared" ref="W155:W162" si="46">O155+U155</f>
        <v>0</v>
      </c>
      <c r="X155" s="334"/>
      <c r="Y155" s="29"/>
      <c r="Z155" s="29"/>
      <c r="AA155" s="29"/>
    </row>
    <row r="156" spans="1:27" ht="24.95" hidden="1" customHeight="1" x14ac:dyDescent="0.2">
      <c r="A156" s="207"/>
      <c r="B156" s="221"/>
      <c r="C156" s="222"/>
      <c r="D156" s="257"/>
      <c r="E156" s="257"/>
      <c r="F156" s="257"/>
      <c r="G156" s="257"/>
      <c r="H156" s="257"/>
      <c r="I156" s="257"/>
      <c r="J156" s="257"/>
      <c r="K156" s="257"/>
      <c r="L156" s="257"/>
      <c r="M156" s="257"/>
      <c r="N156" s="257"/>
      <c r="O156" s="257">
        <f t="shared" si="44"/>
        <v>0</v>
      </c>
      <c r="P156" s="257"/>
      <c r="Q156" s="257"/>
      <c r="R156" s="257"/>
      <c r="S156" s="257"/>
      <c r="T156" s="257"/>
      <c r="U156" s="257">
        <f t="shared" si="45"/>
        <v>0</v>
      </c>
      <c r="V156" s="258"/>
      <c r="W156" s="333">
        <f t="shared" si="46"/>
        <v>0</v>
      </c>
      <c r="X156" s="334"/>
      <c r="Y156" s="29"/>
      <c r="Z156" s="29"/>
      <c r="AA156" s="29"/>
    </row>
    <row r="157" spans="1:27" ht="24.95" hidden="1" customHeight="1" x14ac:dyDescent="0.2">
      <c r="A157" s="207"/>
      <c r="B157" s="221"/>
      <c r="C157" s="222"/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>
        <f t="shared" si="44"/>
        <v>0</v>
      </c>
      <c r="P157" s="257"/>
      <c r="Q157" s="257"/>
      <c r="R157" s="257"/>
      <c r="S157" s="257"/>
      <c r="T157" s="257"/>
      <c r="U157" s="257">
        <f t="shared" si="45"/>
        <v>0</v>
      </c>
      <c r="V157" s="258"/>
      <c r="W157" s="333">
        <f t="shared" si="46"/>
        <v>0</v>
      </c>
      <c r="X157" s="334"/>
      <c r="Y157" s="29"/>
      <c r="Z157" s="29"/>
      <c r="AA157" s="29"/>
    </row>
    <row r="158" spans="1:27" ht="24.95" hidden="1" customHeight="1" x14ac:dyDescent="0.2">
      <c r="A158" s="40"/>
      <c r="B158" s="48" t="s">
        <v>77</v>
      </c>
      <c r="C158" s="49" t="s">
        <v>22</v>
      </c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>
        <f t="shared" si="44"/>
        <v>0</v>
      </c>
      <c r="P158" s="157"/>
      <c r="Q158" s="157"/>
      <c r="R158" s="157"/>
      <c r="S158" s="157"/>
      <c r="T158" s="157"/>
      <c r="U158" s="157">
        <f t="shared" si="45"/>
        <v>0</v>
      </c>
      <c r="V158" s="163"/>
      <c r="W158" s="173">
        <f t="shared" si="46"/>
        <v>0</v>
      </c>
      <c r="X158" s="275"/>
    </row>
    <row r="159" spans="1:27" ht="24.95" hidden="1" customHeight="1" x14ac:dyDescent="0.2">
      <c r="A159" s="40"/>
      <c r="B159" s="48" t="s">
        <v>24</v>
      </c>
      <c r="C159" s="49" t="s">
        <v>22</v>
      </c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>
        <f t="shared" si="44"/>
        <v>0</v>
      </c>
      <c r="P159" s="157"/>
      <c r="Q159" s="157"/>
      <c r="R159" s="157"/>
      <c r="S159" s="157"/>
      <c r="T159" s="157"/>
      <c r="U159" s="157">
        <f t="shared" si="45"/>
        <v>0</v>
      </c>
      <c r="V159" s="163"/>
      <c r="W159" s="173">
        <f t="shared" si="46"/>
        <v>0</v>
      </c>
      <c r="X159" s="275"/>
    </row>
    <row r="160" spans="1:27" ht="24.95" hidden="1" customHeight="1" x14ac:dyDescent="0.2">
      <c r="A160" s="40"/>
      <c r="B160" s="48" t="s">
        <v>69</v>
      </c>
      <c r="C160" s="49" t="s">
        <v>22</v>
      </c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>
        <f t="shared" si="44"/>
        <v>0</v>
      </c>
      <c r="P160" s="157"/>
      <c r="Q160" s="157"/>
      <c r="R160" s="157"/>
      <c r="S160" s="157"/>
      <c r="T160" s="157"/>
      <c r="U160" s="157">
        <f t="shared" si="45"/>
        <v>0</v>
      </c>
      <c r="V160" s="163"/>
      <c r="W160" s="173">
        <f t="shared" si="46"/>
        <v>0</v>
      </c>
      <c r="X160" s="275"/>
    </row>
    <row r="161" spans="1:27" ht="24.95" hidden="1" customHeight="1" x14ac:dyDescent="0.2">
      <c r="A161" s="40"/>
      <c r="B161" s="48"/>
      <c r="C161" s="41" t="s">
        <v>64</v>
      </c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>
        <f t="shared" si="44"/>
        <v>0</v>
      </c>
      <c r="P161" s="157"/>
      <c r="Q161" s="157"/>
      <c r="R161" s="157"/>
      <c r="S161" s="157"/>
      <c r="T161" s="157"/>
      <c r="U161" s="157">
        <f t="shared" si="45"/>
        <v>0</v>
      </c>
      <c r="V161" s="163"/>
      <c r="W161" s="173">
        <f t="shared" si="46"/>
        <v>0</v>
      </c>
      <c r="X161" s="275"/>
    </row>
    <row r="162" spans="1:27" ht="24.95" hidden="1" customHeight="1" thickBot="1" x14ac:dyDescent="0.25">
      <c r="A162" s="40"/>
      <c r="B162" s="48"/>
      <c r="C162" s="49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63"/>
      <c r="W162" s="173">
        <f t="shared" si="46"/>
        <v>0</v>
      </c>
      <c r="X162" s="275"/>
    </row>
    <row r="163" spans="1:27" ht="24.95" hidden="1" customHeight="1" thickTop="1" thickBot="1" x14ac:dyDescent="0.25">
      <c r="A163" s="47"/>
      <c r="B163" s="43"/>
      <c r="C163" s="44" t="s">
        <v>27</v>
      </c>
      <c r="D163" s="165">
        <f t="shared" ref="D163:M163" si="47">SUM(D158:D162)</f>
        <v>0</v>
      </c>
      <c r="E163" s="165">
        <f t="shared" si="47"/>
        <v>0</v>
      </c>
      <c r="F163" s="165">
        <f t="shared" si="47"/>
        <v>0</v>
      </c>
      <c r="G163" s="165">
        <f t="shared" si="47"/>
        <v>0</v>
      </c>
      <c r="H163" s="165">
        <f t="shared" si="47"/>
        <v>0</v>
      </c>
      <c r="I163" s="165">
        <f t="shared" si="47"/>
        <v>0</v>
      </c>
      <c r="J163" s="165">
        <f t="shared" si="47"/>
        <v>0</v>
      </c>
      <c r="K163" s="165">
        <f t="shared" si="47"/>
        <v>0</v>
      </c>
      <c r="L163" s="165">
        <f t="shared" si="47"/>
        <v>0</v>
      </c>
      <c r="M163" s="165">
        <f t="shared" si="47"/>
        <v>0</v>
      </c>
      <c r="N163" s="165">
        <f t="shared" ref="N163:U163" si="48">SUM(N158:N162)</f>
        <v>0</v>
      </c>
      <c r="O163" s="165">
        <f t="shared" si="48"/>
        <v>0</v>
      </c>
      <c r="P163" s="165"/>
      <c r="Q163" s="165">
        <f>SUM(Q158:Q162)</f>
        <v>0</v>
      </c>
      <c r="R163" s="165">
        <f>SUM(R158:R162)</f>
        <v>0</v>
      </c>
      <c r="S163" s="165">
        <f t="shared" si="48"/>
        <v>0</v>
      </c>
      <c r="T163" s="165">
        <f t="shared" si="48"/>
        <v>0</v>
      </c>
      <c r="U163" s="165">
        <f t="shared" si="48"/>
        <v>0</v>
      </c>
      <c r="V163" s="272"/>
      <c r="W163" s="177">
        <f>O163+U163</f>
        <v>0</v>
      </c>
      <c r="X163" s="278">
        <f>SUM(X158:X162)</f>
        <v>0</v>
      </c>
    </row>
    <row r="164" spans="1:27" ht="9.9499999999999993" hidden="1" customHeight="1" thickTop="1" x14ac:dyDescent="0.2">
      <c r="A164" s="187"/>
      <c r="B164" s="188"/>
      <c r="C164" s="189"/>
      <c r="D164" s="190"/>
      <c r="E164" s="190"/>
      <c r="F164" s="190"/>
      <c r="G164" s="190"/>
      <c r="H164" s="190"/>
      <c r="I164" s="190"/>
      <c r="J164" s="190"/>
      <c r="K164" s="190"/>
      <c r="L164" s="190"/>
      <c r="M164" s="190"/>
      <c r="N164" s="190"/>
      <c r="O164" s="190"/>
      <c r="P164" s="190"/>
      <c r="Q164" s="190"/>
      <c r="R164" s="190"/>
      <c r="S164" s="190"/>
      <c r="T164" s="190"/>
      <c r="U164" s="190"/>
      <c r="V164" s="191"/>
      <c r="W164" s="268"/>
      <c r="X164" s="279"/>
    </row>
    <row r="165" spans="1:27" ht="24.95" hidden="1" customHeight="1" x14ac:dyDescent="0.2">
      <c r="A165" s="192"/>
      <c r="B165" s="193"/>
      <c r="C165" s="201" t="s">
        <v>64</v>
      </c>
      <c r="D165" s="194"/>
      <c r="E165" s="194"/>
      <c r="F165" s="194"/>
      <c r="G165" s="194"/>
      <c r="H165" s="194"/>
      <c r="I165" s="194"/>
      <c r="J165" s="194"/>
      <c r="K165" s="194"/>
      <c r="L165" s="194"/>
      <c r="M165" s="194"/>
      <c r="N165" s="194"/>
      <c r="O165" s="194">
        <f>SUM(D165:N165)</f>
        <v>0</v>
      </c>
      <c r="P165" s="194"/>
      <c r="Q165" s="194"/>
      <c r="R165" s="194"/>
      <c r="S165" s="194"/>
      <c r="T165" s="194"/>
      <c r="U165" s="194">
        <f>SUM(Q165:T165)</f>
        <v>0</v>
      </c>
      <c r="V165" s="195"/>
      <c r="W165" s="269">
        <f>O165+U165</f>
        <v>0</v>
      </c>
      <c r="X165" s="280"/>
    </row>
    <row r="166" spans="1:27" ht="9.9499999999999993" hidden="1" customHeight="1" thickBot="1" x14ac:dyDescent="0.25">
      <c r="A166" s="196"/>
      <c r="B166" s="197"/>
      <c r="C166" s="198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200"/>
      <c r="W166" s="270"/>
      <c r="X166" s="281"/>
    </row>
    <row r="167" spans="1:27" ht="24.95" hidden="1" customHeight="1" thickTop="1" thickBot="1" x14ac:dyDescent="0.25">
      <c r="A167" s="92"/>
      <c r="B167" s="92" t="s">
        <v>91</v>
      </c>
      <c r="C167" s="44" t="s">
        <v>141</v>
      </c>
      <c r="D167" s="204">
        <f t="shared" ref="D167:O167" si="49">D134+D163</f>
        <v>0</v>
      </c>
      <c r="E167" s="204">
        <f t="shared" si="49"/>
        <v>0</v>
      </c>
      <c r="F167" s="204">
        <f t="shared" si="49"/>
        <v>7924.7620000000006</v>
      </c>
      <c r="G167" s="204">
        <f t="shared" si="49"/>
        <v>4640</v>
      </c>
      <c r="H167" s="204">
        <f t="shared" si="49"/>
        <v>10611</v>
      </c>
      <c r="I167" s="204">
        <f t="shared" si="49"/>
        <v>0</v>
      </c>
      <c r="J167" s="204">
        <f t="shared" si="49"/>
        <v>0</v>
      </c>
      <c r="K167" s="204">
        <f t="shared" si="49"/>
        <v>0</v>
      </c>
      <c r="L167" s="204">
        <f t="shared" si="49"/>
        <v>607</v>
      </c>
      <c r="M167" s="204">
        <f t="shared" si="49"/>
        <v>1200</v>
      </c>
      <c r="N167" s="204">
        <f t="shared" si="49"/>
        <v>0</v>
      </c>
      <c r="O167" s="204">
        <f t="shared" si="49"/>
        <v>24982.762000000002</v>
      </c>
      <c r="P167" s="204"/>
      <c r="Q167" s="204">
        <f>Q134+Q163</f>
        <v>0</v>
      </c>
      <c r="R167" s="204">
        <f>R134+R163</f>
        <v>326995.53700000001</v>
      </c>
      <c r="S167" s="204">
        <f>S134+S163</f>
        <v>0</v>
      </c>
      <c r="T167" s="204">
        <f>T134+T163</f>
        <v>0</v>
      </c>
      <c r="U167" s="204">
        <f>U134+U163</f>
        <v>326995.53700000001</v>
      </c>
      <c r="V167" s="273"/>
      <c r="W167" s="176">
        <f>W134+W163+W165</f>
        <v>351978.299</v>
      </c>
      <c r="X167" s="282">
        <f>X154+X163+X165</f>
        <v>2650896.9899999998</v>
      </c>
      <c r="AA167" s="29"/>
    </row>
    <row r="168" spans="1:27" ht="24.95" hidden="1" customHeight="1" thickTop="1" x14ac:dyDescent="0.2">
      <c r="A168" s="183"/>
      <c r="B168" s="184"/>
      <c r="C168" s="134" t="s">
        <v>18</v>
      </c>
      <c r="D168" s="25">
        <f t="shared" ref="D168:L168" si="50">D167</f>
        <v>0</v>
      </c>
      <c r="E168" s="25">
        <f t="shared" si="50"/>
        <v>0</v>
      </c>
      <c r="F168" s="25">
        <f t="shared" si="50"/>
        <v>7924.7620000000006</v>
      </c>
      <c r="G168" s="25">
        <f t="shared" si="50"/>
        <v>4640</v>
      </c>
      <c r="H168" s="25">
        <f t="shared" si="50"/>
        <v>10611</v>
      </c>
      <c r="I168" s="25">
        <f t="shared" si="50"/>
        <v>0</v>
      </c>
      <c r="J168" s="25">
        <f t="shared" si="50"/>
        <v>0</v>
      </c>
      <c r="K168" s="25">
        <f t="shared" si="50"/>
        <v>0</v>
      </c>
      <c r="L168" s="25">
        <f t="shared" si="50"/>
        <v>607</v>
      </c>
      <c r="M168" s="25">
        <f t="shared" ref="M168:U168" si="51">M167</f>
        <v>1200</v>
      </c>
      <c r="N168" s="25">
        <f t="shared" si="51"/>
        <v>0</v>
      </c>
      <c r="O168" s="25">
        <f t="shared" si="51"/>
        <v>24982.762000000002</v>
      </c>
      <c r="P168" s="25"/>
      <c r="Q168" s="25">
        <f>Q167</f>
        <v>0</v>
      </c>
      <c r="R168" s="25">
        <f>R167</f>
        <v>326995.53700000001</v>
      </c>
      <c r="S168" s="25">
        <f t="shared" si="51"/>
        <v>0</v>
      </c>
      <c r="T168" s="25">
        <f t="shared" si="51"/>
        <v>0</v>
      </c>
      <c r="U168" s="25">
        <f t="shared" si="51"/>
        <v>326995.53700000001</v>
      </c>
      <c r="V168" s="25"/>
      <c r="W168" s="185">
        <f>O168+U168</f>
        <v>351978.299</v>
      </c>
      <c r="X168" s="283">
        <f>X167</f>
        <v>2650896.9899999998</v>
      </c>
    </row>
    <row r="169" spans="1:27" ht="20.100000000000001" hidden="1" customHeight="1" x14ac:dyDescent="0.2">
      <c r="A169" s="181">
        <v>1</v>
      </c>
      <c r="B169" s="385"/>
      <c r="C169" s="285"/>
      <c r="D169" s="286"/>
      <c r="E169" s="171"/>
      <c r="F169" s="171"/>
      <c r="G169" s="171"/>
      <c r="H169" s="179"/>
      <c r="I169" s="171"/>
      <c r="J169" s="171"/>
      <c r="K169" s="171"/>
      <c r="L169" s="171"/>
      <c r="M169" s="171"/>
      <c r="N169" s="171"/>
      <c r="O169" s="171">
        <f t="shared" ref="O169:O186" si="52">SUM(D169:N169)</f>
        <v>0</v>
      </c>
      <c r="P169" s="171"/>
      <c r="Q169" s="171"/>
      <c r="R169" s="171"/>
      <c r="S169" s="171"/>
      <c r="T169" s="171"/>
      <c r="U169" s="171">
        <f t="shared" ref="U169:U186" si="53">SUM(Q169:T169)</f>
        <v>0</v>
      </c>
      <c r="V169" s="172"/>
      <c r="W169" s="173">
        <f t="shared" ref="W169:W186" si="54">O169+U169</f>
        <v>0</v>
      </c>
      <c r="X169" s="178"/>
    </row>
    <row r="170" spans="1:27" ht="20.100000000000001" hidden="1" customHeight="1" x14ac:dyDescent="0.2">
      <c r="A170" s="383">
        <v>2</v>
      </c>
      <c r="B170" s="384"/>
      <c r="C170" s="39"/>
      <c r="D170" s="171"/>
      <c r="E170" s="171"/>
      <c r="F170" s="171"/>
      <c r="G170" s="171"/>
      <c r="H170" s="179"/>
      <c r="I170" s="171"/>
      <c r="J170" s="171"/>
      <c r="K170" s="171"/>
      <c r="L170" s="171"/>
      <c r="M170" s="171"/>
      <c r="N170" s="171"/>
      <c r="O170" s="171">
        <f t="shared" si="52"/>
        <v>0</v>
      </c>
      <c r="P170" s="171"/>
      <c r="Q170" s="171"/>
      <c r="R170" s="171"/>
      <c r="S170" s="171"/>
      <c r="T170" s="171"/>
      <c r="U170" s="171">
        <f t="shared" si="53"/>
        <v>0</v>
      </c>
      <c r="V170" s="172"/>
      <c r="W170" s="173">
        <f t="shared" si="54"/>
        <v>0</v>
      </c>
      <c r="X170" s="178"/>
    </row>
    <row r="171" spans="1:27" ht="20.100000000000001" hidden="1" customHeight="1" x14ac:dyDescent="0.2">
      <c r="A171" s="181">
        <v>3</v>
      </c>
      <c r="B171" s="386"/>
      <c r="C171" s="33"/>
      <c r="D171" s="171"/>
      <c r="E171" s="171"/>
      <c r="F171" s="171"/>
      <c r="G171" s="171"/>
      <c r="H171" s="179"/>
      <c r="I171" s="171"/>
      <c r="J171" s="171"/>
      <c r="K171" s="171"/>
      <c r="L171" s="171"/>
      <c r="M171" s="171"/>
      <c r="N171" s="171"/>
      <c r="O171" s="171">
        <f t="shared" si="52"/>
        <v>0</v>
      </c>
      <c r="P171" s="171"/>
      <c r="Q171" s="171"/>
      <c r="R171" s="171"/>
      <c r="S171" s="171"/>
      <c r="T171" s="171"/>
      <c r="U171" s="171">
        <f t="shared" si="53"/>
        <v>0</v>
      </c>
      <c r="V171" s="172"/>
      <c r="W171" s="173">
        <f t="shared" si="54"/>
        <v>0</v>
      </c>
      <c r="X171" s="178"/>
    </row>
    <row r="172" spans="1:27" ht="20.100000000000001" hidden="1" customHeight="1" x14ac:dyDescent="0.2">
      <c r="A172" s="383">
        <v>4</v>
      </c>
      <c r="B172" s="50"/>
      <c r="C172" s="33"/>
      <c r="D172" s="171"/>
      <c r="E172" s="171"/>
      <c r="F172" s="171"/>
      <c r="G172" s="171"/>
      <c r="H172" s="179"/>
      <c r="I172" s="171"/>
      <c r="J172" s="171"/>
      <c r="K172" s="171"/>
      <c r="L172" s="171"/>
      <c r="M172" s="171"/>
      <c r="N172" s="171"/>
      <c r="O172" s="171">
        <f t="shared" si="52"/>
        <v>0</v>
      </c>
      <c r="P172" s="171"/>
      <c r="Q172" s="171"/>
      <c r="R172" s="171"/>
      <c r="S172" s="171"/>
      <c r="T172" s="171"/>
      <c r="U172" s="171">
        <f t="shared" si="53"/>
        <v>0</v>
      </c>
      <c r="V172" s="172"/>
      <c r="W172" s="173">
        <f t="shared" si="54"/>
        <v>0</v>
      </c>
      <c r="X172" s="178"/>
    </row>
    <row r="173" spans="1:27" ht="20.100000000000001" hidden="1" customHeight="1" x14ac:dyDescent="0.2">
      <c r="A173" s="181">
        <v>5</v>
      </c>
      <c r="B173" s="50"/>
      <c r="C173" s="33"/>
      <c r="D173" s="171"/>
      <c r="E173" s="171"/>
      <c r="F173" s="171"/>
      <c r="G173" s="171"/>
      <c r="H173" s="179"/>
      <c r="I173" s="171"/>
      <c r="J173" s="171"/>
      <c r="K173" s="171"/>
      <c r="L173" s="171"/>
      <c r="M173" s="171"/>
      <c r="N173" s="171"/>
      <c r="O173" s="171">
        <f t="shared" si="52"/>
        <v>0</v>
      </c>
      <c r="P173" s="171"/>
      <c r="Q173" s="171"/>
      <c r="R173" s="171"/>
      <c r="S173" s="171"/>
      <c r="T173" s="171"/>
      <c r="U173" s="171">
        <f t="shared" si="53"/>
        <v>0</v>
      </c>
      <c r="V173" s="172"/>
      <c r="W173" s="173">
        <f t="shared" si="54"/>
        <v>0</v>
      </c>
      <c r="X173" s="178"/>
    </row>
    <row r="174" spans="1:27" ht="20.100000000000001" hidden="1" customHeight="1" x14ac:dyDescent="0.2">
      <c r="A174" s="383">
        <v>6</v>
      </c>
      <c r="B174" s="287"/>
      <c r="C174" s="419"/>
      <c r="D174" s="420"/>
      <c r="E174" s="171"/>
      <c r="F174" s="171"/>
      <c r="G174" s="171"/>
      <c r="H174" s="179"/>
      <c r="I174" s="171"/>
      <c r="J174" s="171"/>
      <c r="K174" s="171"/>
      <c r="L174" s="171"/>
      <c r="M174" s="171"/>
      <c r="N174" s="171"/>
      <c r="O174" s="171">
        <f t="shared" si="52"/>
        <v>0</v>
      </c>
      <c r="P174" s="171"/>
      <c r="Q174" s="171"/>
      <c r="R174" s="171"/>
      <c r="S174" s="171"/>
      <c r="T174" s="171"/>
      <c r="U174" s="171">
        <f t="shared" si="53"/>
        <v>0</v>
      </c>
      <c r="V174" s="172"/>
      <c r="W174" s="173">
        <f t="shared" si="54"/>
        <v>0</v>
      </c>
      <c r="X174" s="178"/>
    </row>
    <row r="175" spans="1:27" ht="20.100000000000001" hidden="1" customHeight="1" x14ac:dyDescent="0.2">
      <c r="A175" s="181">
        <v>7</v>
      </c>
      <c r="B175" s="287"/>
      <c r="C175" s="419"/>
      <c r="D175" s="420"/>
      <c r="E175" s="171"/>
      <c r="F175" s="171"/>
      <c r="G175" s="171"/>
      <c r="H175" s="179"/>
      <c r="I175" s="171"/>
      <c r="J175" s="171"/>
      <c r="K175" s="171"/>
      <c r="L175" s="171"/>
      <c r="M175" s="171"/>
      <c r="N175" s="171"/>
      <c r="O175" s="171">
        <f t="shared" si="52"/>
        <v>0</v>
      </c>
      <c r="P175" s="171"/>
      <c r="Q175" s="171"/>
      <c r="R175" s="171"/>
      <c r="S175" s="171"/>
      <c r="T175" s="171"/>
      <c r="U175" s="171">
        <f t="shared" si="53"/>
        <v>0</v>
      </c>
      <c r="V175" s="172"/>
      <c r="W175" s="173">
        <f t="shared" si="54"/>
        <v>0</v>
      </c>
      <c r="X175" s="178"/>
    </row>
    <row r="176" spans="1:27" ht="20.100000000000001" hidden="1" customHeight="1" x14ac:dyDescent="0.2">
      <c r="A176" s="383">
        <v>8</v>
      </c>
      <c r="B176" s="287"/>
      <c r="C176" s="419"/>
      <c r="D176" s="420"/>
      <c r="E176" s="171"/>
      <c r="F176" s="171"/>
      <c r="G176" s="171"/>
      <c r="H176" s="179"/>
      <c r="I176" s="171"/>
      <c r="J176" s="171"/>
      <c r="K176" s="171"/>
      <c r="L176" s="171"/>
      <c r="M176" s="171"/>
      <c r="N176" s="171"/>
      <c r="O176" s="171">
        <f t="shared" si="52"/>
        <v>0</v>
      </c>
      <c r="P176" s="171"/>
      <c r="Q176" s="171"/>
      <c r="R176" s="171"/>
      <c r="S176" s="171"/>
      <c r="T176" s="171"/>
      <c r="U176" s="171">
        <f t="shared" si="53"/>
        <v>0</v>
      </c>
      <c r="V176" s="172"/>
      <c r="W176" s="173">
        <f t="shared" si="54"/>
        <v>0</v>
      </c>
      <c r="X176" s="178"/>
    </row>
    <row r="177" spans="1:24" ht="20.100000000000001" hidden="1" customHeight="1" x14ac:dyDescent="0.2">
      <c r="A177" s="181">
        <v>9</v>
      </c>
      <c r="B177" s="287"/>
      <c r="C177" s="419"/>
      <c r="D177" s="420"/>
      <c r="E177" s="171"/>
      <c r="F177" s="171"/>
      <c r="G177" s="171"/>
      <c r="H177" s="179"/>
      <c r="I177" s="171"/>
      <c r="J177" s="171"/>
      <c r="K177" s="171"/>
      <c r="L177" s="171"/>
      <c r="M177" s="171"/>
      <c r="N177" s="171"/>
      <c r="O177" s="171">
        <f t="shared" si="52"/>
        <v>0</v>
      </c>
      <c r="P177" s="171"/>
      <c r="Q177" s="171"/>
      <c r="R177" s="171"/>
      <c r="S177" s="171"/>
      <c r="T177" s="171"/>
      <c r="U177" s="171">
        <f t="shared" si="53"/>
        <v>0</v>
      </c>
      <c r="V177" s="172"/>
      <c r="W177" s="173">
        <f t="shared" si="54"/>
        <v>0</v>
      </c>
      <c r="X177" s="178"/>
    </row>
    <row r="178" spans="1:24" ht="20.100000000000001" hidden="1" customHeight="1" x14ac:dyDescent="0.2">
      <c r="A178" s="383">
        <v>10</v>
      </c>
      <c r="B178" s="287"/>
      <c r="C178" s="419"/>
      <c r="D178" s="420"/>
      <c r="E178" s="171"/>
      <c r="F178" s="171"/>
      <c r="G178" s="171"/>
      <c r="H178" s="179"/>
      <c r="I178" s="171"/>
      <c r="J178" s="171"/>
      <c r="K178" s="171"/>
      <c r="L178" s="171"/>
      <c r="M178" s="171"/>
      <c r="N178" s="171"/>
      <c r="O178" s="171">
        <f t="shared" si="52"/>
        <v>0</v>
      </c>
      <c r="P178" s="171"/>
      <c r="Q178" s="171"/>
      <c r="R178" s="171"/>
      <c r="S178" s="171"/>
      <c r="T178" s="171"/>
      <c r="U178" s="171">
        <f t="shared" si="53"/>
        <v>0</v>
      </c>
      <c r="V178" s="172"/>
      <c r="W178" s="173">
        <f t="shared" si="54"/>
        <v>0</v>
      </c>
      <c r="X178" s="178"/>
    </row>
    <row r="179" spans="1:24" ht="20.100000000000001" hidden="1" customHeight="1" x14ac:dyDescent="0.2">
      <c r="A179" s="181"/>
      <c r="B179" s="287"/>
      <c r="C179" s="33"/>
      <c r="D179" s="171"/>
      <c r="E179" s="171"/>
      <c r="F179" s="171"/>
      <c r="G179" s="171"/>
      <c r="H179" s="179"/>
      <c r="I179" s="171"/>
      <c r="J179" s="171"/>
      <c r="K179" s="171"/>
      <c r="L179" s="171"/>
      <c r="M179" s="171"/>
      <c r="N179" s="171"/>
      <c r="O179" s="171">
        <f t="shared" si="52"/>
        <v>0</v>
      </c>
      <c r="P179" s="171"/>
      <c r="Q179" s="171"/>
      <c r="R179" s="171"/>
      <c r="S179" s="171"/>
      <c r="T179" s="171"/>
      <c r="U179" s="171">
        <f t="shared" si="53"/>
        <v>0</v>
      </c>
      <c r="V179" s="172"/>
      <c r="W179" s="173">
        <f t="shared" si="54"/>
        <v>0</v>
      </c>
      <c r="X179" s="178"/>
    </row>
    <row r="180" spans="1:24" ht="20.100000000000001" hidden="1" customHeight="1" x14ac:dyDescent="0.2">
      <c r="A180" s="181"/>
      <c r="B180" s="287"/>
      <c r="C180" s="33"/>
      <c r="D180" s="171"/>
      <c r="E180" s="171"/>
      <c r="F180" s="171"/>
      <c r="G180" s="171"/>
      <c r="H180" s="179"/>
      <c r="I180" s="171"/>
      <c r="J180" s="171"/>
      <c r="K180" s="171"/>
      <c r="L180" s="171"/>
      <c r="M180" s="171"/>
      <c r="N180" s="171"/>
      <c r="O180" s="171">
        <f t="shared" si="52"/>
        <v>0</v>
      </c>
      <c r="P180" s="171"/>
      <c r="Q180" s="171"/>
      <c r="R180" s="171"/>
      <c r="S180" s="171"/>
      <c r="T180" s="171"/>
      <c r="U180" s="171">
        <f t="shared" si="53"/>
        <v>0</v>
      </c>
      <c r="V180" s="172"/>
      <c r="W180" s="173">
        <f t="shared" si="54"/>
        <v>0</v>
      </c>
      <c r="X180" s="178"/>
    </row>
    <row r="181" spans="1:24" ht="20.100000000000001" hidden="1" customHeight="1" x14ac:dyDescent="0.2">
      <c r="A181" s="181"/>
      <c r="B181" s="287"/>
      <c r="C181" s="33"/>
      <c r="D181" s="171"/>
      <c r="E181" s="171"/>
      <c r="F181" s="171"/>
      <c r="G181" s="171"/>
      <c r="H181" s="179"/>
      <c r="I181" s="171"/>
      <c r="J181" s="171"/>
      <c r="K181" s="171"/>
      <c r="L181" s="171"/>
      <c r="M181" s="171"/>
      <c r="N181" s="171"/>
      <c r="O181" s="171">
        <f t="shared" si="52"/>
        <v>0</v>
      </c>
      <c r="P181" s="171"/>
      <c r="Q181" s="171"/>
      <c r="R181" s="171"/>
      <c r="S181" s="171"/>
      <c r="T181" s="171"/>
      <c r="U181" s="171">
        <f t="shared" si="53"/>
        <v>0</v>
      </c>
      <c r="V181" s="172"/>
      <c r="W181" s="173">
        <f t="shared" si="54"/>
        <v>0</v>
      </c>
      <c r="X181" s="178"/>
    </row>
    <row r="182" spans="1:24" ht="20.100000000000001" hidden="1" customHeight="1" x14ac:dyDescent="0.2">
      <c r="A182" s="40"/>
      <c r="B182" s="50"/>
      <c r="C182" s="33"/>
      <c r="D182" s="171"/>
      <c r="E182" s="171"/>
      <c r="F182" s="171"/>
      <c r="G182" s="171"/>
      <c r="H182" s="179"/>
      <c r="I182" s="171"/>
      <c r="J182" s="171"/>
      <c r="K182" s="171"/>
      <c r="L182" s="171"/>
      <c r="M182" s="171"/>
      <c r="N182" s="171"/>
      <c r="O182" s="171">
        <f t="shared" si="52"/>
        <v>0</v>
      </c>
      <c r="P182" s="171"/>
      <c r="Q182" s="171"/>
      <c r="R182" s="171"/>
      <c r="S182" s="171"/>
      <c r="T182" s="171"/>
      <c r="U182" s="171">
        <f t="shared" si="53"/>
        <v>0</v>
      </c>
      <c r="V182" s="172"/>
      <c r="W182" s="173">
        <f t="shared" si="54"/>
        <v>0</v>
      </c>
      <c r="X182" s="178"/>
    </row>
    <row r="183" spans="1:24" ht="20.100000000000001" hidden="1" customHeight="1" x14ac:dyDescent="0.2">
      <c r="A183" s="40"/>
      <c r="B183" s="50"/>
      <c r="C183" s="33"/>
      <c r="D183" s="171"/>
      <c r="E183" s="171"/>
      <c r="F183" s="171"/>
      <c r="G183" s="171"/>
      <c r="H183" s="179"/>
      <c r="I183" s="171"/>
      <c r="J183" s="171"/>
      <c r="K183" s="171"/>
      <c r="L183" s="171"/>
      <c r="M183" s="171"/>
      <c r="N183" s="171"/>
      <c r="O183" s="171">
        <f t="shared" si="52"/>
        <v>0</v>
      </c>
      <c r="P183" s="171"/>
      <c r="Q183" s="171"/>
      <c r="R183" s="171"/>
      <c r="S183" s="171"/>
      <c r="T183" s="171"/>
      <c r="U183" s="171">
        <f t="shared" si="53"/>
        <v>0</v>
      </c>
      <c r="V183" s="172"/>
      <c r="W183" s="173">
        <f t="shared" si="54"/>
        <v>0</v>
      </c>
      <c r="X183" s="178"/>
    </row>
    <row r="184" spans="1:24" ht="20.100000000000001" hidden="1" customHeight="1" x14ac:dyDescent="0.2">
      <c r="A184" s="40"/>
      <c r="B184" s="50"/>
      <c r="C184" s="33"/>
      <c r="D184" s="171"/>
      <c r="E184" s="171"/>
      <c r="F184" s="171"/>
      <c r="G184" s="171"/>
      <c r="H184" s="179"/>
      <c r="I184" s="171"/>
      <c r="J184" s="171"/>
      <c r="K184" s="171"/>
      <c r="L184" s="171"/>
      <c r="M184" s="171"/>
      <c r="N184" s="171"/>
      <c r="O184" s="171">
        <f t="shared" si="52"/>
        <v>0</v>
      </c>
      <c r="P184" s="171"/>
      <c r="Q184" s="171"/>
      <c r="R184" s="171"/>
      <c r="S184" s="171"/>
      <c r="T184" s="171"/>
      <c r="U184" s="171">
        <f t="shared" si="53"/>
        <v>0</v>
      </c>
      <c r="V184" s="172"/>
      <c r="W184" s="173">
        <f t="shared" si="54"/>
        <v>0</v>
      </c>
      <c r="X184" s="178"/>
    </row>
    <row r="185" spans="1:24" ht="20.100000000000001" hidden="1" customHeight="1" x14ac:dyDescent="0.2">
      <c r="A185" s="40"/>
      <c r="B185" s="50"/>
      <c r="C185" s="33"/>
      <c r="D185" s="171"/>
      <c r="E185" s="171"/>
      <c r="F185" s="171"/>
      <c r="G185" s="171"/>
      <c r="H185" s="179"/>
      <c r="I185" s="171"/>
      <c r="J185" s="171"/>
      <c r="K185" s="171"/>
      <c r="L185" s="171"/>
      <c r="M185" s="171"/>
      <c r="N185" s="171"/>
      <c r="O185" s="171">
        <f t="shared" si="52"/>
        <v>0</v>
      </c>
      <c r="P185" s="171"/>
      <c r="Q185" s="171"/>
      <c r="R185" s="171"/>
      <c r="S185" s="171"/>
      <c r="T185" s="171"/>
      <c r="U185" s="171">
        <f t="shared" si="53"/>
        <v>0</v>
      </c>
      <c r="V185" s="172"/>
      <c r="W185" s="173">
        <f t="shared" si="54"/>
        <v>0</v>
      </c>
      <c r="X185" s="178"/>
    </row>
    <row r="186" spans="1:24" ht="20.100000000000001" hidden="1" customHeight="1" x14ac:dyDescent="0.2">
      <c r="A186" s="40"/>
      <c r="B186" s="50"/>
      <c r="C186" s="33"/>
      <c r="D186" s="171"/>
      <c r="E186" s="171"/>
      <c r="F186" s="171"/>
      <c r="G186" s="171"/>
      <c r="H186" s="179"/>
      <c r="I186" s="171"/>
      <c r="J186" s="171"/>
      <c r="K186" s="171"/>
      <c r="L186" s="171"/>
      <c r="M186" s="171"/>
      <c r="N186" s="171"/>
      <c r="O186" s="171">
        <f t="shared" si="52"/>
        <v>0</v>
      </c>
      <c r="P186" s="171"/>
      <c r="Q186" s="171"/>
      <c r="R186" s="171"/>
      <c r="S186" s="171"/>
      <c r="T186" s="171"/>
      <c r="U186" s="171">
        <f t="shared" si="53"/>
        <v>0</v>
      </c>
      <c r="V186" s="172"/>
      <c r="W186" s="173">
        <f t="shared" si="54"/>
        <v>0</v>
      </c>
      <c r="X186" s="178"/>
    </row>
    <row r="187" spans="1:24" ht="20.100000000000001" hidden="1" customHeight="1" x14ac:dyDescent="0.2">
      <c r="A187" s="40"/>
      <c r="B187" s="50"/>
      <c r="C187" s="33"/>
      <c r="D187" s="171"/>
      <c r="E187" s="171"/>
      <c r="F187" s="171"/>
      <c r="G187" s="171"/>
      <c r="H187" s="179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1"/>
      <c r="U187" s="171"/>
      <c r="V187" s="172"/>
      <c r="W187" s="173"/>
      <c r="X187" s="284"/>
    </row>
    <row r="188" spans="1:24" ht="20.100000000000001" hidden="1" customHeight="1" x14ac:dyDescent="0.2">
      <c r="A188" s="210" t="s">
        <v>81</v>
      </c>
      <c r="B188" s="206"/>
      <c r="C188" s="211" t="s">
        <v>79</v>
      </c>
      <c r="D188" s="171">
        <f t="shared" ref="D188:X188" si="55">SUM(D169:D187)</f>
        <v>0</v>
      </c>
      <c r="E188" s="171">
        <f t="shared" si="55"/>
        <v>0</v>
      </c>
      <c r="F188" s="171">
        <f t="shared" si="55"/>
        <v>0</v>
      </c>
      <c r="G188" s="171">
        <f t="shared" si="55"/>
        <v>0</v>
      </c>
      <c r="H188" s="171">
        <f t="shared" si="55"/>
        <v>0</v>
      </c>
      <c r="I188" s="171">
        <f t="shared" si="55"/>
        <v>0</v>
      </c>
      <c r="J188" s="171">
        <f t="shared" si="55"/>
        <v>0</v>
      </c>
      <c r="K188" s="171">
        <f t="shared" si="55"/>
        <v>0</v>
      </c>
      <c r="L188" s="171">
        <f t="shared" si="55"/>
        <v>0</v>
      </c>
      <c r="M188" s="171">
        <f t="shared" si="55"/>
        <v>0</v>
      </c>
      <c r="N188" s="171">
        <f t="shared" si="55"/>
        <v>0</v>
      </c>
      <c r="O188" s="171">
        <f t="shared" si="55"/>
        <v>0</v>
      </c>
      <c r="P188" s="171"/>
      <c r="Q188" s="171">
        <f t="shared" si="55"/>
        <v>0</v>
      </c>
      <c r="R188" s="171">
        <f t="shared" si="55"/>
        <v>0</v>
      </c>
      <c r="S188" s="171">
        <f t="shared" si="55"/>
        <v>0</v>
      </c>
      <c r="T188" s="171">
        <f t="shared" si="55"/>
        <v>0</v>
      </c>
      <c r="U188" s="171">
        <f t="shared" si="55"/>
        <v>0</v>
      </c>
      <c r="V188" s="171"/>
      <c r="W188" s="260">
        <f t="shared" si="55"/>
        <v>0</v>
      </c>
      <c r="X188" s="178">
        <f t="shared" si="55"/>
        <v>0</v>
      </c>
    </row>
    <row r="189" spans="1:24" ht="20.100000000000001" hidden="1" customHeight="1" x14ac:dyDescent="0.2">
      <c r="A189" s="40"/>
      <c r="B189" s="50"/>
      <c r="C189" s="33"/>
      <c r="D189" s="171"/>
      <c r="E189" s="171"/>
      <c r="F189" s="171"/>
      <c r="G189" s="171"/>
      <c r="H189" s="179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  <c r="T189" s="171"/>
      <c r="U189" s="171"/>
      <c r="V189" s="172"/>
      <c r="W189" s="173"/>
      <c r="X189" s="284"/>
    </row>
    <row r="190" spans="1:24" ht="20.100000000000001" hidden="1" customHeight="1" x14ac:dyDescent="0.2">
      <c r="A190" s="181" t="s">
        <v>108</v>
      </c>
      <c r="B190" s="387"/>
      <c r="C190" s="28"/>
      <c r="D190" s="171"/>
      <c r="E190" s="171"/>
      <c r="F190" s="171"/>
      <c r="G190" s="171"/>
      <c r="H190" s="171"/>
      <c r="I190" s="171"/>
      <c r="J190" s="171"/>
      <c r="K190" s="171"/>
      <c r="M190" s="171"/>
      <c r="N190" s="171"/>
      <c r="O190" s="171">
        <f>SUM(D190:N190)</f>
        <v>0</v>
      </c>
      <c r="P190" s="171"/>
      <c r="Q190" s="171"/>
      <c r="R190" s="171"/>
      <c r="S190" s="171"/>
      <c r="T190" s="171"/>
      <c r="U190" s="171">
        <f>SUM(Q190:T190)</f>
        <v>0</v>
      </c>
      <c r="V190" s="171"/>
      <c r="W190" s="173">
        <f>O190+U190</f>
        <v>0</v>
      </c>
      <c r="X190" s="275"/>
    </row>
    <row r="191" spans="1:24" ht="20.100000000000001" hidden="1" customHeight="1" x14ac:dyDescent="0.2">
      <c r="A191" s="181" t="s">
        <v>108</v>
      </c>
      <c r="B191" s="226"/>
      <c r="C191" s="28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>
        <f>SUM(D191:N191)</f>
        <v>0</v>
      </c>
      <c r="P191" s="171"/>
      <c r="Q191" s="171"/>
      <c r="R191" s="171"/>
      <c r="S191" s="171"/>
      <c r="T191" s="171"/>
      <c r="U191" s="171">
        <f>SUM(Q191:T191)</f>
        <v>0</v>
      </c>
      <c r="V191" s="171"/>
      <c r="W191" s="173">
        <f>O191+U191</f>
        <v>0</v>
      </c>
      <c r="X191" s="178"/>
    </row>
    <row r="192" spans="1:24" ht="20.100000000000001" hidden="1" customHeight="1" x14ac:dyDescent="0.2">
      <c r="A192" s="40"/>
      <c r="B192" s="31"/>
      <c r="C192" s="4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>
        <f>SUM(D192:N192)</f>
        <v>0</v>
      </c>
      <c r="P192" s="171"/>
      <c r="Q192" s="171"/>
      <c r="R192" s="171"/>
      <c r="S192" s="171"/>
      <c r="T192" s="171"/>
      <c r="U192" s="171">
        <f>SUM(Q192:T192)</f>
        <v>0</v>
      </c>
      <c r="V192" s="171"/>
      <c r="W192" s="173">
        <f>O192+U192</f>
        <v>0</v>
      </c>
      <c r="X192" s="275"/>
    </row>
    <row r="193" spans="1:25" ht="20.100000000000001" hidden="1" customHeight="1" x14ac:dyDescent="0.2">
      <c r="A193" s="40"/>
      <c r="B193" s="126"/>
      <c r="C193" s="4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>
        <f>SUM(D193:N193)</f>
        <v>0</v>
      </c>
      <c r="P193" s="171"/>
      <c r="Q193" s="171"/>
      <c r="R193" s="171"/>
      <c r="S193" s="171"/>
      <c r="T193" s="171"/>
      <c r="U193" s="171">
        <f>SUM(Q193:T193)</f>
        <v>0</v>
      </c>
      <c r="V193" s="171"/>
      <c r="W193" s="173">
        <f>O193+U193</f>
        <v>0</v>
      </c>
      <c r="X193" s="275"/>
    </row>
    <row r="194" spans="1:25" ht="20.100000000000001" hidden="1" customHeight="1" x14ac:dyDescent="0.2">
      <c r="A194" s="40"/>
      <c r="B194" s="126"/>
      <c r="C194" s="4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  <c r="T194" s="171"/>
      <c r="U194" s="171"/>
      <c r="V194" s="171"/>
      <c r="W194" s="173"/>
      <c r="X194" s="276"/>
    </row>
    <row r="195" spans="1:25" ht="20.100000000000001" hidden="1" customHeight="1" x14ac:dyDescent="0.2">
      <c r="A195" s="210" t="s">
        <v>82</v>
      </c>
      <c r="B195" s="206"/>
      <c r="C195" s="211" t="s">
        <v>80</v>
      </c>
      <c r="D195" s="171">
        <f t="shared" ref="D195:U195" si="56">SUM(D190:D194)</f>
        <v>0</v>
      </c>
      <c r="E195" s="171">
        <f t="shared" si="56"/>
        <v>0</v>
      </c>
      <c r="F195" s="171">
        <f t="shared" si="56"/>
        <v>0</v>
      </c>
      <c r="G195" s="171">
        <f t="shared" si="56"/>
        <v>0</v>
      </c>
      <c r="H195" s="171">
        <f t="shared" si="56"/>
        <v>0</v>
      </c>
      <c r="I195" s="171">
        <f t="shared" si="56"/>
        <v>0</v>
      </c>
      <c r="J195" s="171">
        <f t="shared" si="56"/>
        <v>0</v>
      </c>
      <c r="K195" s="171">
        <f t="shared" si="56"/>
        <v>0</v>
      </c>
      <c r="L195" s="171">
        <f t="shared" si="56"/>
        <v>0</v>
      </c>
      <c r="M195" s="171">
        <f t="shared" si="56"/>
        <v>0</v>
      </c>
      <c r="N195" s="171">
        <f>SUM(N190:N194)</f>
        <v>0</v>
      </c>
      <c r="O195" s="171">
        <f t="shared" si="56"/>
        <v>0</v>
      </c>
      <c r="P195" s="171"/>
      <c r="Q195" s="171">
        <f>SUM(Q190:Q194)</f>
        <v>0</v>
      </c>
      <c r="R195" s="171">
        <f>SUM(R190:R194)</f>
        <v>0</v>
      </c>
      <c r="S195" s="171">
        <f t="shared" si="56"/>
        <v>0</v>
      </c>
      <c r="T195" s="171">
        <f t="shared" si="56"/>
        <v>0</v>
      </c>
      <c r="U195" s="171">
        <f t="shared" si="56"/>
        <v>0</v>
      </c>
      <c r="V195" s="171"/>
      <c r="W195" s="260">
        <f>SUM(W190:W194)</f>
        <v>0</v>
      </c>
      <c r="X195" s="260">
        <f>SUM(X190:X194)</f>
        <v>0</v>
      </c>
    </row>
    <row r="196" spans="1:25" ht="20.100000000000001" hidden="1" customHeight="1" x14ac:dyDescent="0.2">
      <c r="A196" s="40"/>
      <c r="B196" s="126"/>
      <c r="C196" s="4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3"/>
      <c r="X196" s="275"/>
    </row>
    <row r="197" spans="1:25" ht="20.100000000000001" hidden="1" customHeight="1" thickBot="1" x14ac:dyDescent="0.25">
      <c r="A197" s="40"/>
      <c r="B197" s="32"/>
      <c r="C197" s="34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  <c r="W197" s="173"/>
      <c r="X197" s="275"/>
    </row>
    <row r="198" spans="1:25" ht="24.75" hidden="1" customHeight="1" thickTop="1" thickBot="1" x14ac:dyDescent="0.25">
      <c r="A198" s="46"/>
      <c r="B198" s="259">
        <v>41639</v>
      </c>
      <c r="C198" s="44" t="s">
        <v>83</v>
      </c>
      <c r="D198" s="175">
        <f t="shared" ref="D198:U198" si="57">D188+D195</f>
        <v>0</v>
      </c>
      <c r="E198" s="175">
        <f t="shared" si="57"/>
        <v>0</v>
      </c>
      <c r="F198" s="175">
        <f t="shared" si="57"/>
        <v>0</v>
      </c>
      <c r="G198" s="175">
        <f t="shared" si="57"/>
        <v>0</v>
      </c>
      <c r="H198" s="175">
        <f t="shared" si="57"/>
        <v>0</v>
      </c>
      <c r="I198" s="175">
        <f t="shared" si="57"/>
        <v>0</v>
      </c>
      <c r="J198" s="175">
        <f t="shared" si="57"/>
        <v>0</v>
      </c>
      <c r="K198" s="175">
        <f t="shared" si="57"/>
        <v>0</v>
      </c>
      <c r="L198" s="175">
        <f t="shared" si="57"/>
        <v>0</v>
      </c>
      <c r="M198" s="175">
        <f t="shared" si="57"/>
        <v>0</v>
      </c>
      <c r="N198" s="175">
        <f t="shared" si="57"/>
        <v>0</v>
      </c>
      <c r="O198" s="175">
        <f t="shared" si="57"/>
        <v>0</v>
      </c>
      <c r="P198" s="175"/>
      <c r="Q198" s="175">
        <f>Q188+Q195</f>
        <v>0</v>
      </c>
      <c r="R198" s="175">
        <f>R188+R195</f>
        <v>0</v>
      </c>
      <c r="S198" s="175">
        <f t="shared" si="57"/>
        <v>0</v>
      </c>
      <c r="T198" s="175">
        <f t="shared" si="57"/>
        <v>0</v>
      </c>
      <c r="U198" s="175">
        <f t="shared" si="57"/>
        <v>0</v>
      </c>
      <c r="V198" s="175"/>
      <c r="W198" s="176">
        <f>W188+W195</f>
        <v>0</v>
      </c>
      <c r="X198" s="277">
        <f>X188+X195</f>
        <v>0</v>
      </c>
    </row>
    <row r="199" spans="1:25" ht="24.75" hidden="1" customHeight="1" thickTop="1" thickBot="1" x14ac:dyDescent="0.25">
      <c r="A199" s="42"/>
      <c r="B199" s="43" t="s">
        <v>109</v>
      </c>
      <c r="C199" s="44" t="s">
        <v>141</v>
      </c>
      <c r="D199" s="204">
        <f t="shared" ref="D199:U199" si="58">D168+D198</f>
        <v>0</v>
      </c>
      <c r="E199" s="204">
        <f t="shared" si="58"/>
        <v>0</v>
      </c>
      <c r="F199" s="204">
        <f t="shared" si="58"/>
        <v>7924.7620000000006</v>
      </c>
      <c r="G199" s="204">
        <f t="shared" si="58"/>
        <v>4640</v>
      </c>
      <c r="H199" s="204">
        <f t="shared" si="58"/>
        <v>10611</v>
      </c>
      <c r="I199" s="204">
        <f t="shared" si="58"/>
        <v>0</v>
      </c>
      <c r="J199" s="204">
        <f t="shared" si="58"/>
        <v>0</v>
      </c>
      <c r="K199" s="204">
        <f t="shared" si="58"/>
        <v>0</v>
      </c>
      <c r="L199" s="204">
        <f t="shared" si="58"/>
        <v>607</v>
      </c>
      <c r="M199" s="204">
        <f t="shared" si="58"/>
        <v>1200</v>
      </c>
      <c r="N199" s="204">
        <f t="shared" si="58"/>
        <v>0</v>
      </c>
      <c r="O199" s="204">
        <f t="shared" si="58"/>
        <v>24982.762000000002</v>
      </c>
      <c r="P199" s="204"/>
      <c r="Q199" s="204">
        <f t="shared" si="58"/>
        <v>0</v>
      </c>
      <c r="R199" s="204">
        <f t="shared" si="58"/>
        <v>326995.53700000001</v>
      </c>
      <c r="S199" s="204">
        <f t="shared" si="58"/>
        <v>0</v>
      </c>
      <c r="T199" s="204">
        <f t="shared" si="58"/>
        <v>0</v>
      </c>
      <c r="U199" s="204">
        <f t="shared" si="58"/>
        <v>326995.53700000001</v>
      </c>
      <c r="V199" s="204"/>
      <c r="W199" s="176">
        <f>O199+U199</f>
        <v>351978.299</v>
      </c>
      <c r="X199" s="277">
        <f>X167+X198</f>
        <v>2650896.9899999998</v>
      </c>
    </row>
    <row r="200" spans="1:25" ht="24.95" customHeight="1" thickTop="1" x14ac:dyDescent="0.25"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</row>
    <row r="201" spans="1:25" ht="24.95" customHeight="1" thickBot="1" x14ac:dyDescent="0.3"/>
    <row r="202" spans="1:25" ht="24.95" customHeight="1" thickTop="1" thickBot="1" x14ac:dyDescent="0.3">
      <c r="C202" s="290" t="s">
        <v>92</v>
      </c>
      <c r="D202" s="289">
        <v>0</v>
      </c>
      <c r="E202" s="289">
        <v>0</v>
      </c>
      <c r="F202" s="289">
        <v>7925</v>
      </c>
      <c r="G202" s="289">
        <v>4640</v>
      </c>
      <c r="H202" s="289">
        <v>10611</v>
      </c>
      <c r="I202" s="289">
        <v>0</v>
      </c>
      <c r="J202" s="289">
        <v>0</v>
      </c>
      <c r="K202" s="289">
        <v>0</v>
      </c>
      <c r="L202" s="289">
        <v>607</v>
      </c>
      <c r="M202" s="289">
        <v>1200</v>
      </c>
      <c r="N202" s="289">
        <v>0</v>
      </c>
      <c r="O202" s="289">
        <v>24983</v>
      </c>
      <c r="P202" s="289"/>
      <c r="Q202" s="289">
        <v>0</v>
      </c>
      <c r="R202" s="289">
        <v>326995.53700000001</v>
      </c>
      <c r="S202" s="289">
        <v>0</v>
      </c>
      <c r="T202" s="289">
        <v>0</v>
      </c>
      <c r="U202" s="289">
        <v>326995.53700000001</v>
      </c>
      <c r="V202" s="289"/>
      <c r="W202" s="289">
        <v>351978</v>
      </c>
      <c r="X202" s="289">
        <v>2650897</v>
      </c>
      <c r="Y202" s="29">
        <f>SUM(W202:X202)</f>
        <v>3002875</v>
      </c>
    </row>
    <row r="203" spans="1:25" ht="24.95" customHeight="1" thickTop="1" x14ac:dyDescent="0.25"/>
    <row r="204" spans="1:25" ht="24.95" customHeight="1" x14ac:dyDescent="0.25">
      <c r="C204" s="2" t="s">
        <v>90</v>
      </c>
      <c r="D204" s="170">
        <f>D154-D202</f>
        <v>0</v>
      </c>
      <c r="E204" s="170">
        <f>E154-E202</f>
        <v>0</v>
      </c>
      <c r="F204" s="170">
        <f>F154-F202</f>
        <v>-0.23799999999937427</v>
      </c>
      <c r="G204" s="170">
        <f t="shared" ref="G204:X204" si="59">G154-G202</f>
        <v>0</v>
      </c>
      <c r="H204" s="170">
        <f t="shared" si="59"/>
        <v>0</v>
      </c>
      <c r="I204" s="170">
        <f t="shared" si="59"/>
        <v>0</v>
      </c>
      <c r="J204" s="170">
        <f t="shared" si="59"/>
        <v>0</v>
      </c>
      <c r="K204" s="170">
        <f t="shared" si="59"/>
        <v>0</v>
      </c>
      <c r="L204" s="170">
        <f t="shared" si="59"/>
        <v>0</v>
      </c>
      <c r="M204" s="170">
        <f t="shared" si="59"/>
        <v>0</v>
      </c>
      <c r="N204" s="170">
        <f t="shared" si="59"/>
        <v>0</v>
      </c>
      <c r="O204" s="170">
        <f t="shared" si="59"/>
        <v>-0.23799999999755528</v>
      </c>
      <c r="P204" s="170"/>
      <c r="Q204" s="170">
        <f t="shared" si="59"/>
        <v>0</v>
      </c>
      <c r="R204" s="170">
        <f t="shared" si="59"/>
        <v>0</v>
      </c>
      <c r="S204" s="170">
        <f t="shared" si="59"/>
        <v>0</v>
      </c>
      <c r="T204" s="170">
        <f t="shared" si="59"/>
        <v>0</v>
      </c>
      <c r="U204" s="170">
        <f t="shared" si="59"/>
        <v>0</v>
      </c>
      <c r="V204" s="170"/>
      <c r="W204" s="170">
        <f t="shared" si="59"/>
        <v>0.29899999999906868</v>
      </c>
      <c r="X204" s="170">
        <f t="shared" si="59"/>
        <v>-1.0000000242143869E-2</v>
      </c>
    </row>
    <row r="205" spans="1:25" ht="24.95" customHeight="1" x14ac:dyDescent="0.25"/>
    <row r="206" spans="1:25" ht="24.95" customHeight="1" x14ac:dyDescent="0.25"/>
    <row r="207" spans="1:25" ht="24.95" customHeight="1" x14ac:dyDescent="0.25"/>
    <row r="208" spans="1:25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497" spans="9:9" x14ac:dyDescent="0.25">
      <c r="I497" s="52">
        <f>-10437-1367-86-236+13-6357-200+31+71-310-1500-799-55-443-3970</f>
        <v>-25645</v>
      </c>
    </row>
  </sheetData>
  <mergeCells count="5">
    <mergeCell ref="A2:X2"/>
    <mergeCell ref="A4:X4"/>
    <mergeCell ref="D7:F7"/>
    <mergeCell ref="J7:K7"/>
    <mergeCell ref="Q7:T7"/>
  </mergeCells>
  <phoneticPr fontId="3" type="noConversion"/>
  <printOptions horizontalCentered="1" verticalCentered="1"/>
  <pageMargins left="0" right="0" top="0.31496062992125984" bottom="0.35433070866141736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46"/>
  <sheetViews>
    <sheetView zoomScale="75" zoomScaleNormal="75" workbookViewId="0">
      <selection activeCell="B1" sqref="B1:B1048576"/>
    </sheetView>
  </sheetViews>
  <sheetFormatPr defaultRowHeight="16.5" x14ac:dyDescent="0.25"/>
  <cols>
    <col min="1" max="1" width="4.7109375" style="93" customWidth="1"/>
    <col min="2" max="2" width="13.5703125" style="1" hidden="1" customWidth="1"/>
    <col min="3" max="3" width="58.7109375" style="2" customWidth="1"/>
    <col min="4" max="4" width="13.28515625" style="2" customWidth="1"/>
    <col min="5" max="5" width="13.85546875" style="2" customWidth="1"/>
    <col min="6" max="6" width="12.7109375" style="2" customWidth="1"/>
    <col min="7" max="7" width="13.85546875" style="2" customWidth="1"/>
    <col min="8" max="8" width="12.28515625" style="2" customWidth="1"/>
    <col min="9" max="9" width="12.7109375" style="2" customWidth="1"/>
    <col min="10" max="11" width="12.28515625" style="2" customWidth="1"/>
    <col min="12" max="18" width="12.7109375" style="2" customWidth="1"/>
    <col min="19" max="19" width="1.7109375" style="2" customWidth="1"/>
    <col min="20" max="24" width="12.7109375" style="2" customWidth="1"/>
    <col min="25" max="25" width="18.28515625" style="53" customWidth="1"/>
    <col min="26" max="26" width="16.28515625" style="53" customWidth="1"/>
    <col min="27" max="29" width="10.42578125" style="53" customWidth="1"/>
    <col min="30" max="30" width="12.28515625" style="53" customWidth="1"/>
    <col min="31" max="31" width="14" style="53" customWidth="1"/>
    <col min="32" max="32" width="12.28515625" style="53" customWidth="1"/>
    <col min="33" max="34" width="10.42578125" style="53" customWidth="1"/>
    <col min="35" max="35" width="12.28515625" style="53" customWidth="1"/>
    <col min="36" max="36" width="9.140625" style="53"/>
    <col min="37" max="38" width="10.42578125" style="53" customWidth="1"/>
    <col min="39" max="39" width="12.28515625" style="53" customWidth="1"/>
    <col min="40" max="40" width="12.7109375" style="53" customWidth="1"/>
    <col min="41" max="16384" width="9.140625" style="2"/>
  </cols>
  <sheetData>
    <row r="1" spans="1:40" x14ac:dyDescent="0.25">
      <c r="Y1" s="186" t="s">
        <v>88</v>
      </c>
    </row>
    <row r="2" spans="1:40" ht="18.75" x14ac:dyDescent="0.2">
      <c r="A2" s="654" t="s">
        <v>0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4"/>
      <c r="R2" s="654"/>
      <c r="S2" s="654"/>
      <c r="T2" s="654"/>
      <c r="U2" s="654"/>
      <c r="V2" s="654"/>
      <c r="W2" s="654"/>
      <c r="X2" s="654"/>
      <c r="Y2" s="654"/>
    </row>
    <row r="3" spans="1:40" ht="18.75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</row>
    <row r="4" spans="1:40" ht="42" customHeight="1" x14ac:dyDescent="0.2">
      <c r="A4" s="655" t="s">
        <v>581</v>
      </c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  <c r="X4" s="654"/>
      <c r="Y4" s="654"/>
    </row>
    <row r="5" spans="1:40" ht="24.95" customHeight="1" x14ac:dyDescent="0.2">
      <c r="A5" s="429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</row>
    <row r="6" spans="1:40" ht="17.25" customHeight="1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6" t="s">
        <v>1</v>
      </c>
    </row>
    <row r="7" spans="1:40" ht="17.25" thickBot="1" x14ac:dyDescent="0.3">
      <c r="A7" s="55"/>
      <c r="B7" s="8"/>
      <c r="C7" s="455"/>
      <c r="D7" s="664" t="s">
        <v>28</v>
      </c>
      <c r="E7" s="665"/>
      <c r="F7" s="665"/>
      <c r="G7" s="665"/>
      <c r="H7" s="665"/>
      <c r="I7" s="665"/>
      <c r="J7" s="665"/>
      <c r="K7" s="665"/>
      <c r="L7" s="665"/>
      <c r="M7" s="665"/>
      <c r="N7" s="665"/>
      <c r="O7" s="665"/>
      <c r="P7" s="665"/>
      <c r="Q7" s="665"/>
      <c r="R7" s="665"/>
      <c r="S7" s="665"/>
      <c r="T7" s="665"/>
      <c r="U7" s="665"/>
      <c r="V7" s="665"/>
      <c r="W7" s="665"/>
      <c r="X7" s="656"/>
      <c r="Y7" s="422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1:40" ht="17.25" customHeight="1" thickTop="1" x14ac:dyDescent="0.25">
      <c r="A8" s="57"/>
      <c r="B8" s="12"/>
      <c r="C8" s="13"/>
      <c r="D8" s="657" t="s">
        <v>157</v>
      </c>
      <c r="E8" s="658"/>
      <c r="F8" s="658"/>
      <c r="G8" s="658"/>
      <c r="H8" s="658"/>
      <c r="I8" s="658"/>
      <c r="J8" s="658"/>
      <c r="K8" s="659"/>
      <c r="L8" s="660" t="s">
        <v>158</v>
      </c>
      <c r="M8" s="661"/>
      <c r="N8" s="661"/>
      <c r="O8" s="661"/>
      <c r="P8" s="661"/>
      <c r="Q8" s="659"/>
      <c r="R8" s="443" t="s">
        <v>126</v>
      </c>
      <c r="S8" s="465"/>
      <c r="T8" s="660" t="s">
        <v>159</v>
      </c>
      <c r="U8" s="661"/>
      <c r="V8" s="661"/>
      <c r="W8" s="662"/>
      <c r="X8" s="447" t="s">
        <v>137</v>
      </c>
      <c r="Y8" s="101" t="s">
        <v>2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56"/>
    </row>
    <row r="9" spans="1:40" x14ac:dyDescent="0.25">
      <c r="A9" s="18" t="s">
        <v>8</v>
      </c>
      <c r="B9" s="12"/>
      <c r="C9" s="13" t="s">
        <v>3</v>
      </c>
      <c r="D9" s="58"/>
      <c r="E9" s="202" t="s">
        <v>33</v>
      </c>
      <c r="F9" s="59"/>
      <c r="G9" s="59" t="s">
        <v>29</v>
      </c>
      <c r="H9" s="59" t="s">
        <v>112</v>
      </c>
      <c r="I9" s="59" t="s">
        <v>113</v>
      </c>
      <c r="J9" s="59" t="s">
        <v>113</v>
      </c>
      <c r="K9" s="202"/>
      <c r="L9" s="59"/>
      <c r="M9" s="59"/>
      <c r="N9" s="59" t="s">
        <v>4</v>
      </c>
      <c r="O9" s="59" t="s">
        <v>142</v>
      </c>
      <c r="P9" s="60" t="s">
        <v>143</v>
      </c>
      <c r="Q9" s="202" t="s">
        <v>4</v>
      </c>
      <c r="R9" s="444" t="s">
        <v>127</v>
      </c>
      <c r="S9" s="444"/>
      <c r="T9" s="17" t="s">
        <v>144</v>
      </c>
      <c r="U9" s="17" t="s">
        <v>145</v>
      </c>
      <c r="V9" s="17" t="s">
        <v>216</v>
      </c>
      <c r="W9" s="17" t="s">
        <v>4</v>
      </c>
      <c r="X9" s="448" t="s">
        <v>138</v>
      </c>
      <c r="Y9" s="102" t="s">
        <v>31</v>
      </c>
      <c r="Z9" s="4"/>
      <c r="AA9" s="4"/>
      <c r="AB9" s="4"/>
      <c r="AC9" s="4"/>
      <c r="AD9" s="4"/>
      <c r="AE9" s="4"/>
      <c r="AF9" s="4"/>
      <c r="AG9" s="4"/>
      <c r="AH9" s="653"/>
      <c r="AI9" s="653"/>
      <c r="AJ9" s="4"/>
      <c r="AK9" s="4"/>
      <c r="AL9" s="4"/>
      <c r="AM9" s="4"/>
      <c r="AN9" s="56"/>
    </row>
    <row r="10" spans="1:40" ht="16.5" customHeight="1" x14ac:dyDescent="0.25">
      <c r="A10" s="11"/>
      <c r="B10" s="12"/>
      <c r="C10" s="13" t="s">
        <v>9</v>
      </c>
      <c r="D10" s="59" t="s">
        <v>32</v>
      </c>
      <c r="E10" s="59" t="s">
        <v>70</v>
      </c>
      <c r="F10" s="59" t="s">
        <v>34</v>
      </c>
      <c r="G10" s="59" t="s">
        <v>35</v>
      </c>
      <c r="H10" s="59" t="s">
        <v>114</v>
      </c>
      <c r="I10" s="59" t="s">
        <v>72</v>
      </c>
      <c r="J10" s="59" t="s">
        <v>72</v>
      </c>
      <c r="K10" s="59" t="s">
        <v>38</v>
      </c>
      <c r="L10" s="59" t="s">
        <v>146</v>
      </c>
      <c r="M10" s="59" t="s">
        <v>147</v>
      </c>
      <c r="N10" s="59" t="s">
        <v>148</v>
      </c>
      <c r="O10" s="59" t="s">
        <v>149</v>
      </c>
      <c r="P10" s="59" t="s">
        <v>46</v>
      </c>
      <c r="Q10" s="59" t="s">
        <v>148</v>
      </c>
      <c r="R10" s="445" t="s">
        <v>36</v>
      </c>
      <c r="S10" s="445"/>
      <c r="T10" s="13" t="s">
        <v>150</v>
      </c>
      <c r="U10" s="13" t="s">
        <v>131</v>
      </c>
      <c r="V10" s="13" t="s">
        <v>217</v>
      </c>
      <c r="W10" s="17" t="s">
        <v>173</v>
      </c>
      <c r="X10" s="392" t="s">
        <v>36</v>
      </c>
      <c r="Y10" s="102" t="s">
        <v>12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56"/>
    </row>
    <row r="11" spans="1:40" x14ac:dyDescent="0.25">
      <c r="A11" s="57"/>
      <c r="B11" s="12"/>
      <c r="C11" s="13" t="s">
        <v>13</v>
      </c>
      <c r="D11" s="59" t="s">
        <v>40</v>
      </c>
      <c r="E11" s="59" t="s">
        <v>45</v>
      </c>
      <c r="F11" s="59" t="s">
        <v>36</v>
      </c>
      <c r="G11" s="59" t="s">
        <v>41</v>
      </c>
      <c r="H11" s="59" t="s">
        <v>116</v>
      </c>
      <c r="I11" s="59" t="s">
        <v>117</v>
      </c>
      <c r="J11" s="59" t="s">
        <v>117</v>
      </c>
      <c r="K11" s="59"/>
      <c r="L11" s="59"/>
      <c r="M11" s="59"/>
      <c r="N11" s="59" t="s">
        <v>72</v>
      </c>
      <c r="O11" s="59" t="s">
        <v>42</v>
      </c>
      <c r="P11" s="59"/>
      <c r="Q11" s="59" t="s">
        <v>72</v>
      </c>
      <c r="R11" s="445" t="s">
        <v>12</v>
      </c>
      <c r="S11" s="445"/>
      <c r="T11" s="13" t="s">
        <v>151</v>
      </c>
      <c r="U11" s="13" t="s">
        <v>133</v>
      </c>
      <c r="V11" s="13" t="s">
        <v>220</v>
      </c>
      <c r="W11" s="17" t="s">
        <v>174</v>
      </c>
      <c r="X11" s="392" t="s">
        <v>12</v>
      </c>
      <c r="Y11" s="103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56"/>
    </row>
    <row r="12" spans="1:40" x14ac:dyDescent="0.25">
      <c r="A12" s="57"/>
      <c r="B12" s="12"/>
      <c r="C12" s="13"/>
      <c r="D12" s="61"/>
      <c r="E12" s="59" t="s">
        <v>71</v>
      </c>
      <c r="F12" s="59"/>
      <c r="G12" s="130"/>
      <c r="H12" s="62"/>
      <c r="I12" s="130" t="s">
        <v>152</v>
      </c>
      <c r="J12" s="130" t="s">
        <v>153</v>
      </c>
      <c r="K12" s="59"/>
      <c r="L12" s="62"/>
      <c r="M12" s="59"/>
      <c r="N12" s="59" t="s">
        <v>154</v>
      </c>
      <c r="O12" s="59" t="s">
        <v>155</v>
      </c>
      <c r="P12" s="59"/>
      <c r="Q12" s="59" t="s">
        <v>155</v>
      </c>
      <c r="R12" s="446" t="s">
        <v>161</v>
      </c>
      <c r="S12" s="446"/>
      <c r="T12" s="13" t="s">
        <v>156</v>
      </c>
      <c r="U12" s="13" t="s">
        <v>43</v>
      </c>
      <c r="V12" s="13" t="s">
        <v>221</v>
      </c>
      <c r="W12" s="13" t="s">
        <v>36</v>
      </c>
      <c r="X12" s="339" t="s">
        <v>162</v>
      </c>
      <c r="Y12" s="103" t="s">
        <v>163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56"/>
    </row>
    <row r="13" spans="1:40" hidden="1" x14ac:dyDescent="0.25">
      <c r="A13" s="121"/>
      <c r="B13" s="114"/>
      <c r="C13" s="115"/>
      <c r="D13" s="116" t="s">
        <v>179</v>
      </c>
      <c r="E13" s="16" t="s">
        <v>180</v>
      </c>
      <c r="F13" s="16" t="s">
        <v>181</v>
      </c>
      <c r="G13" s="17" t="s">
        <v>182</v>
      </c>
      <c r="H13" s="122" t="s">
        <v>183</v>
      </c>
      <c r="I13" s="13" t="s">
        <v>184</v>
      </c>
      <c r="J13" s="17" t="s">
        <v>185</v>
      </c>
      <c r="K13" s="115" t="s">
        <v>186</v>
      </c>
      <c r="L13" s="122" t="s">
        <v>187</v>
      </c>
      <c r="M13" s="122" t="s">
        <v>188</v>
      </c>
      <c r="N13" s="122" t="s">
        <v>189</v>
      </c>
      <c r="O13" s="123" t="s">
        <v>190</v>
      </c>
      <c r="P13" s="115" t="s">
        <v>191</v>
      </c>
      <c r="Q13" s="115" t="s">
        <v>192</v>
      </c>
      <c r="R13" s="115"/>
      <c r="S13" s="115"/>
      <c r="T13" s="115" t="s">
        <v>193</v>
      </c>
      <c r="U13" s="115" t="s">
        <v>194</v>
      </c>
      <c r="V13" s="115" t="s">
        <v>195</v>
      </c>
      <c r="W13" s="124" t="s">
        <v>196</v>
      </c>
      <c r="X13" s="436"/>
      <c r="Y13" s="125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56"/>
    </row>
    <row r="14" spans="1:40" ht="18" customHeight="1" x14ac:dyDescent="0.25">
      <c r="A14" s="192">
        <v>1</v>
      </c>
      <c r="B14" s="218"/>
      <c r="C14" s="215">
        <v>2</v>
      </c>
      <c r="D14" s="215">
        <v>3</v>
      </c>
      <c r="E14" s="215">
        <v>4</v>
      </c>
      <c r="F14" s="215">
        <v>5</v>
      </c>
      <c r="G14" s="215">
        <v>6</v>
      </c>
      <c r="H14" s="215">
        <v>7</v>
      </c>
      <c r="I14" s="215">
        <v>8</v>
      </c>
      <c r="J14" s="215">
        <v>9</v>
      </c>
      <c r="K14" s="215">
        <v>10</v>
      </c>
      <c r="L14" s="215">
        <v>11</v>
      </c>
      <c r="M14" s="215">
        <v>12</v>
      </c>
      <c r="N14" s="215">
        <v>13</v>
      </c>
      <c r="O14" s="215">
        <v>14</v>
      </c>
      <c r="P14" s="215">
        <v>15</v>
      </c>
      <c r="Q14" s="215">
        <v>16</v>
      </c>
      <c r="R14" s="215">
        <v>17</v>
      </c>
      <c r="S14" s="215"/>
      <c r="T14" s="215">
        <v>18</v>
      </c>
      <c r="U14" s="215">
        <v>19</v>
      </c>
      <c r="V14" s="451">
        <v>20</v>
      </c>
      <c r="W14" s="215">
        <v>21</v>
      </c>
      <c r="X14" s="215">
        <v>22</v>
      </c>
      <c r="Y14" s="216">
        <v>23</v>
      </c>
      <c r="Z14" s="4"/>
      <c r="AA14" s="4"/>
      <c r="AB14" s="4"/>
      <c r="AC14" s="4"/>
      <c r="AD14" s="4"/>
      <c r="AE14" s="4"/>
      <c r="AF14" s="4"/>
      <c r="AG14" s="4"/>
      <c r="AH14" s="653"/>
      <c r="AI14" s="653"/>
      <c r="AJ14" s="4"/>
      <c r="AK14" s="4"/>
      <c r="AL14" s="4"/>
      <c r="AM14" s="4"/>
      <c r="AN14" s="4"/>
    </row>
    <row r="15" spans="1:40" s="67" customFormat="1" ht="19.5" hidden="1" customHeight="1" x14ac:dyDescent="0.3">
      <c r="A15" s="63"/>
      <c r="B15" s="152"/>
      <c r="C15" s="64" t="s">
        <v>63</v>
      </c>
      <c r="D15" s="153">
        <v>1667868</v>
      </c>
      <c r="E15" s="153">
        <v>414786</v>
      </c>
      <c r="F15" s="153">
        <v>487863</v>
      </c>
      <c r="G15" s="153">
        <v>685</v>
      </c>
      <c r="H15" s="153">
        <v>0</v>
      </c>
      <c r="I15" s="153">
        <v>0</v>
      </c>
      <c r="J15" s="153">
        <v>0</v>
      </c>
      <c r="K15" s="153">
        <v>0</v>
      </c>
      <c r="L15" s="153">
        <v>155439</v>
      </c>
      <c r="M15" s="153">
        <v>7400</v>
      </c>
      <c r="N15" s="153">
        <v>0</v>
      </c>
      <c r="O15" s="153">
        <v>5000</v>
      </c>
      <c r="P15" s="153">
        <v>0</v>
      </c>
      <c r="Q15" s="153">
        <v>0</v>
      </c>
      <c r="R15" s="153">
        <f>SUM(D15:Q15)</f>
        <v>2739041</v>
      </c>
      <c r="S15" s="153"/>
      <c r="T15" s="153">
        <v>0</v>
      </c>
      <c r="U15" s="153">
        <v>0</v>
      </c>
      <c r="V15" s="154">
        <v>0</v>
      </c>
      <c r="W15" s="153">
        <v>0</v>
      </c>
      <c r="X15" s="154">
        <f>SUM(T15:W15)</f>
        <v>0</v>
      </c>
      <c r="Y15" s="155">
        <f>R15+X15</f>
        <v>2739041</v>
      </c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6"/>
    </row>
    <row r="16" spans="1:40" ht="20.100000000000001" hidden="1" customHeight="1" x14ac:dyDescent="0.25">
      <c r="A16" s="68"/>
      <c r="B16" s="138" t="s">
        <v>75</v>
      </c>
      <c r="C16" s="41" t="s">
        <v>100</v>
      </c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/>
      <c r="W16" s="72"/>
      <c r="X16" s="73"/>
      <c r="Y16" s="83">
        <f>SUM(D16:W16)</f>
        <v>0</v>
      </c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70"/>
    </row>
    <row r="17" spans="1:40" ht="20.100000000000001" hidden="1" customHeight="1" x14ac:dyDescent="0.25">
      <c r="A17" s="158"/>
      <c r="B17" s="27"/>
      <c r="C17" s="24" t="s">
        <v>18</v>
      </c>
      <c r="D17" s="153">
        <f t="shared" ref="D17:Y17" si="0">SUM(D15:D16)</f>
        <v>1667868</v>
      </c>
      <c r="E17" s="153">
        <f t="shared" si="0"/>
        <v>414786</v>
      </c>
      <c r="F17" s="153">
        <f t="shared" si="0"/>
        <v>487863</v>
      </c>
      <c r="G17" s="153">
        <f t="shared" si="0"/>
        <v>685</v>
      </c>
      <c r="H17" s="153">
        <f t="shared" si="0"/>
        <v>0</v>
      </c>
      <c r="I17" s="153">
        <f t="shared" si="0"/>
        <v>0</v>
      </c>
      <c r="J17" s="153">
        <f t="shared" si="0"/>
        <v>0</v>
      </c>
      <c r="K17" s="153">
        <f t="shared" si="0"/>
        <v>0</v>
      </c>
      <c r="L17" s="153">
        <f t="shared" si="0"/>
        <v>155439</v>
      </c>
      <c r="M17" s="153">
        <f t="shared" si="0"/>
        <v>7400</v>
      </c>
      <c r="N17" s="153">
        <f t="shared" si="0"/>
        <v>0</v>
      </c>
      <c r="O17" s="153">
        <f t="shared" si="0"/>
        <v>5000</v>
      </c>
      <c r="P17" s="153">
        <f t="shared" si="0"/>
        <v>0</v>
      </c>
      <c r="Q17" s="153">
        <f t="shared" si="0"/>
        <v>0</v>
      </c>
      <c r="R17" s="153">
        <f>SUM(D17:Q17)</f>
        <v>2739041</v>
      </c>
      <c r="S17" s="153"/>
      <c r="T17" s="153">
        <f t="shared" si="0"/>
        <v>0</v>
      </c>
      <c r="U17" s="153">
        <f t="shared" si="0"/>
        <v>0</v>
      </c>
      <c r="V17" s="154">
        <f t="shared" si="0"/>
        <v>0</v>
      </c>
      <c r="W17" s="153">
        <f t="shared" si="0"/>
        <v>0</v>
      </c>
      <c r="X17" s="154">
        <f>SUM(T17:W17)</f>
        <v>0</v>
      </c>
      <c r="Y17" s="155">
        <f t="shared" si="0"/>
        <v>2739041</v>
      </c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70"/>
    </row>
    <row r="18" spans="1:40" ht="30" hidden="1" customHeight="1" x14ac:dyDescent="0.25">
      <c r="A18" s="82"/>
      <c r="B18" s="138"/>
      <c r="C18" s="28"/>
      <c r="D18" s="72"/>
      <c r="E18" s="72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>
        <f t="shared" ref="R18:R88" si="1">SUM(D18:Q18)</f>
        <v>0</v>
      </c>
      <c r="S18" s="72"/>
      <c r="T18" s="72"/>
      <c r="U18" s="72"/>
      <c r="V18" s="73"/>
      <c r="W18" s="72"/>
      <c r="X18" s="73"/>
      <c r="Y18" s="83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</row>
    <row r="19" spans="1:40" ht="30" hidden="1" customHeight="1" x14ac:dyDescent="0.25">
      <c r="A19" s="82">
        <v>1</v>
      </c>
      <c r="B19" s="537" t="s">
        <v>254</v>
      </c>
      <c r="C19" s="28" t="s">
        <v>255</v>
      </c>
      <c r="D19" s="157">
        <f>714.9</f>
        <v>714.9</v>
      </c>
      <c r="E19" s="157">
        <f>193.023</f>
        <v>193.023</v>
      </c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>
        <f t="shared" si="1"/>
        <v>907.923</v>
      </c>
      <c r="S19" s="157"/>
      <c r="T19" s="157"/>
      <c r="U19" s="157"/>
      <c r="V19" s="163"/>
      <c r="W19" s="157"/>
      <c r="X19" s="163">
        <f t="shared" ref="X19:X88" si="2">SUM(T19:W19)</f>
        <v>0</v>
      </c>
      <c r="Y19" s="535">
        <f t="shared" ref="Y19:Y88" si="3">R19+X19</f>
        <v>907.923</v>
      </c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70"/>
    </row>
    <row r="20" spans="1:40" ht="30" hidden="1" customHeight="1" x14ac:dyDescent="0.25">
      <c r="A20" s="82">
        <v>2</v>
      </c>
      <c r="B20" s="592" t="s">
        <v>264</v>
      </c>
      <c r="C20" s="28" t="s">
        <v>263</v>
      </c>
      <c r="D20" s="157">
        <f>1489.125</f>
        <v>1489.125</v>
      </c>
      <c r="E20" s="157">
        <f>223.184</f>
        <v>223.184</v>
      </c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>
        <f t="shared" si="1"/>
        <v>1712.309</v>
      </c>
      <c r="S20" s="157"/>
      <c r="T20" s="157"/>
      <c r="U20" s="157"/>
      <c r="V20" s="163"/>
      <c r="W20" s="157"/>
      <c r="X20" s="163">
        <f t="shared" si="2"/>
        <v>0</v>
      </c>
      <c r="Y20" s="535">
        <f t="shared" si="3"/>
        <v>1712.309</v>
      </c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70"/>
    </row>
    <row r="21" spans="1:40" ht="30" hidden="1" customHeight="1" x14ac:dyDescent="0.25">
      <c r="A21" s="224">
        <v>3</v>
      </c>
      <c r="B21" s="596" t="s">
        <v>296</v>
      </c>
      <c r="C21" s="33" t="s">
        <v>295</v>
      </c>
      <c r="D21" s="157"/>
      <c r="E21" s="157"/>
      <c r="F21" s="157">
        <f>3000+810</f>
        <v>3810</v>
      </c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>
        <f t="shared" si="1"/>
        <v>3810</v>
      </c>
      <c r="S21" s="157"/>
      <c r="T21" s="157"/>
      <c r="U21" s="157"/>
      <c r="V21" s="163"/>
      <c r="W21" s="157"/>
      <c r="X21" s="163">
        <f t="shared" si="2"/>
        <v>0</v>
      </c>
      <c r="Y21" s="535">
        <f t="shared" si="3"/>
        <v>3810</v>
      </c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70"/>
    </row>
    <row r="22" spans="1:40" ht="30" hidden="1" customHeight="1" x14ac:dyDescent="0.25">
      <c r="A22" s="224"/>
      <c r="B22" s="225"/>
      <c r="C22" s="28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>
        <f t="shared" si="1"/>
        <v>0</v>
      </c>
      <c r="S22" s="157"/>
      <c r="T22" s="157"/>
      <c r="U22" s="157"/>
      <c r="V22" s="163"/>
      <c r="W22" s="157"/>
      <c r="X22" s="163">
        <f t="shared" si="2"/>
        <v>0</v>
      </c>
      <c r="Y22" s="535">
        <f t="shared" si="3"/>
        <v>0</v>
      </c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0"/>
    </row>
    <row r="23" spans="1:40" ht="30" hidden="1" customHeight="1" x14ac:dyDescent="0.25">
      <c r="A23" s="224"/>
      <c r="B23" s="225"/>
      <c r="C23" s="28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>
        <f t="shared" si="1"/>
        <v>0</v>
      </c>
      <c r="S23" s="157"/>
      <c r="T23" s="157"/>
      <c r="U23" s="157"/>
      <c r="V23" s="163"/>
      <c r="W23" s="157"/>
      <c r="X23" s="163">
        <f t="shared" si="2"/>
        <v>0</v>
      </c>
      <c r="Y23" s="535">
        <f t="shared" si="3"/>
        <v>0</v>
      </c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70"/>
    </row>
    <row r="24" spans="1:40" ht="30" hidden="1" customHeight="1" x14ac:dyDescent="0.25">
      <c r="A24" s="224"/>
      <c r="B24" s="225"/>
      <c r="C24" s="28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>
        <f t="shared" si="1"/>
        <v>0</v>
      </c>
      <c r="S24" s="157"/>
      <c r="T24" s="157"/>
      <c r="U24" s="157"/>
      <c r="V24" s="163"/>
      <c r="W24" s="157"/>
      <c r="X24" s="163">
        <f t="shared" si="2"/>
        <v>0</v>
      </c>
      <c r="Y24" s="535">
        <f t="shared" si="3"/>
        <v>0</v>
      </c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70"/>
    </row>
    <row r="25" spans="1:40" ht="30" hidden="1" customHeight="1" x14ac:dyDescent="0.25">
      <c r="A25" s="224"/>
      <c r="B25" s="225"/>
      <c r="C25" s="28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>
        <f t="shared" si="1"/>
        <v>0</v>
      </c>
      <c r="S25" s="157"/>
      <c r="T25" s="157"/>
      <c r="U25" s="157"/>
      <c r="V25" s="163"/>
      <c r="W25" s="157"/>
      <c r="X25" s="163">
        <f t="shared" si="2"/>
        <v>0</v>
      </c>
      <c r="Y25" s="535">
        <f t="shared" si="3"/>
        <v>0</v>
      </c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70"/>
    </row>
    <row r="26" spans="1:40" ht="30" hidden="1" customHeight="1" x14ac:dyDescent="0.25">
      <c r="A26" s="224"/>
      <c r="B26" s="225"/>
      <c r="C26" s="28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>
        <f t="shared" si="1"/>
        <v>0</v>
      </c>
      <c r="S26" s="157"/>
      <c r="T26" s="157"/>
      <c r="U26" s="157"/>
      <c r="V26" s="163"/>
      <c r="W26" s="157"/>
      <c r="X26" s="163">
        <f t="shared" si="2"/>
        <v>0</v>
      </c>
      <c r="Y26" s="535">
        <f t="shared" si="3"/>
        <v>0</v>
      </c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0"/>
    </row>
    <row r="27" spans="1:40" ht="30" hidden="1" customHeight="1" x14ac:dyDescent="0.25">
      <c r="A27" s="224"/>
      <c r="B27" s="225"/>
      <c r="C27" s="419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>
        <f t="shared" si="1"/>
        <v>0</v>
      </c>
      <c r="S27" s="157"/>
      <c r="T27" s="157"/>
      <c r="U27" s="157"/>
      <c r="V27" s="163"/>
      <c r="W27" s="157"/>
      <c r="X27" s="163"/>
      <c r="Y27" s="535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70"/>
    </row>
    <row r="28" spans="1:40" ht="30" hidden="1" customHeight="1" x14ac:dyDescent="0.25">
      <c r="A28" s="82"/>
      <c r="B28" s="139"/>
      <c r="C28" s="28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>
        <f t="shared" si="1"/>
        <v>0</v>
      </c>
      <c r="S28" s="157"/>
      <c r="T28" s="157"/>
      <c r="U28" s="157"/>
      <c r="V28" s="163"/>
      <c r="W28" s="157"/>
      <c r="X28" s="163"/>
      <c r="Y28" s="535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70"/>
    </row>
    <row r="29" spans="1:40" ht="9.9499999999999993" hidden="1" customHeight="1" x14ac:dyDescent="0.25">
      <c r="A29" s="82"/>
      <c r="B29" s="139"/>
      <c r="C29" s="28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63"/>
      <c r="W29" s="157"/>
      <c r="X29" s="163"/>
      <c r="Y29" s="535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70"/>
    </row>
    <row r="30" spans="1:40" ht="30" hidden="1" customHeight="1" x14ac:dyDescent="0.25">
      <c r="A30" s="210" t="s">
        <v>81</v>
      </c>
      <c r="B30" s="206"/>
      <c r="C30" s="211" t="s">
        <v>79</v>
      </c>
      <c r="D30" s="157">
        <f t="shared" ref="D30:I30" si="4">SUM(D18:D28)</f>
        <v>2204.0250000000001</v>
      </c>
      <c r="E30" s="157">
        <f t="shared" si="4"/>
        <v>416.20699999999999</v>
      </c>
      <c r="F30" s="157">
        <f t="shared" si="4"/>
        <v>3810</v>
      </c>
      <c r="G30" s="157">
        <f t="shared" si="4"/>
        <v>0</v>
      </c>
      <c r="H30" s="157">
        <f t="shared" si="4"/>
        <v>0</v>
      </c>
      <c r="I30" s="157">
        <f t="shared" si="4"/>
        <v>0</v>
      </c>
      <c r="J30" s="157"/>
      <c r="K30" s="157">
        <f t="shared" ref="K30:Q30" si="5">SUM(K18:K28)</f>
        <v>0</v>
      </c>
      <c r="L30" s="157">
        <f t="shared" si="5"/>
        <v>0</v>
      </c>
      <c r="M30" s="157">
        <f t="shared" si="5"/>
        <v>0</v>
      </c>
      <c r="N30" s="157">
        <f t="shared" si="5"/>
        <v>0</v>
      </c>
      <c r="O30" s="157">
        <f t="shared" si="5"/>
        <v>0</v>
      </c>
      <c r="P30" s="157">
        <f t="shared" si="5"/>
        <v>0</v>
      </c>
      <c r="Q30" s="157">
        <f t="shared" si="5"/>
        <v>0</v>
      </c>
      <c r="R30" s="157">
        <f t="shared" si="1"/>
        <v>6430.232</v>
      </c>
      <c r="S30" s="157"/>
      <c r="T30" s="157">
        <f>SUM(T18:T28)</f>
        <v>0</v>
      </c>
      <c r="U30" s="157">
        <f>SUM(U18:U28)</f>
        <v>0</v>
      </c>
      <c r="V30" s="163">
        <f>SUM(V18:V28)</f>
        <v>0</v>
      </c>
      <c r="W30" s="157">
        <f>SUM(W18:W28)</f>
        <v>0</v>
      </c>
      <c r="X30" s="163">
        <f t="shared" si="2"/>
        <v>0</v>
      </c>
      <c r="Y30" s="536">
        <f t="shared" si="3"/>
        <v>6430.232</v>
      </c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70"/>
    </row>
    <row r="31" spans="1:40" ht="30" hidden="1" customHeight="1" x14ac:dyDescent="0.25">
      <c r="A31" s="82"/>
      <c r="B31" s="139"/>
      <c r="C31" s="28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63"/>
      <c r="W31" s="157"/>
      <c r="X31" s="163"/>
      <c r="Y31" s="535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0"/>
    </row>
    <row r="32" spans="1:40" ht="30" hidden="1" customHeight="1" x14ac:dyDescent="0.25">
      <c r="A32" s="82">
        <v>4</v>
      </c>
      <c r="B32" s="139" t="s">
        <v>222</v>
      </c>
      <c r="C32" s="28" t="s">
        <v>223</v>
      </c>
      <c r="D32" s="157"/>
      <c r="E32" s="157"/>
      <c r="F32" s="157">
        <f>-78-21</f>
        <v>-99</v>
      </c>
      <c r="G32" s="157"/>
      <c r="H32" s="157"/>
      <c r="I32" s="157"/>
      <c r="J32" s="157"/>
      <c r="K32" s="157"/>
      <c r="L32" s="157">
        <f>78+21</f>
        <v>99</v>
      </c>
      <c r="M32" s="157"/>
      <c r="N32" s="157"/>
      <c r="O32" s="157"/>
      <c r="P32" s="157"/>
      <c r="Q32" s="157"/>
      <c r="R32" s="157">
        <f t="shared" si="1"/>
        <v>0</v>
      </c>
      <c r="S32" s="157"/>
      <c r="T32" s="157"/>
      <c r="U32" s="157"/>
      <c r="V32" s="163"/>
      <c r="W32" s="157"/>
      <c r="X32" s="163">
        <f t="shared" si="2"/>
        <v>0</v>
      </c>
      <c r="Y32" s="535">
        <f t="shared" si="3"/>
        <v>0</v>
      </c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</row>
    <row r="33" spans="1:40" ht="30" hidden="1" customHeight="1" x14ac:dyDescent="0.25">
      <c r="A33" s="82">
        <v>5</v>
      </c>
      <c r="B33" s="537" t="s">
        <v>257</v>
      </c>
      <c r="C33" s="41" t="s">
        <v>258</v>
      </c>
      <c r="D33" s="157"/>
      <c r="E33" s="157"/>
      <c r="F33" s="157">
        <f>-487-267</f>
        <v>-754</v>
      </c>
      <c r="G33" s="157"/>
      <c r="H33" s="157"/>
      <c r="I33" s="157"/>
      <c r="J33" s="157"/>
      <c r="K33" s="157"/>
      <c r="L33" s="157">
        <f>487+267</f>
        <v>754</v>
      </c>
      <c r="M33" s="157"/>
      <c r="N33" s="157"/>
      <c r="O33" s="157"/>
      <c r="P33" s="157"/>
      <c r="Q33" s="157"/>
      <c r="R33" s="157">
        <f t="shared" si="1"/>
        <v>0</v>
      </c>
      <c r="S33" s="157"/>
      <c r="T33" s="157"/>
      <c r="U33" s="157"/>
      <c r="V33" s="163"/>
      <c r="W33" s="157"/>
      <c r="X33" s="163">
        <f t="shared" si="2"/>
        <v>0</v>
      </c>
      <c r="Y33" s="535">
        <f t="shared" si="3"/>
        <v>0</v>
      </c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0"/>
    </row>
    <row r="34" spans="1:40" ht="30" hidden="1" customHeight="1" x14ac:dyDescent="0.25">
      <c r="A34" s="82">
        <v>6</v>
      </c>
      <c r="B34" s="537" t="s">
        <v>273</v>
      </c>
      <c r="C34" s="41" t="s">
        <v>259</v>
      </c>
      <c r="D34" s="157">
        <f>2929</f>
        <v>2929</v>
      </c>
      <c r="E34" s="157">
        <f>322.484</f>
        <v>322.48399999999998</v>
      </c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>
        <f t="shared" si="1"/>
        <v>3251.4839999999999</v>
      </c>
      <c r="S34" s="157"/>
      <c r="T34" s="157"/>
      <c r="U34" s="157"/>
      <c r="V34" s="163"/>
      <c r="W34" s="157"/>
      <c r="X34" s="163">
        <f t="shared" si="2"/>
        <v>0</v>
      </c>
      <c r="Y34" s="535">
        <f t="shared" si="3"/>
        <v>3251.4839999999999</v>
      </c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70"/>
    </row>
    <row r="35" spans="1:40" ht="30" hidden="1" customHeight="1" x14ac:dyDescent="0.25">
      <c r="A35" s="82" t="s">
        <v>108</v>
      </c>
      <c r="B35" s="537"/>
      <c r="C35" s="41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>
        <f t="shared" si="1"/>
        <v>0</v>
      </c>
      <c r="S35" s="157"/>
      <c r="T35" s="157"/>
      <c r="U35" s="157"/>
      <c r="V35" s="163"/>
      <c r="W35" s="157"/>
      <c r="X35" s="163">
        <f t="shared" si="2"/>
        <v>0</v>
      </c>
      <c r="Y35" s="535">
        <f t="shared" si="3"/>
        <v>0</v>
      </c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</row>
    <row r="36" spans="1:40" ht="30" hidden="1" customHeight="1" x14ac:dyDescent="0.25">
      <c r="A36" s="82" t="s">
        <v>108</v>
      </c>
      <c r="B36" s="537"/>
      <c r="C36" s="41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>
        <f t="shared" si="1"/>
        <v>0</v>
      </c>
      <c r="S36" s="157"/>
      <c r="T36" s="157"/>
      <c r="U36" s="157"/>
      <c r="V36" s="163"/>
      <c r="W36" s="157"/>
      <c r="X36" s="163">
        <f t="shared" si="2"/>
        <v>0</v>
      </c>
      <c r="Y36" s="535">
        <f t="shared" si="3"/>
        <v>0</v>
      </c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70"/>
    </row>
    <row r="37" spans="1:40" ht="30" hidden="1" customHeight="1" x14ac:dyDescent="0.25">
      <c r="A37" s="82" t="s">
        <v>108</v>
      </c>
      <c r="B37" s="537"/>
      <c r="C37" s="41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>
        <f t="shared" si="1"/>
        <v>0</v>
      </c>
      <c r="S37" s="157"/>
      <c r="T37" s="157"/>
      <c r="U37" s="157"/>
      <c r="V37" s="163"/>
      <c r="W37" s="157"/>
      <c r="X37" s="163">
        <f t="shared" si="2"/>
        <v>0</v>
      </c>
      <c r="Y37" s="535">
        <f t="shared" si="3"/>
        <v>0</v>
      </c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70"/>
    </row>
    <row r="38" spans="1:40" ht="30" hidden="1" customHeight="1" x14ac:dyDescent="0.25">
      <c r="A38" s="82" t="s">
        <v>108</v>
      </c>
      <c r="B38" s="537"/>
      <c r="C38" s="41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>
        <f t="shared" si="1"/>
        <v>0</v>
      </c>
      <c r="S38" s="157"/>
      <c r="T38" s="157"/>
      <c r="U38" s="157"/>
      <c r="V38" s="163"/>
      <c r="W38" s="157"/>
      <c r="X38" s="163">
        <f t="shared" si="2"/>
        <v>0</v>
      </c>
      <c r="Y38" s="535">
        <f t="shared" si="3"/>
        <v>0</v>
      </c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0"/>
    </row>
    <row r="39" spans="1:40" ht="30" hidden="1" customHeight="1" x14ac:dyDescent="0.25">
      <c r="A39" s="82">
        <v>7</v>
      </c>
      <c r="B39" s="592" t="s">
        <v>276</v>
      </c>
      <c r="C39" s="41" t="s">
        <v>275</v>
      </c>
      <c r="D39" s="157"/>
      <c r="E39" s="157"/>
      <c r="F39" s="157"/>
      <c r="G39" s="157"/>
      <c r="H39" s="157"/>
      <c r="I39" s="157"/>
      <c r="J39" s="157"/>
      <c r="K39" s="157"/>
      <c r="L39" s="157">
        <f>414+112</f>
        <v>526</v>
      </c>
      <c r="M39" s="157"/>
      <c r="N39" s="157"/>
      <c r="O39" s="157"/>
      <c r="P39" s="157"/>
      <c r="Q39" s="157"/>
      <c r="R39" s="157">
        <f t="shared" si="1"/>
        <v>526</v>
      </c>
      <c r="S39" s="157"/>
      <c r="T39" s="157"/>
      <c r="U39" s="157"/>
      <c r="V39" s="163"/>
      <c r="W39" s="157"/>
      <c r="X39" s="163">
        <f t="shared" si="2"/>
        <v>0</v>
      </c>
      <c r="Y39" s="535">
        <f t="shared" si="3"/>
        <v>526</v>
      </c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70"/>
    </row>
    <row r="40" spans="1:40" ht="30" hidden="1" customHeight="1" x14ac:dyDescent="0.25">
      <c r="A40" s="82">
        <v>8</v>
      </c>
      <c r="B40" s="225" t="s">
        <v>307</v>
      </c>
      <c r="C40" s="28" t="s">
        <v>308</v>
      </c>
      <c r="D40" s="157"/>
      <c r="E40" s="157"/>
      <c r="F40" s="157">
        <f>290+78-110-30+110+30</f>
        <v>368</v>
      </c>
      <c r="G40" s="157"/>
      <c r="H40" s="157"/>
      <c r="I40" s="157"/>
      <c r="J40" s="157"/>
      <c r="K40" s="157"/>
      <c r="L40" s="157">
        <f>-290-78</f>
        <v>-368</v>
      </c>
      <c r="M40" s="157"/>
      <c r="N40" s="157"/>
      <c r="O40" s="157"/>
      <c r="P40" s="157"/>
      <c r="Q40" s="157"/>
      <c r="R40" s="157">
        <f t="shared" si="1"/>
        <v>0</v>
      </c>
      <c r="S40" s="157"/>
      <c r="T40" s="157"/>
      <c r="U40" s="157"/>
      <c r="V40" s="163"/>
      <c r="W40" s="157"/>
      <c r="X40" s="163">
        <f t="shared" si="2"/>
        <v>0</v>
      </c>
      <c r="Y40" s="535">
        <f t="shared" si="3"/>
        <v>0</v>
      </c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70"/>
    </row>
    <row r="41" spans="1:40" ht="30" hidden="1" customHeight="1" x14ac:dyDescent="0.25">
      <c r="A41" s="82">
        <v>9</v>
      </c>
      <c r="B41" s="596" t="s">
        <v>315</v>
      </c>
      <c r="C41" s="41" t="s">
        <v>259</v>
      </c>
      <c r="D41" s="157">
        <v>374</v>
      </c>
      <c r="E41" s="157">
        <v>40.969000000000001</v>
      </c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>
        <f t="shared" si="1"/>
        <v>414.96899999999999</v>
      </c>
      <c r="S41" s="157"/>
      <c r="T41" s="157"/>
      <c r="U41" s="157"/>
      <c r="V41" s="163"/>
      <c r="W41" s="157"/>
      <c r="X41" s="163">
        <f t="shared" si="2"/>
        <v>0</v>
      </c>
      <c r="Y41" s="535">
        <f t="shared" si="3"/>
        <v>414.96899999999999</v>
      </c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70"/>
    </row>
    <row r="42" spans="1:40" ht="30" hidden="1" customHeight="1" x14ac:dyDescent="0.25">
      <c r="A42" s="82"/>
      <c r="B42" s="225"/>
      <c r="C42" s="28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63"/>
      <c r="W42" s="157"/>
      <c r="X42" s="163"/>
      <c r="Y42" s="535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70"/>
    </row>
    <row r="43" spans="1:40" ht="30" hidden="1" customHeight="1" x14ac:dyDescent="0.25">
      <c r="A43" s="82"/>
      <c r="B43" s="225"/>
      <c r="C43" s="28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63"/>
      <c r="W43" s="157"/>
      <c r="X43" s="163"/>
      <c r="Y43" s="535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70"/>
    </row>
    <row r="44" spans="1:40" ht="9.9499999999999993" hidden="1" customHeight="1" x14ac:dyDescent="0.25">
      <c r="A44" s="82"/>
      <c r="B44" s="139"/>
      <c r="C44" s="28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63"/>
      <c r="W44" s="157"/>
      <c r="X44" s="163"/>
      <c r="Y44" s="535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70"/>
    </row>
    <row r="45" spans="1:40" ht="30" hidden="1" customHeight="1" x14ac:dyDescent="0.25">
      <c r="A45" s="210" t="s">
        <v>82</v>
      </c>
      <c r="B45" s="206"/>
      <c r="C45" s="211" t="s">
        <v>80</v>
      </c>
      <c r="D45" s="157">
        <f t="shared" ref="D45:Q45" si="6">SUM(D32:D42)</f>
        <v>3303</v>
      </c>
      <c r="E45" s="157">
        <f t="shared" si="6"/>
        <v>363.45299999999997</v>
      </c>
      <c r="F45" s="157">
        <f t="shared" si="6"/>
        <v>-485</v>
      </c>
      <c r="G45" s="157">
        <f t="shared" si="6"/>
        <v>0</v>
      </c>
      <c r="H45" s="157">
        <f t="shared" si="6"/>
        <v>0</v>
      </c>
      <c r="I45" s="157">
        <f t="shared" si="6"/>
        <v>0</v>
      </c>
      <c r="J45" s="157">
        <f t="shared" si="6"/>
        <v>0</v>
      </c>
      <c r="K45" s="157">
        <f t="shared" si="6"/>
        <v>0</v>
      </c>
      <c r="L45" s="157">
        <f t="shared" si="6"/>
        <v>1011</v>
      </c>
      <c r="M45" s="157">
        <f t="shared" si="6"/>
        <v>0</v>
      </c>
      <c r="N45" s="157">
        <f t="shared" si="6"/>
        <v>0</v>
      </c>
      <c r="O45" s="157">
        <f t="shared" si="6"/>
        <v>0</v>
      </c>
      <c r="P45" s="157">
        <f t="shared" si="6"/>
        <v>0</v>
      </c>
      <c r="Q45" s="157">
        <f t="shared" si="6"/>
        <v>0</v>
      </c>
      <c r="R45" s="157">
        <f t="shared" si="1"/>
        <v>4192.4529999999995</v>
      </c>
      <c r="S45" s="157"/>
      <c r="T45" s="157">
        <f>SUM(T32:T42)</f>
        <v>0</v>
      </c>
      <c r="U45" s="157">
        <f>SUM(U32:U42)</f>
        <v>0</v>
      </c>
      <c r="V45" s="157">
        <f>SUM(V32:V42)</f>
        <v>0</v>
      </c>
      <c r="W45" s="157">
        <f>SUM(W32:W42)</f>
        <v>0</v>
      </c>
      <c r="X45" s="163">
        <f t="shared" si="2"/>
        <v>0</v>
      </c>
      <c r="Y45" s="536">
        <f t="shared" si="3"/>
        <v>4192.4529999999995</v>
      </c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70"/>
    </row>
    <row r="46" spans="1:40" ht="30" hidden="1" customHeight="1" x14ac:dyDescent="0.25">
      <c r="A46" s="82"/>
      <c r="B46" s="139"/>
      <c r="C46" s="28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3"/>
      <c r="W46" s="72"/>
      <c r="X46" s="73"/>
      <c r="Y46" s="83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70"/>
    </row>
    <row r="47" spans="1:40" ht="17.25" hidden="1" thickBot="1" x14ac:dyDescent="0.25">
      <c r="A47" s="82"/>
      <c r="B47" s="128"/>
      <c r="C47" s="161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3"/>
      <c r="W47" s="72"/>
      <c r="X47" s="73"/>
      <c r="Y47" s="83"/>
    </row>
    <row r="48" spans="1:40" ht="30" hidden="1" customHeight="1" thickTop="1" thickBot="1" x14ac:dyDescent="0.25">
      <c r="A48" s="136"/>
      <c r="B48" s="90"/>
      <c r="C48" s="44" t="s">
        <v>83</v>
      </c>
      <c r="D48" s="86">
        <f t="shared" ref="D48:W48" si="7">D30+D45</f>
        <v>5507.0249999999996</v>
      </c>
      <c r="E48" s="86">
        <f t="shared" si="7"/>
        <v>779.66</v>
      </c>
      <c r="F48" s="86">
        <f t="shared" si="7"/>
        <v>3325</v>
      </c>
      <c r="G48" s="86">
        <f t="shared" si="7"/>
        <v>0</v>
      </c>
      <c r="H48" s="86">
        <f t="shared" si="7"/>
        <v>0</v>
      </c>
      <c r="I48" s="86">
        <f t="shared" si="7"/>
        <v>0</v>
      </c>
      <c r="J48" s="86">
        <f t="shared" si="7"/>
        <v>0</v>
      </c>
      <c r="K48" s="86">
        <f t="shared" si="7"/>
        <v>0</v>
      </c>
      <c r="L48" s="86">
        <f t="shared" si="7"/>
        <v>1011</v>
      </c>
      <c r="M48" s="86">
        <f t="shared" si="7"/>
        <v>0</v>
      </c>
      <c r="N48" s="86">
        <f t="shared" si="7"/>
        <v>0</v>
      </c>
      <c r="O48" s="86">
        <f t="shared" si="7"/>
        <v>0</v>
      </c>
      <c r="P48" s="86">
        <f t="shared" si="7"/>
        <v>0</v>
      </c>
      <c r="Q48" s="86">
        <f t="shared" si="7"/>
        <v>0</v>
      </c>
      <c r="R48" s="86">
        <f t="shared" si="1"/>
        <v>10622.684999999999</v>
      </c>
      <c r="S48" s="86"/>
      <c r="T48" s="86">
        <f t="shared" si="7"/>
        <v>0</v>
      </c>
      <c r="U48" s="86">
        <f t="shared" si="7"/>
        <v>0</v>
      </c>
      <c r="V48" s="87">
        <f t="shared" si="7"/>
        <v>0</v>
      </c>
      <c r="W48" s="86">
        <f t="shared" si="7"/>
        <v>0</v>
      </c>
      <c r="X48" s="86">
        <f t="shared" si="2"/>
        <v>0</v>
      </c>
      <c r="Y48" s="80">
        <f t="shared" si="3"/>
        <v>10622.684999999999</v>
      </c>
    </row>
    <row r="49" spans="1:72" ht="9.9499999999999993" hidden="1" customHeight="1" thickTop="1" x14ac:dyDescent="0.2">
      <c r="A49" s="566"/>
      <c r="B49" s="188"/>
      <c r="C49" s="189"/>
      <c r="D49" s="580"/>
      <c r="E49" s="580"/>
      <c r="F49" s="580"/>
      <c r="G49" s="580"/>
      <c r="H49" s="580"/>
      <c r="I49" s="580"/>
      <c r="J49" s="580"/>
      <c r="K49" s="580"/>
      <c r="L49" s="580"/>
      <c r="M49" s="580"/>
      <c r="N49" s="580"/>
      <c r="O49" s="580"/>
      <c r="P49" s="580"/>
      <c r="Q49" s="580"/>
      <c r="R49" s="580"/>
      <c r="S49" s="580"/>
      <c r="T49" s="580"/>
      <c r="U49" s="580"/>
      <c r="V49" s="517"/>
      <c r="W49" s="580"/>
      <c r="X49" s="517"/>
      <c r="Y49" s="581"/>
    </row>
    <row r="50" spans="1:72" ht="30" hidden="1" customHeight="1" x14ac:dyDescent="0.2">
      <c r="A50" s="582"/>
      <c r="B50" s="30"/>
      <c r="C50" s="583"/>
      <c r="D50" s="584"/>
      <c r="E50" s="584"/>
      <c r="F50" s="584"/>
      <c r="G50" s="584"/>
      <c r="H50" s="584"/>
      <c r="I50" s="584"/>
      <c r="J50" s="584"/>
      <c r="K50" s="584"/>
      <c r="L50" s="584"/>
      <c r="M50" s="584"/>
      <c r="N50" s="584"/>
      <c r="O50" s="584"/>
      <c r="P50" s="584"/>
      <c r="Q50" s="584"/>
      <c r="R50" s="584">
        <f>SUM(D50:Q50)</f>
        <v>0</v>
      </c>
      <c r="S50" s="584"/>
      <c r="T50" s="584"/>
      <c r="U50" s="584"/>
      <c r="V50" s="585"/>
      <c r="W50" s="584"/>
      <c r="X50" s="585">
        <f>SUM(T50:W50)</f>
        <v>0</v>
      </c>
      <c r="Y50" s="586">
        <f>R50+X50</f>
        <v>0</v>
      </c>
    </row>
    <row r="51" spans="1:72" ht="9.9499999999999993" hidden="1" customHeight="1" thickBot="1" x14ac:dyDescent="0.25">
      <c r="A51" s="576"/>
      <c r="B51" s="197"/>
      <c r="C51" s="198"/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8"/>
      <c r="W51" s="587"/>
      <c r="X51" s="588"/>
      <c r="Y51" s="589"/>
    </row>
    <row r="52" spans="1:72" ht="30" hidden="1" customHeight="1" thickTop="1" thickBot="1" x14ac:dyDescent="0.25">
      <c r="A52" s="136"/>
      <c r="B52" s="90"/>
      <c r="C52" s="44" t="s">
        <v>141</v>
      </c>
      <c r="D52" s="129">
        <f t="shared" ref="D52:K52" si="8">D17+D48</f>
        <v>1673375.0249999999</v>
      </c>
      <c r="E52" s="129">
        <f t="shared" si="8"/>
        <v>415565.66</v>
      </c>
      <c r="F52" s="129">
        <f t="shared" si="8"/>
        <v>491188</v>
      </c>
      <c r="G52" s="129">
        <f t="shared" si="8"/>
        <v>685</v>
      </c>
      <c r="H52" s="129">
        <f t="shared" si="8"/>
        <v>0</v>
      </c>
      <c r="I52" s="129">
        <f t="shared" si="8"/>
        <v>0</v>
      </c>
      <c r="J52" s="129">
        <f t="shared" si="8"/>
        <v>0</v>
      </c>
      <c r="K52" s="129">
        <f t="shared" si="8"/>
        <v>0</v>
      </c>
      <c r="L52" s="129">
        <f>L17+L48+L50</f>
        <v>156450</v>
      </c>
      <c r="M52" s="129">
        <f>M17+M48</f>
        <v>7400</v>
      </c>
      <c r="N52" s="129">
        <f>N17+N48</f>
        <v>0</v>
      </c>
      <c r="O52" s="129">
        <f>O17+O48</f>
        <v>5000</v>
      </c>
      <c r="P52" s="129">
        <f>P17+P48</f>
        <v>0</v>
      </c>
      <c r="Q52" s="129">
        <f>Q17+Q48</f>
        <v>0</v>
      </c>
      <c r="R52" s="129">
        <f>SUM(D52:Q52)</f>
        <v>2749663.6849999996</v>
      </c>
      <c r="S52" s="129"/>
      <c r="T52" s="129">
        <f>T17+T48</f>
        <v>0</v>
      </c>
      <c r="U52" s="129">
        <f>U17+U48</f>
        <v>0</v>
      </c>
      <c r="V52" s="353">
        <f>V17+V48</f>
        <v>0</v>
      </c>
      <c r="W52" s="129">
        <f>W17+W48</f>
        <v>0</v>
      </c>
      <c r="X52" s="353">
        <f t="shared" si="2"/>
        <v>0</v>
      </c>
      <c r="Y52" s="159">
        <f>R52+X52+Y50</f>
        <v>2749663.6849999996</v>
      </c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</row>
    <row r="53" spans="1:72" ht="17.25" hidden="1" thickTop="1" x14ac:dyDescent="0.2">
      <c r="A53" s="26"/>
      <c r="B53" s="137" t="s">
        <v>61</v>
      </c>
      <c r="C53" s="94" t="s">
        <v>134</v>
      </c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>
        <f t="shared" si="1"/>
        <v>0</v>
      </c>
      <c r="S53" s="95"/>
      <c r="T53" s="95"/>
      <c r="U53" s="95"/>
      <c r="V53" s="99"/>
      <c r="W53" s="95"/>
      <c r="X53" s="99">
        <f t="shared" si="2"/>
        <v>0</v>
      </c>
      <c r="Y53" s="104">
        <f t="shared" si="3"/>
        <v>0</v>
      </c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</row>
    <row r="54" spans="1:72" hidden="1" x14ac:dyDescent="0.2">
      <c r="A54" s="26"/>
      <c r="B54" s="74" t="s">
        <v>65</v>
      </c>
      <c r="C54" s="96" t="s">
        <v>134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>
        <f t="shared" si="1"/>
        <v>0</v>
      </c>
      <c r="S54" s="97"/>
      <c r="T54" s="97"/>
      <c r="U54" s="97"/>
      <c r="V54" s="100"/>
      <c r="W54" s="97"/>
      <c r="X54" s="100">
        <f t="shared" si="2"/>
        <v>0</v>
      </c>
      <c r="Y54" s="105">
        <f t="shared" si="3"/>
        <v>0</v>
      </c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</row>
    <row r="55" spans="1:72" hidden="1" x14ac:dyDescent="0.2">
      <c r="A55" s="26"/>
      <c r="B55" s="74" t="s">
        <v>76</v>
      </c>
      <c r="C55" s="96" t="s">
        <v>134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>
        <f t="shared" si="1"/>
        <v>0</v>
      </c>
      <c r="S55" s="97"/>
      <c r="T55" s="97"/>
      <c r="U55" s="97"/>
      <c r="V55" s="100"/>
      <c r="W55" s="97"/>
      <c r="X55" s="100">
        <f t="shared" si="2"/>
        <v>0</v>
      </c>
      <c r="Y55" s="105">
        <f t="shared" si="3"/>
        <v>0</v>
      </c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</row>
    <row r="56" spans="1:72" ht="16.5" hidden="1" customHeight="1" thickTop="1" x14ac:dyDescent="0.2">
      <c r="A56" s="26"/>
      <c r="B56" s="74" t="s">
        <v>77</v>
      </c>
      <c r="C56" s="96" t="s">
        <v>134</v>
      </c>
      <c r="D56" s="97"/>
      <c r="E56" s="97"/>
      <c r="F56" s="597">
        <f>2000.537</f>
        <v>2000.537</v>
      </c>
      <c r="G56" s="97"/>
      <c r="H56" s="97">
        <v>87741</v>
      </c>
      <c r="I56" s="97"/>
      <c r="J56" s="97"/>
      <c r="K56" s="97"/>
      <c r="L56" s="97"/>
      <c r="M56" s="97"/>
      <c r="N56" s="97"/>
      <c r="O56" s="97"/>
      <c r="P56" s="97"/>
      <c r="Q56" s="97"/>
      <c r="R56" s="97">
        <f t="shared" si="1"/>
        <v>89741.536999999997</v>
      </c>
      <c r="S56" s="97"/>
      <c r="T56" s="97"/>
      <c r="U56" s="97"/>
      <c r="V56" s="100"/>
      <c r="W56" s="97"/>
      <c r="X56" s="100">
        <f t="shared" si="2"/>
        <v>0</v>
      </c>
      <c r="Y56" s="105">
        <f t="shared" si="3"/>
        <v>89741.536999999997</v>
      </c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</row>
    <row r="57" spans="1:72" hidden="1" x14ac:dyDescent="0.2">
      <c r="A57" s="26"/>
      <c r="B57" s="74" t="s">
        <v>47</v>
      </c>
      <c r="C57" s="96" t="s">
        <v>134</v>
      </c>
      <c r="D57" s="97"/>
      <c r="E57" s="97"/>
      <c r="F57" s="97">
        <f>5530+1472</f>
        <v>7002</v>
      </c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>
        <f t="shared" si="1"/>
        <v>7002</v>
      </c>
      <c r="S57" s="97"/>
      <c r="T57" s="97"/>
      <c r="U57" s="97"/>
      <c r="V57" s="100"/>
      <c r="W57" s="97"/>
      <c r="X57" s="100">
        <f t="shared" si="2"/>
        <v>0</v>
      </c>
      <c r="Y57" s="105">
        <f t="shared" si="3"/>
        <v>7002</v>
      </c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</row>
    <row r="58" spans="1:72" hidden="1" x14ac:dyDescent="0.2">
      <c r="A58" s="26"/>
      <c r="B58" s="74" t="s">
        <v>48</v>
      </c>
      <c r="C58" s="96" t="s">
        <v>134</v>
      </c>
      <c r="D58" s="97">
        <f>35613+385+60</f>
        <v>36058</v>
      </c>
      <c r="E58" s="97">
        <f>46997+804+723</f>
        <v>48524</v>
      </c>
      <c r="F58" s="97">
        <v>5000</v>
      </c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>
        <f t="shared" si="1"/>
        <v>89582</v>
      </c>
      <c r="S58" s="97"/>
      <c r="T58" s="97"/>
      <c r="U58" s="97"/>
      <c r="V58" s="100"/>
      <c r="W58" s="97"/>
      <c r="X58" s="100">
        <f t="shared" si="2"/>
        <v>0</v>
      </c>
      <c r="Y58" s="105">
        <f t="shared" si="3"/>
        <v>89582</v>
      </c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</row>
    <row r="59" spans="1:72" hidden="1" x14ac:dyDescent="0.2">
      <c r="A59" s="26"/>
      <c r="B59" s="74" t="s">
        <v>62</v>
      </c>
      <c r="C59" s="96" t="s">
        <v>134</v>
      </c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>
        <f t="shared" si="1"/>
        <v>0</v>
      </c>
      <c r="S59" s="97"/>
      <c r="T59" s="97"/>
      <c r="U59" s="97"/>
      <c r="V59" s="100"/>
      <c r="W59" s="97"/>
      <c r="X59" s="100">
        <f t="shared" si="2"/>
        <v>0</v>
      </c>
      <c r="Y59" s="105">
        <f t="shared" si="3"/>
        <v>0</v>
      </c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</row>
    <row r="60" spans="1:72" hidden="1" x14ac:dyDescent="0.2">
      <c r="A60" s="26"/>
      <c r="B60" s="74" t="s">
        <v>51</v>
      </c>
      <c r="C60" s="96" t="s">
        <v>134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>
        <f t="shared" si="1"/>
        <v>0</v>
      </c>
      <c r="S60" s="97"/>
      <c r="T60" s="97"/>
      <c r="U60" s="97"/>
      <c r="V60" s="100"/>
      <c r="W60" s="97"/>
      <c r="X60" s="100">
        <f t="shared" si="2"/>
        <v>0</v>
      </c>
      <c r="Y60" s="105">
        <f t="shared" si="3"/>
        <v>0</v>
      </c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</row>
    <row r="61" spans="1:72" hidden="1" x14ac:dyDescent="0.2">
      <c r="A61" s="26"/>
      <c r="B61" s="74" t="s">
        <v>54</v>
      </c>
      <c r="C61" s="96" t="s">
        <v>134</v>
      </c>
      <c r="D61" s="97">
        <f>1459+21</f>
        <v>1480</v>
      </c>
      <c r="E61" s="97">
        <f>2371+15+16</f>
        <v>2402</v>
      </c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>
        <f t="shared" si="1"/>
        <v>3882</v>
      </c>
      <c r="S61" s="97"/>
      <c r="T61" s="97"/>
      <c r="U61" s="97"/>
      <c r="V61" s="100"/>
      <c r="W61" s="97"/>
      <c r="X61" s="100">
        <f t="shared" si="2"/>
        <v>0</v>
      </c>
      <c r="Y61" s="105">
        <f t="shared" si="3"/>
        <v>3882</v>
      </c>
      <c r="Z61" s="85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</row>
    <row r="62" spans="1:72" hidden="1" x14ac:dyDescent="0.2">
      <c r="A62" s="26"/>
      <c r="B62" s="74" t="s">
        <v>105</v>
      </c>
      <c r="C62" s="96" t="s">
        <v>134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>
        <f t="shared" si="1"/>
        <v>0</v>
      </c>
      <c r="S62" s="97"/>
      <c r="T62" s="97"/>
      <c r="U62" s="97"/>
      <c r="V62" s="100"/>
      <c r="W62" s="97"/>
      <c r="X62" s="100">
        <f t="shared" si="2"/>
        <v>0</v>
      </c>
      <c r="Y62" s="105">
        <f t="shared" si="3"/>
        <v>0</v>
      </c>
      <c r="Z62" s="85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</row>
    <row r="63" spans="1:72" hidden="1" x14ac:dyDescent="0.2">
      <c r="A63" s="26"/>
      <c r="B63" s="74" t="s">
        <v>57</v>
      </c>
      <c r="C63" s="96" t="s">
        <v>134</v>
      </c>
      <c r="D63" s="97"/>
      <c r="E63" s="97"/>
      <c r="F63" s="97">
        <f>667+181+1950+527+236+64+1374+371+4000+1080+300</f>
        <v>10750</v>
      </c>
      <c r="G63" s="97"/>
      <c r="H63" s="97"/>
      <c r="I63" s="97"/>
      <c r="J63" s="97"/>
      <c r="K63" s="97"/>
      <c r="L63" s="97">
        <f>319+86+661+179+95+26+1249+337+686+185+1069+289</f>
        <v>5181</v>
      </c>
      <c r="M63" s="97">
        <f>5512+1488</f>
        <v>7000</v>
      </c>
      <c r="N63" s="97"/>
      <c r="O63" s="97"/>
      <c r="P63" s="97"/>
      <c r="Q63" s="97"/>
      <c r="R63" s="97">
        <f t="shared" si="1"/>
        <v>22931</v>
      </c>
      <c r="S63" s="97"/>
      <c r="T63" s="97"/>
      <c r="U63" s="97"/>
      <c r="V63" s="100"/>
      <c r="W63" s="97"/>
      <c r="X63" s="100">
        <f t="shared" si="2"/>
        <v>0</v>
      </c>
      <c r="Y63" s="105">
        <f t="shared" si="3"/>
        <v>22931</v>
      </c>
      <c r="Z63" s="85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</row>
    <row r="64" spans="1:72" hidden="1" x14ac:dyDescent="0.2">
      <c r="A64" s="26"/>
      <c r="B64" s="74" t="s">
        <v>68</v>
      </c>
      <c r="C64" s="96" t="s">
        <v>134</v>
      </c>
      <c r="D64" s="97"/>
      <c r="E64" s="97"/>
      <c r="F64" s="97"/>
      <c r="G64" s="97"/>
      <c r="H64" s="97"/>
      <c r="I64" s="97"/>
      <c r="J64" s="97"/>
      <c r="K64" s="97"/>
      <c r="L64" s="97">
        <f>2965+801+7479+2020+3300+891+960+259</f>
        <v>18675</v>
      </c>
      <c r="M64" s="97"/>
      <c r="N64" s="97"/>
      <c r="O64" s="97"/>
      <c r="P64" s="97"/>
      <c r="Q64" s="97"/>
      <c r="R64" s="97">
        <f t="shared" si="1"/>
        <v>18675</v>
      </c>
      <c r="S64" s="97"/>
      <c r="T64" s="97"/>
      <c r="U64" s="97"/>
      <c r="V64" s="100"/>
      <c r="W64" s="97"/>
      <c r="X64" s="100">
        <f t="shared" si="2"/>
        <v>0</v>
      </c>
      <c r="Y64" s="105">
        <f t="shared" si="3"/>
        <v>18675</v>
      </c>
      <c r="Z64" s="85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</row>
    <row r="65" spans="1:72" hidden="1" x14ac:dyDescent="0.2">
      <c r="A65" s="26"/>
      <c r="B65" s="274" t="s">
        <v>106</v>
      </c>
      <c r="C65" s="96" t="s">
        <v>134</v>
      </c>
      <c r="D65" s="299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>
        <f t="shared" si="1"/>
        <v>0</v>
      </c>
      <c r="S65" s="299"/>
      <c r="T65" s="299"/>
      <c r="U65" s="299"/>
      <c r="V65" s="300"/>
      <c r="W65" s="299"/>
      <c r="X65" s="300">
        <f t="shared" si="2"/>
        <v>0</v>
      </c>
      <c r="Y65" s="105">
        <f t="shared" si="3"/>
        <v>0</v>
      </c>
      <c r="Z65" s="85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</row>
    <row r="66" spans="1:72" hidden="1" x14ac:dyDescent="0.2">
      <c r="A66" s="26"/>
      <c r="B66" s="274" t="s">
        <v>84</v>
      </c>
      <c r="C66" s="96" t="s">
        <v>134</v>
      </c>
      <c r="D66" s="299">
        <f>200</f>
        <v>200</v>
      </c>
      <c r="E66" s="299"/>
      <c r="F66" s="299">
        <f>200+54+300+81+200+54+14</f>
        <v>903</v>
      </c>
      <c r="G66" s="299"/>
      <c r="H66" s="299"/>
      <c r="I66" s="299"/>
      <c r="J66" s="299"/>
      <c r="K66" s="299"/>
      <c r="L66" s="299">
        <f>453+123</f>
        <v>576</v>
      </c>
      <c r="M66" s="299"/>
      <c r="N66" s="299"/>
      <c r="O66" s="299"/>
      <c r="P66" s="299"/>
      <c r="Q66" s="299"/>
      <c r="R66" s="299">
        <f t="shared" si="1"/>
        <v>1679</v>
      </c>
      <c r="S66" s="299"/>
      <c r="T66" s="299"/>
      <c r="U66" s="299"/>
      <c r="V66" s="300"/>
      <c r="W66" s="299"/>
      <c r="X66" s="300">
        <f t="shared" si="2"/>
        <v>0</v>
      </c>
      <c r="Y66" s="105">
        <f t="shared" si="3"/>
        <v>1679</v>
      </c>
      <c r="Z66" s="85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</row>
    <row r="67" spans="1:72" hidden="1" x14ac:dyDescent="0.2">
      <c r="A67" s="26"/>
      <c r="B67" s="297" t="s">
        <v>107</v>
      </c>
      <c r="C67" s="298" t="s">
        <v>134</v>
      </c>
      <c r="D67" s="299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>
        <f t="shared" si="1"/>
        <v>0</v>
      </c>
      <c r="S67" s="299"/>
      <c r="T67" s="299"/>
      <c r="U67" s="299"/>
      <c r="V67" s="300"/>
      <c r="W67" s="299"/>
      <c r="X67" s="300">
        <f t="shared" si="2"/>
        <v>0</v>
      </c>
      <c r="Y67" s="301">
        <f t="shared" si="3"/>
        <v>0</v>
      </c>
      <c r="Z67" s="85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</row>
    <row r="68" spans="1:72" ht="17.25" hidden="1" thickBot="1" x14ac:dyDescent="0.25">
      <c r="A68" s="26"/>
      <c r="B68" s="430"/>
      <c r="C68" s="431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3"/>
      <c r="W68" s="432"/>
      <c r="X68" s="433"/>
      <c r="Y68" s="434"/>
      <c r="Z68" s="85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</row>
    <row r="69" spans="1:72" s="81" customFormat="1" ht="30" hidden="1" customHeight="1" thickTop="1" thickBot="1" x14ac:dyDescent="0.25">
      <c r="A69" s="136"/>
      <c r="B69" s="302"/>
      <c r="C69" s="303" t="s">
        <v>213</v>
      </c>
      <c r="D69" s="304">
        <f t="shared" ref="D69:I69" si="9">SUM(D53:D67)</f>
        <v>37738</v>
      </c>
      <c r="E69" s="304">
        <f t="shared" si="9"/>
        <v>50926</v>
      </c>
      <c r="F69" s="304">
        <f t="shared" si="9"/>
        <v>25655.537</v>
      </c>
      <c r="G69" s="304">
        <f t="shared" si="9"/>
        <v>0</v>
      </c>
      <c r="H69" s="304">
        <f t="shared" si="9"/>
        <v>87741</v>
      </c>
      <c r="I69" s="304">
        <f t="shared" si="9"/>
        <v>0</v>
      </c>
      <c r="J69" s="304"/>
      <c r="K69" s="304">
        <f t="shared" ref="K69:W69" si="10">SUM(K53:K67)</f>
        <v>0</v>
      </c>
      <c r="L69" s="304">
        <f t="shared" si="10"/>
        <v>24432</v>
      </c>
      <c r="M69" s="304">
        <f t="shared" si="10"/>
        <v>7000</v>
      </c>
      <c r="N69" s="304">
        <f t="shared" si="10"/>
        <v>0</v>
      </c>
      <c r="O69" s="304">
        <f t="shared" si="10"/>
        <v>0</v>
      </c>
      <c r="P69" s="304">
        <f t="shared" si="10"/>
        <v>0</v>
      </c>
      <c r="Q69" s="304">
        <f t="shared" si="10"/>
        <v>0</v>
      </c>
      <c r="R69" s="304">
        <f t="shared" si="1"/>
        <v>233492.53700000001</v>
      </c>
      <c r="S69" s="304"/>
      <c r="T69" s="304">
        <f t="shared" si="10"/>
        <v>0</v>
      </c>
      <c r="U69" s="304">
        <f t="shared" si="10"/>
        <v>0</v>
      </c>
      <c r="V69" s="452">
        <f t="shared" si="10"/>
        <v>0</v>
      </c>
      <c r="W69" s="304">
        <f t="shared" si="10"/>
        <v>0</v>
      </c>
      <c r="X69" s="452">
        <f t="shared" si="2"/>
        <v>0</v>
      </c>
      <c r="Y69" s="80">
        <f t="shared" si="3"/>
        <v>233492.53700000001</v>
      </c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</row>
    <row r="70" spans="1:72" s="53" customFormat="1" ht="16.5" hidden="1" customHeight="1" thickTop="1" thickBot="1" x14ac:dyDescent="0.25">
      <c r="A70" s="150"/>
      <c r="B70" s="307"/>
      <c r="C70" s="308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453"/>
      <c r="W70" s="309"/>
      <c r="X70" s="453"/>
      <c r="Y70" s="310"/>
    </row>
    <row r="71" spans="1:72" ht="30" hidden="1" customHeight="1" thickTop="1" thickBot="1" x14ac:dyDescent="0.35">
      <c r="A71" s="135"/>
      <c r="B71" s="435" t="s">
        <v>160</v>
      </c>
      <c r="C71" s="44" t="s">
        <v>215</v>
      </c>
      <c r="D71" s="86">
        <f>D52+D69</f>
        <v>1711113.0249999999</v>
      </c>
      <c r="E71" s="86">
        <f t="shared" ref="E71:Q71" si="11">E52+E69</f>
        <v>466491.66</v>
      </c>
      <c r="F71" s="86">
        <f t="shared" si="11"/>
        <v>516843.53700000001</v>
      </c>
      <c r="G71" s="86">
        <f t="shared" si="11"/>
        <v>685</v>
      </c>
      <c r="H71" s="86">
        <f t="shared" si="11"/>
        <v>87741</v>
      </c>
      <c r="I71" s="86">
        <f t="shared" si="11"/>
        <v>0</v>
      </c>
      <c r="J71" s="86">
        <f t="shared" si="11"/>
        <v>0</v>
      </c>
      <c r="K71" s="86">
        <f t="shared" si="11"/>
        <v>0</v>
      </c>
      <c r="L71" s="86">
        <f>L52+L69</f>
        <v>180882</v>
      </c>
      <c r="M71" s="86">
        <f t="shared" si="11"/>
        <v>14400</v>
      </c>
      <c r="N71" s="86">
        <f t="shared" si="11"/>
        <v>0</v>
      </c>
      <c r="O71" s="86">
        <f t="shared" si="11"/>
        <v>5000</v>
      </c>
      <c r="P71" s="86">
        <f t="shared" si="11"/>
        <v>0</v>
      </c>
      <c r="Q71" s="86">
        <f t="shared" si="11"/>
        <v>0</v>
      </c>
      <c r="R71" s="86">
        <f t="shared" si="1"/>
        <v>2983156.2220000001</v>
      </c>
      <c r="S71" s="86"/>
      <c r="T71" s="86">
        <f>T52+T69</f>
        <v>0</v>
      </c>
      <c r="U71" s="86">
        <f>U52+U69</f>
        <v>0</v>
      </c>
      <c r="V71" s="86">
        <f>V52+V69</f>
        <v>0</v>
      </c>
      <c r="W71" s="86">
        <f>W52+W69</f>
        <v>0</v>
      </c>
      <c r="X71" s="86">
        <f t="shared" si="2"/>
        <v>0</v>
      </c>
      <c r="Y71" s="86">
        <f t="shared" si="3"/>
        <v>2983156.2220000001</v>
      </c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</row>
    <row r="72" spans="1:72" ht="24.95" customHeight="1" x14ac:dyDescent="0.25">
      <c r="A72" s="133"/>
      <c r="B72" s="271"/>
      <c r="C72" s="134" t="s">
        <v>18</v>
      </c>
      <c r="D72" s="220">
        <f t="shared" ref="D72:L72" si="12">D71</f>
        <v>1711113.0249999999</v>
      </c>
      <c r="E72" s="220">
        <f t="shared" si="12"/>
        <v>466491.66</v>
      </c>
      <c r="F72" s="220">
        <f t="shared" si="12"/>
        <v>516843.53700000001</v>
      </c>
      <c r="G72" s="220">
        <f t="shared" si="12"/>
        <v>685</v>
      </c>
      <c r="H72" s="220">
        <f t="shared" si="12"/>
        <v>87741</v>
      </c>
      <c r="I72" s="220">
        <f t="shared" si="12"/>
        <v>0</v>
      </c>
      <c r="J72" s="220">
        <f t="shared" si="12"/>
        <v>0</v>
      </c>
      <c r="K72" s="220">
        <f t="shared" si="12"/>
        <v>0</v>
      </c>
      <c r="L72" s="220">
        <f t="shared" si="12"/>
        <v>180882</v>
      </c>
      <c r="M72" s="220">
        <f t="shared" ref="M72:W72" si="13">M71</f>
        <v>14400</v>
      </c>
      <c r="N72" s="220">
        <f t="shared" si="13"/>
        <v>0</v>
      </c>
      <c r="O72" s="220">
        <f t="shared" si="13"/>
        <v>5000</v>
      </c>
      <c r="P72" s="220">
        <f t="shared" si="13"/>
        <v>0</v>
      </c>
      <c r="Q72" s="220">
        <f t="shared" si="13"/>
        <v>0</v>
      </c>
      <c r="R72" s="220">
        <f t="shared" si="1"/>
        <v>2983156.2220000001</v>
      </c>
      <c r="S72" s="220"/>
      <c r="T72" s="220">
        <f>T71</f>
        <v>0</v>
      </c>
      <c r="U72" s="220">
        <f>U71</f>
        <v>0</v>
      </c>
      <c r="V72" s="261">
        <f t="shared" si="13"/>
        <v>0</v>
      </c>
      <c r="W72" s="153">
        <f t="shared" si="13"/>
        <v>0</v>
      </c>
      <c r="X72" s="409">
        <f t="shared" si="2"/>
        <v>0</v>
      </c>
      <c r="Y72" s="325">
        <f t="shared" si="3"/>
        <v>2983156.2220000001</v>
      </c>
    </row>
    <row r="73" spans="1:72" ht="24" customHeight="1" x14ac:dyDescent="0.25">
      <c r="A73" s="18"/>
      <c r="B73" s="463"/>
      <c r="C73" s="41"/>
      <c r="D73" s="462"/>
      <c r="E73" s="462"/>
      <c r="F73" s="462"/>
      <c r="G73" s="461"/>
      <c r="H73" s="461"/>
      <c r="I73" s="461"/>
      <c r="J73" s="461"/>
      <c r="K73" s="461"/>
      <c r="L73" s="461"/>
      <c r="M73" s="461"/>
      <c r="N73" s="461"/>
      <c r="O73" s="461"/>
      <c r="P73" s="461"/>
      <c r="Q73" s="461"/>
      <c r="R73" s="461"/>
      <c r="S73" s="461"/>
      <c r="T73" s="461"/>
      <c r="U73" s="461"/>
      <c r="V73" s="481"/>
      <c r="W73" s="461"/>
      <c r="X73" s="474"/>
      <c r="Y73" s="266"/>
    </row>
    <row r="74" spans="1:72" ht="30" customHeight="1" x14ac:dyDescent="0.2">
      <c r="A74" s="82">
        <v>1</v>
      </c>
      <c r="B74" s="620" t="s">
        <v>381</v>
      </c>
      <c r="C74" s="28" t="s">
        <v>263</v>
      </c>
      <c r="D74" s="157">
        <v>1568.7</v>
      </c>
      <c r="E74" s="157">
        <v>345.11399999999998</v>
      </c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>
        <f t="shared" si="1"/>
        <v>1913.8140000000001</v>
      </c>
      <c r="S74" s="157"/>
      <c r="T74" s="157"/>
      <c r="U74" s="157"/>
      <c r="V74" s="163"/>
      <c r="W74" s="157"/>
      <c r="X74" s="413">
        <f t="shared" si="2"/>
        <v>0</v>
      </c>
      <c r="Y74" s="266">
        <f t="shared" si="3"/>
        <v>1913.8140000000001</v>
      </c>
    </row>
    <row r="75" spans="1:72" ht="30" customHeight="1" x14ac:dyDescent="0.2">
      <c r="A75" s="82">
        <v>2</v>
      </c>
      <c r="B75" s="620" t="s">
        <v>396</v>
      </c>
      <c r="C75" s="28" t="s">
        <v>393</v>
      </c>
      <c r="D75" s="157"/>
      <c r="E75" s="157"/>
      <c r="G75" s="157"/>
      <c r="H75" s="157"/>
      <c r="I75" s="157"/>
      <c r="J75" s="157"/>
      <c r="K75" s="157"/>
      <c r="L75" s="157">
        <f>2329+629</f>
        <v>2958</v>
      </c>
      <c r="M75" s="157"/>
      <c r="N75" s="157"/>
      <c r="O75" s="157"/>
      <c r="P75" s="157"/>
      <c r="Q75" s="157"/>
      <c r="R75" s="157">
        <f t="shared" si="1"/>
        <v>2958</v>
      </c>
      <c r="S75" s="157"/>
      <c r="T75" s="157"/>
      <c r="U75" s="157"/>
      <c r="V75" s="163"/>
      <c r="W75" s="157"/>
      <c r="X75" s="413">
        <f t="shared" si="2"/>
        <v>0</v>
      </c>
      <c r="Y75" s="266">
        <f t="shared" si="3"/>
        <v>2958</v>
      </c>
    </row>
    <row r="76" spans="1:72" ht="30" customHeight="1" x14ac:dyDescent="0.2">
      <c r="A76" s="82">
        <v>3</v>
      </c>
      <c r="B76" s="626" t="s">
        <v>397</v>
      </c>
      <c r="C76" s="28" t="s">
        <v>395</v>
      </c>
      <c r="D76" s="157"/>
      <c r="E76" s="157"/>
      <c r="F76" s="157">
        <f>1939+523</f>
        <v>2462</v>
      </c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>
        <f t="shared" si="1"/>
        <v>2462</v>
      </c>
      <c r="S76" s="157"/>
      <c r="T76" s="157"/>
      <c r="U76" s="157"/>
      <c r="V76" s="163"/>
      <c r="W76" s="157"/>
      <c r="X76" s="413">
        <f t="shared" si="2"/>
        <v>0</v>
      </c>
      <c r="Y76" s="266">
        <f t="shared" si="3"/>
        <v>2462</v>
      </c>
    </row>
    <row r="77" spans="1:72" ht="30" customHeight="1" x14ac:dyDescent="0.2">
      <c r="A77" s="82">
        <v>4</v>
      </c>
      <c r="B77" s="225" t="s">
        <v>496</v>
      </c>
      <c r="C77" s="28" t="s">
        <v>495</v>
      </c>
      <c r="D77" s="157"/>
      <c r="E77" s="157"/>
      <c r="F77" s="157">
        <f>-145-39</f>
        <v>-184</v>
      </c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>
        <f t="shared" si="1"/>
        <v>-184</v>
      </c>
      <c r="S77" s="157"/>
      <c r="T77" s="157"/>
      <c r="U77" s="157"/>
      <c r="V77" s="163"/>
      <c r="W77" s="157"/>
      <c r="X77" s="413">
        <f t="shared" si="2"/>
        <v>0</v>
      </c>
      <c r="Y77" s="266">
        <f t="shared" si="3"/>
        <v>-184</v>
      </c>
    </row>
    <row r="78" spans="1:72" ht="30" customHeight="1" x14ac:dyDescent="0.2">
      <c r="A78" s="82">
        <v>5</v>
      </c>
      <c r="B78" s="633" t="s">
        <v>521</v>
      </c>
      <c r="C78" s="28" t="s">
        <v>263</v>
      </c>
      <c r="D78" s="157">
        <f>1485.2</f>
        <v>1485.2</v>
      </c>
      <c r="E78" s="157">
        <f>326.744</f>
        <v>326.74400000000003</v>
      </c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>
        <f t="shared" si="1"/>
        <v>1811.944</v>
      </c>
      <c r="S78" s="157"/>
      <c r="T78" s="157"/>
      <c r="U78" s="157"/>
      <c r="V78" s="163"/>
      <c r="W78" s="157"/>
      <c r="X78" s="413">
        <f t="shared" si="2"/>
        <v>0</v>
      </c>
      <c r="Y78" s="266">
        <f t="shared" si="3"/>
        <v>1811.944</v>
      </c>
    </row>
    <row r="79" spans="1:72" ht="30" customHeight="1" x14ac:dyDescent="0.2">
      <c r="A79" s="82">
        <v>6</v>
      </c>
      <c r="B79" s="225" t="s">
        <v>535</v>
      </c>
      <c r="C79" s="28" t="s">
        <v>534</v>
      </c>
      <c r="D79" s="157">
        <f>1230</f>
        <v>1230</v>
      </c>
      <c r="E79" s="157">
        <f>270</f>
        <v>270</v>
      </c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>
        <f t="shared" si="1"/>
        <v>1500</v>
      </c>
      <c r="S79" s="157"/>
      <c r="T79" s="157"/>
      <c r="U79" s="157"/>
      <c r="V79" s="163"/>
      <c r="W79" s="157"/>
      <c r="X79" s="413">
        <f t="shared" si="2"/>
        <v>0</v>
      </c>
      <c r="Y79" s="266">
        <f t="shared" si="3"/>
        <v>1500</v>
      </c>
    </row>
    <row r="80" spans="1:72" ht="30" customHeight="1" x14ac:dyDescent="0.2">
      <c r="A80" s="82">
        <v>7</v>
      </c>
      <c r="B80" s="596" t="s">
        <v>544</v>
      </c>
      <c r="C80" s="28" t="s">
        <v>545</v>
      </c>
      <c r="D80" s="157">
        <f>3937</f>
        <v>3937</v>
      </c>
      <c r="E80" s="157">
        <f>1063</f>
        <v>1063</v>
      </c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>
        <f t="shared" si="1"/>
        <v>5000</v>
      </c>
      <c r="S80" s="157"/>
      <c r="T80" s="157"/>
      <c r="U80" s="157"/>
      <c r="V80" s="163"/>
      <c r="W80" s="157"/>
      <c r="X80" s="413">
        <f t="shared" si="2"/>
        <v>0</v>
      </c>
      <c r="Y80" s="266">
        <f t="shared" si="3"/>
        <v>5000</v>
      </c>
    </row>
    <row r="81" spans="1:25" ht="30" hidden="1" customHeight="1" x14ac:dyDescent="0.2">
      <c r="A81" s="82"/>
      <c r="B81" s="225"/>
      <c r="C81" s="28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>
        <f t="shared" si="1"/>
        <v>0</v>
      </c>
      <c r="S81" s="157"/>
      <c r="T81" s="157"/>
      <c r="U81" s="157"/>
      <c r="V81" s="163"/>
      <c r="W81" s="157"/>
      <c r="X81" s="413">
        <f t="shared" si="2"/>
        <v>0</v>
      </c>
      <c r="Y81" s="266">
        <f t="shared" si="3"/>
        <v>0</v>
      </c>
    </row>
    <row r="82" spans="1:25" ht="30" hidden="1" customHeight="1" x14ac:dyDescent="0.2">
      <c r="A82" s="82"/>
      <c r="B82" s="225"/>
      <c r="C82" s="28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>
        <f t="shared" si="1"/>
        <v>0</v>
      </c>
      <c r="S82" s="157"/>
      <c r="T82" s="157"/>
      <c r="U82" s="157"/>
      <c r="V82" s="163"/>
      <c r="W82" s="157"/>
      <c r="X82" s="413">
        <f t="shared" si="2"/>
        <v>0</v>
      </c>
      <c r="Y82" s="266">
        <f t="shared" si="3"/>
        <v>0</v>
      </c>
    </row>
    <row r="83" spans="1:25" ht="30" hidden="1" customHeight="1" x14ac:dyDescent="0.2">
      <c r="A83" s="82"/>
      <c r="B83" s="225"/>
      <c r="C83" s="28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>
        <f t="shared" si="1"/>
        <v>0</v>
      </c>
      <c r="S83" s="157"/>
      <c r="T83" s="157"/>
      <c r="U83" s="157"/>
      <c r="V83" s="163"/>
      <c r="W83" s="157"/>
      <c r="X83" s="413">
        <f t="shared" si="2"/>
        <v>0</v>
      </c>
      <c r="Y83" s="266">
        <f t="shared" si="3"/>
        <v>0</v>
      </c>
    </row>
    <row r="84" spans="1:25" ht="30" hidden="1" customHeight="1" x14ac:dyDescent="0.2">
      <c r="A84" s="82"/>
      <c r="B84" s="225"/>
      <c r="C84" s="28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>
        <f t="shared" si="1"/>
        <v>0</v>
      </c>
      <c r="S84" s="157"/>
      <c r="T84" s="157"/>
      <c r="U84" s="157"/>
      <c r="V84" s="163"/>
      <c r="W84" s="157"/>
      <c r="X84" s="413">
        <f t="shared" si="2"/>
        <v>0</v>
      </c>
      <c r="Y84" s="266">
        <f t="shared" si="3"/>
        <v>0</v>
      </c>
    </row>
    <row r="85" spans="1:25" ht="30" hidden="1" customHeight="1" x14ac:dyDescent="0.2">
      <c r="A85" s="82"/>
      <c r="B85" s="225"/>
      <c r="C85" s="28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>
        <f t="shared" si="1"/>
        <v>0</v>
      </c>
      <c r="S85" s="157"/>
      <c r="T85" s="157"/>
      <c r="U85" s="157"/>
      <c r="V85" s="163"/>
      <c r="W85" s="157"/>
      <c r="X85" s="413">
        <f t="shared" si="2"/>
        <v>0</v>
      </c>
      <c r="Y85" s="266">
        <f t="shared" si="3"/>
        <v>0</v>
      </c>
    </row>
    <row r="86" spans="1:25" ht="30" hidden="1" customHeight="1" x14ac:dyDescent="0.2">
      <c r="A86" s="82"/>
      <c r="B86" s="225"/>
      <c r="C86" s="28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>
        <f t="shared" si="1"/>
        <v>0</v>
      </c>
      <c r="S86" s="157"/>
      <c r="T86" s="157"/>
      <c r="U86" s="157"/>
      <c r="V86" s="163"/>
      <c r="W86" s="157"/>
      <c r="X86" s="413">
        <f t="shared" si="2"/>
        <v>0</v>
      </c>
      <c r="Y86" s="266">
        <f t="shared" si="3"/>
        <v>0</v>
      </c>
    </row>
    <row r="87" spans="1:25" ht="30" hidden="1" customHeight="1" x14ac:dyDescent="0.2">
      <c r="A87" s="82"/>
      <c r="B87" s="225"/>
      <c r="C87" s="28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>
        <f t="shared" si="1"/>
        <v>0</v>
      </c>
      <c r="S87" s="157"/>
      <c r="T87" s="157"/>
      <c r="U87" s="157"/>
      <c r="V87" s="163"/>
      <c r="W87" s="157"/>
      <c r="X87" s="413">
        <f t="shared" si="2"/>
        <v>0</v>
      </c>
      <c r="Y87" s="266">
        <f t="shared" si="3"/>
        <v>0</v>
      </c>
    </row>
    <row r="88" spans="1:25" ht="30" hidden="1" customHeight="1" x14ac:dyDescent="0.2">
      <c r="A88" s="82"/>
      <c r="B88" s="225"/>
      <c r="C88" s="28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>
        <f t="shared" si="1"/>
        <v>0</v>
      </c>
      <c r="S88" s="157"/>
      <c r="T88" s="157"/>
      <c r="U88" s="157"/>
      <c r="V88" s="163"/>
      <c r="W88" s="157"/>
      <c r="X88" s="413">
        <f t="shared" si="2"/>
        <v>0</v>
      </c>
      <c r="Y88" s="266">
        <f t="shared" si="3"/>
        <v>0</v>
      </c>
    </row>
    <row r="89" spans="1:25" ht="24" customHeight="1" x14ac:dyDescent="0.2">
      <c r="A89" s="82"/>
      <c r="B89" s="463"/>
      <c r="C89" s="28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63"/>
      <c r="W89" s="157"/>
      <c r="X89" s="413"/>
      <c r="Y89" s="266"/>
    </row>
    <row r="90" spans="1:25" ht="24" customHeight="1" x14ac:dyDescent="0.2">
      <c r="A90" s="82"/>
      <c r="B90" s="463"/>
      <c r="C90" s="28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63"/>
      <c r="W90" s="157"/>
      <c r="X90" s="413"/>
      <c r="Y90" s="266"/>
    </row>
    <row r="91" spans="1:25" ht="9.9499999999999993" customHeight="1" x14ac:dyDescent="0.2">
      <c r="A91" s="82"/>
      <c r="B91" s="30"/>
      <c r="C91" s="28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63"/>
      <c r="W91" s="157"/>
      <c r="X91" s="413"/>
      <c r="Y91" s="266"/>
    </row>
    <row r="92" spans="1:25" ht="30" customHeight="1" x14ac:dyDescent="0.2">
      <c r="A92" s="210" t="s">
        <v>81</v>
      </c>
      <c r="B92" s="206"/>
      <c r="C92" s="211" t="s">
        <v>79</v>
      </c>
      <c r="D92" s="157">
        <f t="shared" ref="D92:Q92" si="14">SUM(D73:D91)</f>
        <v>8220.9</v>
      </c>
      <c r="E92" s="157">
        <f t="shared" si="14"/>
        <v>2004.8579999999999</v>
      </c>
      <c r="F92" s="157">
        <f t="shared" si="14"/>
        <v>2278</v>
      </c>
      <c r="G92" s="157">
        <f t="shared" si="14"/>
        <v>0</v>
      </c>
      <c r="H92" s="157">
        <f t="shared" si="14"/>
        <v>0</v>
      </c>
      <c r="I92" s="157">
        <f t="shared" si="14"/>
        <v>0</v>
      </c>
      <c r="J92" s="157">
        <f t="shared" si="14"/>
        <v>0</v>
      </c>
      <c r="K92" s="157">
        <f t="shared" si="14"/>
        <v>0</v>
      </c>
      <c r="L92" s="157">
        <f t="shared" si="14"/>
        <v>2958</v>
      </c>
      <c r="M92" s="157">
        <f t="shared" si="14"/>
        <v>0</v>
      </c>
      <c r="N92" s="157">
        <f t="shared" si="14"/>
        <v>0</v>
      </c>
      <c r="O92" s="157">
        <f t="shared" si="14"/>
        <v>0</v>
      </c>
      <c r="P92" s="157">
        <f t="shared" si="14"/>
        <v>0</v>
      </c>
      <c r="Q92" s="157">
        <f t="shared" si="14"/>
        <v>0</v>
      </c>
      <c r="R92" s="157">
        <f t="shared" ref="R92:R157" si="15">SUM(D92:Q92)</f>
        <v>15461.758</v>
      </c>
      <c r="S92" s="157"/>
      <c r="T92" s="157">
        <f>SUM(T73:T91)</f>
        <v>0</v>
      </c>
      <c r="U92" s="157">
        <f>SUM(U73:U91)</f>
        <v>0</v>
      </c>
      <c r="V92" s="163">
        <f>SUM(V73:V91)</f>
        <v>0</v>
      </c>
      <c r="W92" s="157">
        <f>SUM(W73:W91)</f>
        <v>0</v>
      </c>
      <c r="X92" s="413">
        <f t="shared" ref="X92:X157" si="16">SUM(T92:W92)</f>
        <v>0</v>
      </c>
      <c r="Y92" s="327">
        <f t="shared" ref="Y92:Y159" si="17">R92+X92</f>
        <v>15461.758</v>
      </c>
    </row>
    <row r="93" spans="1:25" ht="9.9499999999999993" customHeight="1" x14ac:dyDescent="0.2">
      <c r="A93" s="82"/>
      <c r="B93" s="472"/>
      <c r="C93" s="28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63"/>
      <c r="W93" s="157"/>
      <c r="X93" s="413"/>
      <c r="Y93" s="266"/>
    </row>
    <row r="94" spans="1:25" ht="24" customHeight="1" x14ac:dyDescent="0.25">
      <c r="A94" s="18">
        <v>8</v>
      </c>
      <c r="B94" s="463" t="s">
        <v>331</v>
      </c>
      <c r="C94" s="322" t="s">
        <v>330</v>
      </c>
      <c r="D94" s="473"/>
      <c r="E94" s="473"/>
      <c r="F94" s="157">
        <f>-539-145</f>
        <v>-684</v>
      </c>
      <c r="G94" s="473"/>
      <c r="H94" s="473"/>
      <c r="I94" s="473"/>
      <c r="J94" s="473"/>
      <c r="K94" s="473"/>
      <c r="L94" s="473">
        <f>539+145</f>
        <v>684</v>
      </c>
      <c r="M94" s="473"/>
      <c r="N94" s="473"/>
      <c r="O94" s="473"/>
      <c r="P94" s="473"/>
      <c r="Q94" s="473"/>
      <c r="R94" s="473">
        <f t="shared" si="15"/>
        <v>0</v>
      </c>
      <c r="S94" s="473"/>
      <c r="T94" s="473"/>
      <c r="U94" s="473"/>
      <c r="V94" s="482"/>
      <c r="W94" s="473"/>
      <c r="X94" s="474">
        <f t="shared" si="16"/>
        <v>0</v>
      </c>
      <c r="Y94" s="266">
        <f t="shared" si="17"/>
        <v>0</v>
      </c>
    </row>
    <row r="95" spans="1:25" ht="24" customHeight="1" x14ac:dyDescent="0.2">
      <c r="A95" s="224">
        <v>9</v>
      </c>
      <c r="B95" s="227" t="s">
        <v>333</v>
      </c>
      <c r="C95" s="41" t="s">
        <v>332</v>
      </c>
      <c r="D95" s="157"/>
      <c r="E95" s="157"/>
      <c r="G95" s="157"/>
      <c r="H95" s="157">
        <f>-1</f>
        <v>-1</v>
      </c>
      <c r="I95" s="157"/>
      <c r="J95" s="157"/>
      <c r="K95" s="157"/>
      <c r="L95" s="157"/>
      <c r="M95" s="157"/>
      <c r="N95" s="157"/>
      <c r="O95" s="157"/>
      <c r="P95" s="157"/>
      <c r="Q95" s="157"/>
      <c r="R95" s="157">
        <f t="shared" si="15"/>
        <v>-1</v>
      </c>
      <c r="S95" s="157"/>
      <c r="T95" s="157"/>
      <c r="U95" s="157"/>
      <c r="V95" s="163"/>
      <c r="W95" s="157"/>
      <c r="X95" s="413">
        <f t="shared" si="16"/>
        <v>0</v>
      </c>
      <c r="Y95" s="266">
        <f t="shared" si="17"/>
        <v>-1</v>
      </c>
    </row>
    <row r="96" spans="1:25" ht="24" customHeight="1" x14ac:dyDescent="0.2">
      <c r="A96" s="82">
        <v>10</v>
      </c>
      <c r="B96" s="30" t="s">
        <v>414</v>
      </c>
      <c r="C96" s="41" t="s">
        <v>415</v>
      </c>
      <c r="D96" s="157"/>
      <c r="E96" s="157"/>
      <c r="F96" s="157">
        <f>-573-155</f>
        <v>-728</v>
      </c>
      <c r="G96" s="157"/>
      <c r="H96" s="157"/>
      <c r="I96" s="157"/>
      <c r="J96" s="157"/>
      <c r="K96" s="157"/>
      <c r="L96" s="157">
        <f>573+155</f>
        <v>728</v>
      </c>
      <c r="M96" s="157"/>
      <c r="N96" s="157"/>
      <c r="O96" s="157"/>
      <c r="P96" s="157"/>
      <c r="Q96" s="157"/>
      <c r="R96" s="157">
        <f t="shared" si="15"/>
        <v>0</v>
      </c>
      <c r="S96" s="157"/>
      <c r="T96" s="157"/>
      <c r="U96" s="157"/>
      <c r="V96" s="163"/>
      <c r="W96" s="157"/>
      <c r="X96" s="413">
        <f t="shared" si="16"/>
        <v>0</v>
      </c>
      <c r="Y96" s="266">
        <f t="shared" si="17"/>
        <v>0</v>
      </c>
    </row>
    <row r="97" spans="1:25" ht="24" customHeight="1" x14ac:dyDescent="0.2">
      <c r="A97" s="82">
        <v>11</v>
      </c>
      <c r="B97" s="627" t="s">
        <v>425</v>
      </c>
      <c r="C97" s="41" t="s">
        <v>426</v>
      </c>
      <c r="D97" s="157">
        <f>1240</f>
        <v>1240</v>
      </c>
      <c r="E97" s="157">
        <f>136.076</f>
        <v>136.07599999999999</v>
      </c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>
        <f t="shared" si="15"/>
        <v>1376.076</v>
      </c>
      <c r="S97" s="157"/>
      <c r="T97" s="157"/>
      <c r="U97" s="157"/>
      <c r="V97" s="163"/>
      <c r="W97" s="157"/>
      <c r="X97" s="413">
        <f t="shared" si="16"/>
        <v>0</v>
      </c>
      <c r="Y97" s="266">
        <f t="shared" si="17"/>
        <v>1376.076</v>
      </c>
    </row>
    <row r="98" spans="1:25" ht="24" customHeight="1" x14ac:dyDescent="0.2">
      <c r="A98" s="82">
        <v>12</v>
      </c>
      <c r="B98" s="227" t="s">
        <v>449</v>
      </c>
      <c r="C98" s="28" t="s">
        <v>450</v>
      </c>
      <c r="D98" s="157"/>
      <c r="E98" s="157"/>
      <c r="F98" s="157">
        <f>-458-123</f>
        <v>-581</v>
      </c>
      <c r="G98" s="157"/>
      <c r="H98" s="157"/>
      <c r="I98" s="157"/>
      <c r="J98" s="157"/>
      <c r="K98" s="157"/>
      <c r="L98" s="157">
        <f>-787-213+1245+336</f>
        <v>581</v>
      </c>
      <c r="M98" s="157"/>
      <c r="N98" s="157"/>
      <c r="O98" s="157"/>
      <c r="P98" s="157"/>
      <c r="Q98" s="157"/>
      <c r="R98" s="157">
        <f t="shared" si="15"/>
        <v>0</v>
      </c>
      <c r="S98" s="157"/>
      <c r="T98" s="157"/>
      <c r="U98" s="157"/>
      <c r="V98" s="163"/>
      <c r="W98" s="157"/>
      <c r="X98" s="413">
        <f t="shared" si="16"/>
        <v>0</v>
      </c>
      <c r="Y98" s="266">
        <f t="shared" si="17"/>
        <v>0</v>
      </c>
    </row>
    <row r="99" spans="1:25" ht="24" customHeight="1" x14ac:dyDescent="0.2">
      <c r="A99" s="82">
        <v>13</v>
      </c>
      <c r="B99" s="227" t="s">
        <v>490</v>
      </c>
      <c r="C99" s="28" t="s">
        <v>491</v>
      </c>
      <c r="D99" s="157"/>
      <c r="E99" s="157"/>
      <c r="F99" s="157">
        <f>-1800-486</f>
        <v>-2286</v>
      </c>
      <c r="G99" s="157"/>
      <c r="H99" s="157"/>
      <c r="I99" s="157"/>
      <c r="J99" s="157"/>
      <c r="K99" s="157"/>
      <c r="L99" s="157">
        <f>832+168+270+800+216</f>
        <v>2286</v>
      </c>
      <c r="M99" s="157"/>
      <c r="N99" s="157"/>
      <c r="O99" s="157"/>
      <c r="P99" s="157"/>
      <c r="Q99" s="157"/>
      <c r="R99" s="157">
        <f t="shared" si="15"/>
        <v>0</v>
      </c>
      <c r="S99" s="157"/>
      <c r="T99" s="157"/>
      <c r="U99" s="157"/>
      <c r="V99" s="163"/>
      <c r="W99" s="157"/>
      <c r="X99" s="413">
        <f t="shared" si="16"/>
        <v>0</v>
      </c>
      <c r="Y99" s="266">
        <f t="shared" si="17"/>
        <v>0</v>
      </c>
    </row>
    <row r="100" spans="1:25" ht="24" customHeight="1" x14ac:dyDescent="0.2">
      <c r="A100" s="82">
        <v>14</v>
      </c>
      <c r="B100" s="632" t="s">
        <v>522</v>
      </c>
      <c r="C100" s="41" t="s">
        <v>426</v>
      </c>
      <c r="D100" s="157">
        <f>1197+573.75</f>
        <v>1770.75</v>
      </c>
      <c r="E100" s="157">
        <f>131.364+126.228</f>
        <v>257.59199999999998</v>
      </c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>
        <f t="shared" si="15"/>
        <v>2028.3420000000001</v>
      </c>
      <c r="S100" s="157"/>
      <c r="T100" s="157"/>
      <c r="U100" s="157"/>
      <c r="V100" s="163"/>
      <c r="W100" s="157"/>
      <c r="X100" s="413">
        <f t="shared" si="16"/>
        <v>0</v>
      </c>
      <c r="Y100" s="266">
        <f t="shared" si="17"/>
        <v>2028.3420000000001</v>
      </c>
    </row>
    <row r="101" spans="1:25" ht="24" customHeight="1" x14ac:dyDescent="0.2">
      <c r="A101" s="82">
        <v>15</v>
      </c>
      <c r="B101" s="32" t="s">
        <v>555</v>
      </c>
      <c r="C101" s="34" t="s">
        <v>556</v>
      </c>
      <c r="D101" s="157"/>
      <c r="E101" s="157"/>
      <c r="F101" s="157"/>
      <c r="G101" s="157"/>
      <c r="H101" s="157"/>
      <c r="I101" s="157"/>
      <c r="J101" s="157"/>
      <c r="K101" s="157"/>
      <c r="L101" s="157">
        <f>-578-156</f>
        <v>-734</v>
      </c>
      <c r="M101" s="157">
        <f>578+156</f>
        <v>734</v>
      </c>
      <c r="N101" s="157"/>
      <c r="O101" s="157"/>
      <c r="P101" s="157"/>
      <c r="Q101" s="157"/>
      <c r="R101" s="157">
        <f t="shared" si="15"/>
        <v>0</v>
      </c>
      <c r="S101" s="157"/>
      <c r="T101" s="157"/>
      <c r="U101" s="157"/>
      <c r="V101" s="163"/>
      <c r="W101" s="157"/>
      <c r="X101" s="413">
        <f t="shared" si="16"/>
        <v>0</v>
      </c>
      <c r="Y101" s="266">
        <f t="shared" si="17"/>
        <v>0</v>
      </c>
    </row>
    <row r="102" spans="1:25" ht="24" customHeight="1" x14ac:dyDescent="0.2">
      <c r="A102" s="82">
        <v>16</v>
      </c>
      <c r="B102" s="228" t="s">
        <v>557</v>
      </c>
      <c r="C102" s="34" t="s">
        <v>426</v>
      </c>
      <c r="D102" s="157">
        <f>531</f>
        <v>531</v>
      </c>
      <c r="E102" s="157">
        <f>58.913</f>
        <v>58.912999999999997</v>
      </c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>
        <f t="shared" si="15"/>
        <v>589.91300000000001</v>
      </c>
      <c r="S102" s="157"/>
      <c r="T102" s="157"/>
      <c r="U102" s="157"/>
      <c r="V102" s="163"/>
      <c r="W102" s="157"/>
      <c r="X102" s="413">
        <f t="shared" si="16"/>
        <v>0</v>
      </c>
      <c r="Y102" s="266">
        <f t="shared" si="17"/>
        <v>589.91300000000001</v>
      </c>
    </row>
    <row r="103" spans="1:25" ht="24" customHeight="1" x14ac:dyDescent="0.2">
      <c r="A103" s="82">
        <v>17</v>
      </c>
      <c r="B103" s="636" t="s">
        <v>566</v>
      </c>
      <c r="C103" s="34" t="s">
        <v>426</v>
      </c>
      <c r="D103" s="157">
        <f>216.375</f>
        <v>216.375</v>
      </c>
      <c r="E103" s="157">
        <f>47.603</f>
        <v>47.603000000000002</v>
      </c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>
        <f t="shared" si="15"/>
        <v>263.97800000000001</v>
      </c>
      <c r="S103" s="157"/>
      <c r="T103" s="157"/>
      <c r="U103" s="157"/>
      <c r="V103" s="163"/>
      <c r="W103" s="157"/>
      <c r="X103" s="413">
        <f t="shared" si="16"/>
        <v>0</v>
      </c>
      <c r="Y103" s="266">
        <f t="shared" si="17"/>
        <v>263.97800000000001</v>
      </c>
    </row>
    <row r="104" spans="1:25" ht="24" hidden="1" customHeight="1" x14ac:dyDescent="0.2">
      <c r="A104" s="82"/>
      <c r="B104" s="31"/>
      <c r="C104" s="41"/>
      <c r="D104" s="162"/>
      <c r="E104" s="162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>
        <f t="shared" si="15"/>
        <v>0</v>
      </c>
      <c r="S104" s="157"/>
      <c r="T104" s="157"/>
      <c r="U104" s="157"/>
      <c r="V104" s="163"/>
      <c r="W104" s="157"/>
      <c r="X104" s="413">
        <f t="shared" si="16"/>
        <v>0</v>
      </c>
      <c r="Y104" s="266">
        <f t="shared" si="17"/>
        <v>0</v>
      </c>
    </row>
    <row r="105" spans="1:25" ht="24" hidden="1" customHeight="1" x14ac:dyDescent="0.2">
      <c r="A105" s="82"/>
      <c r="B105" s="31"/>
      <c r="C105" s="41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>
        <f t="shared" si="15"/>
        <v>0</v>
      </c>
      <c r="S105" s="157"/>
      <c r="T105" s="157"/>
      <c r="U105" s="157"/>
      <c r="V105" s="163"/>
      <c r="W105" s="157"/>
      <c r="X105" s="413">
        <f t="shared" si="16"/>
        <v>0</v>
      </c>
      <c r="Y105" s="266">
        <f t="shared" si="17"/>
        <v>0</v>
      </c>
    </row>
    <row r="106" spans="1:25" ht="24" hidden="1" customHeight="1" x14ac:dyDescent="0.2">
      <c r="A106" s="82"/>
      <c r="B106" s="31"/>
      <c r="C106" s="41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>
        <f t="shared" si="15"/>
        <v>0</v>
      </c>
      <c r="S106" s="157"/>
      <c r="T106" s="157"/>
      <c r="U106" s="157"/>
      <c r="V106" s="163"/>
      <c r="W106" s="157"/>
      <c r="X106" s="413">
        <f t="shared" si="16"/>
        <v>0</v>
      </c>
      <c r="Y106" s="266">
        <f t="shared" si="17"/>
        <v>0</v>
      </c>
    </row>
    <row r="107" spans="1:25" ht="24" hidden="1" customHeight="1" x14ac:dyDescent="0.2">
      <c r="A107" s="82"/>
      <c r="B107" s="31"/>
      <c r="C107" s="41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63"/>
      <c r="W107" s="157"/>
      <c r="X107" s="413"/>
      <c r="Y107" s="266"/>
    </row>
    <row r="108" spans="1:25" ht="24" customHeight="1" x14ac:dyDescent="0.2">
      <c r="A108" s="82"/>
      <c r="B108" s="106"/>
      <c r="C108" s="28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63"/>
      <c r="W108" s="157"/>
      <c r="X108" s="413"/>
      <c r="Y108" s="266"/>
    </row>
    <row r="109" spans="1:25" ht="9.9499999999999993" customHeight="1" x14ac:dyDescent="0.2">
      <c r="A109" s="82"/>
      <c r="B109" s="126"/>
      <c r="C109" s="41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63"/>
      <c r="W109" s="157"/>
      <c r="X109" s="413"/>
      <c r="Y109" s="266"/>
    </row>
    <row r="110" spans="1:25" ht="30" customHeight="1" x14ac:dyDescent="0.2">
      <c r="A110" s="210" t="s">
        <v>82</v>
      </c>
      <c r="B110" s="206"/>
      <c r="C110" s="211" t="s">
        <v>80</v>
      </c>
      <c r="D110" s="157">
        <f t="shared" ref="D110:Q110" si="18">SUM(D94:D109)</f>
        <v>3758.125</v>
      </c>
      <c r="E110" s="157">
        <f t="shared" si="18"/>
        <v>500.18400000000003</v>
      </c>
      <c r="F110" s="157">
        <f t="shared" si="18"/>
        <v>-4279</v>
      </c>
      <c r="G110" s="157">
        <f t="shared" si="18"/>
        <v>0</v>
      </c>
      <c r="H110" s="157">
        <f t="shared" si="18"/>
        <v>-1</v>
      </c>
      <c r="I110" s="157">
        <f t="shared" si="18"/>
        <v>0</v>
      </c>
      <c r="J110" s="157">
        <f t="shared" si="18"/>
        <v>0</v>
      </c>
      <c r="K110" s="157">
        <f t="shared" si="18"/>
        <v>0</v>
      </c>
      <c r="L110" s="157">
        <f t="shared" si="18"/>
        <v>3545</v>
      </c>
      <c r="M110" s="157">
        <f t="shared" si="18"/>
        <v>734</v>
      </c>
      <c r="N110" s="157">
        <f t="shared" si="18"/>
        <v>0</v>
      </c>
      <c r="O110" s="157">
        <f t="shared" si="18"/>
        <v>0</v>
      </c>
      <c r="P110" s="157">
        <f t="shared" si="18"/>
        <v>0</v>
      </c>
      <c r="Q110" s="157">
        <f t="shared" si="18"/>
        <v>0</v>
      </c>
      <c r="R110" s="157">
        <f t="shared" si="15"/>
        <v>4257.3090000000002</v>
      </c>
      <c r="S110" s="157"/>
      <c r="T110" s="157">
        <f>SUM(T94:T109)</f>
        <v>0</v>
      </c>
      <c r="U110" s="157">
        <f>SUM(U94:U109)</f>
        <v>0</v>
      </c>
      <c r="V110" s="163">
        <f>SUM(V94:V109)</f>
        <v>0</v>
      </c>
      <c r="W110" s="157">
        <f>SUM(W94:W109)</f>
        <v>0</v>
      </c>
      <c r="X110" s="413">
        <f t="shared" si="16"/>
        <v>0</v>
      </c>
      <c r="Y110" s="327">
        <f t="shared" si="17"/>
        <v>4257.3090000000002</v>
      </c>
    </row>
    <row r="111" spans="1:25" ht="9.9499999999999993" customHeight="1" x14ac:dyDescent="0.2">
      <c r="A111" s="82"/>
      <c r="B111" s="126"/>
      <c r="C111" s="41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>
        <f t="shared" si="15"/>
        <v>0</v>
      </c>
      <c r="S111" s="72"/>
      <c r="T111" s="72"/>
      <c r="U111" s="72"/>
      <c r="V111" s="73"/>
      <c r="W111" s="72"/>
      <c r="X111" s="208">
        <f t="shared" si="16"/>
        <v>0</v>
      </c>
      <c r="Y111" s="263">
        <f t="shared" si="17"/>
        <v>0</v>
      </c>
    </row>
    <row r="112" spans="1:25" ht="24" hidden="1" customHeight="1" x14ac:dyDescent="0.2">
      <c r="A112" s="82"/>
      <c r="B112" s="31"/>
      <c r="C112" s="41" t="s">
        <v>64</v>
      </c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>
        <f t="shared" si="15"/>
        <v>0</v>
      </c>
      <c r="S112" s="72"/>
      <c r="T112" s="72"/>
      <c r="U112" s="72"/>
      <c r="V112" s="73"/>
      <c r="W112" s="72"/>
      <c r="X112" s="208">
        <f t="shared" si="16"/>
        <v>0</v>
      </c>
      <c r="Y112" s="263">
        <f t="shared" si="17"/>
        <v>0</v>
      </c>
    </row>
    <row r="113" spans="1:25" ht="17.25" thickBot="1" x14ac:dyDescent="0.25">
      <c r="A113" s="82"/>
      <c r="B113" s="106"/>
      <c r="C113" s="107"/>
      <c r="D113" s="108"/>
      <c r="E113" s="108"/>
      <c r="F113" s="72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>
        <f t="shared" si="15"/>
        <v>0</v>
      </c>
      <c r="S113" s="108"/>
      <c r="T113" s="108"/>
      <c r="U113" s="108"/>
      <c r="V113" s="109"/>
      <c r="W113" s="108"/>
      <c r="X113" s="475">
        <f t="shared" si="16"/>
        <v>0</v>
      </c>
      <c r="Y113" s="264">
        <f t="shared" si="17"/>
        <v>0</v>
      </c>
    </row>
    <row r="114" spans="1:25" ht="30" customHeight="1" thickTop="1" thickBot="1" x14ac:dyDescent="0.25">
      <c r="A114" s="42"/>
      <c r="B114" s="111" t="s">
        <v>166</v>
      </c>
      <c r="C114" s="44" t="s">
        <v>83</v>
      </c>
      <c r="D114" s="86">
        <f t="shared" ref="D114:Q114" si="19">D92+D110</f>
        <v>11979.025</v>
      </c>
      <c r="E114" s="86">
        <f t="shared" si="19"/>
        <v>2505.0419999999999</v>
      </c>
      <c r="F114" s="86">
        <f t="shared" si="19"/>
        <v>-2001</v>
      </c>
      <c r="G114" s="86">
        <f t="shared" si="19"/>
        <v>0</v>
      </c>
      <c r="H114" s="86">
        <f t="shared" si="19"/>
        <v>-1</v>
      </c>
      <c r="I114" s="86">
        <f t="shared" si="19"/>
        <v>0</v>
      </c>
      <c r="J114" s="86">
        <f t="shared" si="19"/>
        <v>0</v>
      </c>
      <c r="K114" s="86">
        <f t="shared" si="19"/>
        <v>0</v>
      </c>
      <c r="L114" s="86">
        <f t="shared" si="19"/>
        <v>6503</v>
      </c>
      <c r="M114" s="86">
        <f t="shared" si="19"/>
        <v>734</v>
      </c>
      <c r="N114" s="86">
        <f t="shared" si="19"/>
        <v>0</v>
      </c>
      <c r="O114" s="86">
        <f t="shared" si="19"/>
        <v>0</v>
      </c>
      <c r="P114" s="86">
        <f t="shared" si="19"/>
        <v>0</v>
      </c>
      <c r="Q114" s="86">
        <f t="shared" si="19"/>
        <v>0</v>
      </c>
      <c r="R114" s="86">
        <f t="shared" si="15"/>
        <v>19719.066999999999</v>
      </c>
      <c r="S114" s="86"/>
      <c r="T114" s="86">
        <f>T92+T110</f>
        <v>0</v>
      </c>
      <c r="U114" s="86">
        <f>U92+U110</f>
        <v>0</v>
      </c>
      <c r="V114" s="87">
        <f>V92+V110</f>
        <v>0</v>
      </c>
      <c r="W114" s="476">
        <f>W92+W110</f>
        <v>0</v>
      </c>
      <c r="X114" s="477">
        <f t="shared" si="16"/>
        <v>0</v>
      </c>
      <c r="Y114" s="265">
        <f t="shared" si="17"/>
        <v>19719.066999999999</v>
      </c>
    </row>
    <row r="115" spans="1:25" ht="30" customHeight="1" thickTop="1" thickBot="1" x14ac:dyDescent="0.25">
      <c r="A115" s="42"/>
      <c r="B115" s="324">
        <v>43008</v>
      </c>
      <c r="C115" s="44" t="s">
        <v>141</v>
      </c>
      <c r="D115" s="255">
        <f t="shared" ref="D115:Q115" si="20">D72+D114</f>
        <v>1723092.0499999998</v>
      </c>
      <c r="E115" s="255">
        <f t="shared" si="20"/>
        <v>468996.70199999999</v>
      </c>
      <c r="F115" s="255">
        <f t="shared" si="20"/>
        <v>514842.53700000001</v>
      </c>
      <c r="G115" s="255">
        <f t="shared" si="20"/>
        <v>685</v>
      </c>
      <c r="H115" s="255">
        <f t="shared" si="20"/>
        <v>87740</v>
      </c>
      <c r="I115" s="255">
        <f t="shared" si="20"/>
        <v>0</v>
      </c>
      <c r="J115" s="255">
        <f t="shared" si="20"/>
        <v>0</v>
      </c>
      <c r="K115" s="255">
        <f t="shared" si="20"/>
        <v>0</v>
      </c>
      <c r="L115" s="255">
        <f t="shared" si="20"/>
        <v>187385</v>
      </c>
      <c r="M115" s="255">
        <f t="shared" si="20"/>
        <v>15134</v>
      </c>
      <c r="N115" s="255">
        <f t="shared" si="20"/>
        <v>0</v>
      </c>
      <c r="O115" s="255">
        <f t="shared" si="20"/>
        <v>5000</v>
      </c>
      <c r="P115" s="255">
        <f t="shared" si="20"/>
        <v>0</v>
      </c>
      <c r="Q115" s="255">
        <f t="shared" si="20"/>
        <v>0</v>
      </c>
      <c r="R115" s="255">
        <f>SUM(D115:Q115)</f>
        <v>3002875.2889999999</v>
      </c>
      <c r="S115" s="255"/>
      <c r="T115" s="255">
        <f>T72+T114</f>
        <v>0</v>
      </c>
      <c r="U115" s="255">
        <f>U72+U114</f>
        <v>0</v>
      </c>
      <c r="V115" s="255">
        <f>V72+V114</f>
        <v>0</v>
      </c>
      <c r="W115" s="316">
        <f>W72+W114</f>
        <v>0</v>
      </c>
      <c r="X115" s="410">
        <f t="shared" si="16"/>
        <v>0</v>
      </c>
      <c r="Y115" s="232">
        <f>R115+X115</f>
        <v>3002875.2889999999</v>
      </c>
    </row>
    <row r="116" spans="1:25" ht="29.25" hidden="1" customHeight="1" thickTop="1" x14ac:dyDescent="0.25">
      <c r="A116" s="133"/>
      <c r="B116" s="480" t="s">
        <v>166</v>
      </c>
      <c r="C116" s="134" t="s">
        <v>18</v>
      </c>
      <c r="D116" s="220">
        <f t="shared" ref="D116:W116" si="21">D115</f>
        <v>1723092.0499999998</v>
      </c>
      <c r="E116" s="220">
        <f t="shared" si="21"/>
        <v>468996.70199999999</v>
      </c>
      <c r="F116" s="220">
        <f t="shared" si="21"/>
        <v>514842.53700000001</v>
      </c>
      <c r="G116" s="220">
        <f t="shared" si="21"/>
        <v>685</v>
      </c>
      <c r="H116" s="220">
        <f t="shared" si="21"/>
        <v>87740</v>
      </c>
      <c r="I116" s="220">
        <f t="shared" si="21"/>
        <v>0</v>
      </c>
      <c r="J116" s="220">
        <f t="shared" si="21"/>
        <v>0</v>
      </c>
      <c r="K116" s="220">
        <f t="shared" si="21"/>
        <v>0</v>
      </c>
      <c r="L116" s="220">
        <f t="shared" si="21"/>
        <v>187385</v>
      </c>
      <c r="M116" s="220">
        <f t="shared" si="21"/>
        <v>15134</v>
      </c>
      <c r="N116" s="220">
        <f t="shared" si="21"/>
        <v>0</v>
      </c>
      <c r="O116" s="220">
        <f t="shared" si="21"/>
        <v>5000</v>
      </c>
      <c r="P116" s="220">
        <f t="shared" si="21"/>
        <v>0</v>
      </c>
      <c r="Q116" s="220">
        <f t="shared" si="21"/>
        <v>0</v>
      </c>
      <c r="R116" s="220">
        <f t="shared" si="15"/>
        <v>3002875.2889999999</v>
      </c>
      <c r="S116" s="220"/>
      <c r="T116" s="220">
        <f>T115</f>
        <v>0</v>
      </c>
      <c r="U116" s="220">
        <f>U115</f>
        <v>0</v>
      </c>
      <c r="V116" s="261">
        <f t="shared" si="21"/>
        <v>0</v>
      </c>
      <c r="W116" s="220">
        <f t="shared" si="21"/>
        <v>0</v>
      </c>
      <c r="X116" s="261">
        <f t="shared" si="16"/>
        <v>0</v>
      </c>
      <c r="Y116" s="262">
        <f t="shared" si="17"/>
        <v>3002875.2889999999</v>
      </c>
    </row>
    <row r="117" spans="1:25" ht="29.25" hidden="1" customHeight="1" x14ac:dyDescent="0.25">
      <c r="A117" s="18"/>
      <c r="B117" s="480"/>
      <c r="C117" s="534"/>
      <c r="D117" s="529"/>
      <c r="E117" s="529"/>
      <c r="F117" s="529"/>
      <c r="G117" s="529"/>
      <c r="H117" s="529"/>
      <c r="I117" s="529"/>
      <c r="J117" s="529"/>
      <c r="K117" s="529"/>
      <c r="L117" s="529"/>
      <c r="M117" s="529"/>
      <c r="N117" s="529"/>
      <c r="O117" s="529"/>
      <c r="P117" s="529"/>
      <c r="Q117" s="529"/>
      <c r="R117" s="529"/>
      <c r="S117" s="529"/>
      <c r="T117" s="529"/>
      <c r="U117" s="529"/>
      <c r="V117" s="531"/>
      <c r="W117" s="529"/>
      <c r="X117" s="531"/>
      <c r="Y117" s="331"/>
    </row>
    <row r="118" spans="1:25" ht="33.75" hidden="1" customHeight="1" x14ac:dyDescent="0.2">
      <c r="A118" s="82">
        <v>1</v>
      </c>
      <c r="B118" s="493"/>
      <c r="C118" s="41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>
        <f t="shared" si="15"/>
        <v>0</v>
      </c>
      <c r="S118" s="157"/>
      <c r="T118" s="157"/>
      <c r="U118" s="157"/>
      <c r="V118" s="163"/>
      <c r="W118" s="157"/>
      <c r="X118" s="163">
        <f t="shared" si="16"/>
        <v>0</v>
      </c>
      <c r="Y118" s="266">
        <f t="shared" si="17"/>
        <v>0</v>
      </c>
    </row>
    <row r="119" spans="1:25" ht="33.75" hidden="1" customHeight="1" x14ac:dyDescent="0.2">
      <c r="A119" s="224">
        <v>2</v>
      </c>
      <c r="B119" s="493"/>
      <c r="C119" s="41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>
        <f t="shared" si="15"/>
        <v>0</v>
      </c>
      <c r="S119" s="157"/>
      <c r="T119" s="157"/>
      <c r="U119" s="157"/>
      <c r="V119" s="163"/>
      <c r="W119" s="157"/>
      <c r="X119" s="163">
        <f t="shared" si="16"/>
        <v>0</v>
      </c>
      <c r="Y119" s="266">
        <f t="shared" si="17"/>
        <v>0</v>
      </c>
    </row>
    <row r="120" spans="1:25" ht="33.75" hidden="1" customHeight="1" x14ac:dyDescent="0.2">
      <c r="A120" s="82">
        <v>3</v>
      </c>
      <c r="B120" s="494"/>
      <c r="C120" s="41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>
        <f t="shared" si="15"/>
        <v>0</v>
      </c>
      <c r="S120" s="157"/>
      <c r="T120" s="157"/>
      <c r="U120" s="157"/>
      <c r="V120" s="163"/>
      <c r="W120" s="157"/>
      <c r="X120" s="163">
        <f t="shared" si="16"/>
        <v>0</v>
      </c>
      <c r="Y120" s="266">
        <f t="shared" si="17"/>
        <v>0</v>
      </c>
    </row>
    <row r="121" spans="1:25" ht="33.75" hidden="1" customHeight="1" x14ac:dyDescent="0.2">
      <c r="A121" s="224">
        <v>4</v>
      </c>
      <c r="B121" s="494"/>
      <c r="C121" s="41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>
        <f t="shared" si="15"/>
        <v>0</v>
      </c>
      <c r="S121" s="157"/>
      <c r="T121" s="157"/>
      <c r="U121" s="157"/>
      <c r="V121" s="163"/>
      <c r="W121" s="157"/>
      <c r="X121" s="163">
        <f t="shared" si="16"/>
        <v>0</v>
      </c>
      <c r="Y121" s="266">
        <f t="shared" si="17"/>
        <v>0</v>
      </c>
    </row>
    <row r="122" spans="1:25" ht="33.75" hidden="1" customHeight="1" x14ac:dyDescent="0.2">
      <c r="A122" s="82">
        <v>5</v>
      </c>
      <c r="B122" s="494"/>
      <c r="C122" s="41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>
        <f t="shared" si="15"/>
        <v>0</v>
      </c>
      <c r="S122" s="157"/>
      <c r="T122" s="157"/>
      <c r="U122" s="157"/>
      <c r="V122" s="163"/>
      <c r="W122" s="157"/>
      <c r="X122" s="163">
        <f t="shared" si="16"/>
        <v>0</v>
      </c>
      <c r="Y122" s="266">
        <f t="shared" si="17"/>
        <v>0</v>
      </c>
    </row>
    <row r="123" spans="1:25" ht="30.75" hidden="1" customHeight="1" x14ac:dyDescent="0.2">
      <c r="A123" s="82"/>
      <c r="B123" s="494"/>
      <c r="C123" s="41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63"/>
      <c r="W123" s="157"/>
      <c r="X123" s="163"/>
      <c r="Y123" s="266"/>
    </row>
    <row r="124" spans="1:25" ht="30.75" hidden="1" customHeight="1" x14ac:dyDescent="0.2">
      <c r="A124" s="82"/>
      <c r="B124" s="494"/>
      <c r="C124" s="41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63"/>
      <c r="W124" s="157"/>
      <c r="X124" s="163"/>
      <c r="Y124" s="266"/>
    </row>
    <row r="125" spans="1:25" ht="30.75" hidden="1" customHeight="1" x14ac:dyDescent="0.2">
      <c r="A125" s="82"/>
      <c r="B125" s="494"/>
      <c r="C125" s="41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63"/>
      <c r="W125" s="157"/>
      <c r="X125" s="163"/>
      <c r="Y125" s="266"/>
    </row>
    <row r="126" spans="1:25" ht="24" hidden="1" customHeight="1" x14ac:dyDescent="0.2">
      <c r="A126" s="82"/>
      <c r="B126" s="31"/>
      <c r="C126" s="41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63"/>
      <c r="W126" s="157"/>
      <c r="X126" s="163"/>
      <c r="Y126" s="266"/>
    </row>
    <row r="127" spans="1:25" ht="24" hidden="1" customHeight="1" x14ac:dyDescent="0.2">
      <c r="A127" s="210" t="s">
        <v>81</v>
      </c>
      <c r="B127" s="206"/>
      <c r="C127" s="211" t="s">
        <v>79</v>
      </c>
      <c r="D127" s="328">
        <f t="shared" ref="D127:W127" si="22">SUM(D118:D126)</f>
        <v>0</v>
      </c>
      <c r="E127" s="328">
        <f t="shared" si="22"/>
        <v>0</v>
      </c>
      <c r="F127" s="328">
        <f t="shared" si="22"/>
        <v>0</v>
      </c>
      <c r="G127" s="328">
        <f t="shared" si="22"/>
        <v>0</v>
      </c>
      <c r="H127" s="328">
        <f t="shared" si="22"/>
        <v>0</v>
      </c>
      <c r="I127" s="328">
        <f t="shared" si="22"/>
        <v>0</v>
      </c>
      <c r="J127" s="328">
        <f t="shared" si="22"/>
        <v>0</v>
      </c>
      <c r="K127" s="328">
        <f t="shared" si="22"/>
        <v>0</v>
      </c>
      <c r="L127" s="328">
        <f t="shared" si="22"/>
        <v>0</v>
      </c>
      <c r="M127" s="328">
        <f t="shared" si="22"/>
        <v>0</v>
      </c>
      <c r="N127" s="328">
        <f t="shared" si="22"/>
        <v>0</v>
      </c>
      <c r="O127" s="328">
        <f t="shared" si="22"/>
        <v>0</v>
      </c>
      <c r="P127" s="328">
        <f t="shared" si="22"/>
        <v>0</v>
      </c>
      <c r="Q127" s="328">
        <f t="shared" si="22"/>
        <v>0</v>
      </c>
      <c r="R127" s="328">
        <f t="shared" si="15"/>
        <v>0</v>
      </c>
      <c r="S127" s="328"/>
      <c r="T127" s="328">
        <f t="shared" si="22"/>
        <v>0</v>
      </c>
      <c r="U127" s="328">
        <f t="shared" si="22"/>
        <v>0</v>
      </c>
      <c r="V127" s="483">
        <f t="shared" si="22"/>
        <v>0</v>
      </c>
      <c r="W127" s="328">
        <f t="shared" si="22"/>
        <v>0</v>
      </c>
      <c r="X127" s="328">
        <f t="shared" si="16"/>
        <v>0</v>
      </c>
      <c r="Y127" s="328">
        <f t="shared" si="17"/>
        <v>0</v>
      </c>
    </row>
    <row r="128" spans="1:25" ht="30.75" hidden="1" customHeight="1" x14ac:dyDescent="0.2">
      <c r="A128" s="82"/>
      <c r="B128" s="32"/>
      <c r="C128" s="41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63"/>
      <c r="W128" s="157"/>
      <c r="X128" s="163"/>
      <c r="Y128" s="266"/>
    </row>
    <row r="129" spans="1:25" ht="33.75" hidden="1" customHeight="1" x14ac:dyDescent="0.2">
      <c r="A129" s="82" t="s">
        <v>108</v>
      </c>
      <c r="B129" s="228"/>
      <c r="C129" s="41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>
        <f t="shared" si="15"/>
        <v>0</v>
      </c>
      <c r="S129" s="157"/>
      <c r="T129" s="157"/>
      <c r="U129" s="157"/>
      <c r="V129" s="163"/>
      <c r="W129" s="157"/>
      <c r="X129" s="163">
        <f t="shared" si="16"/>
        <v>0</v>
      </c>
      <c r="Y129" s="266">
        <f t="shared" si="17"/>
        <v>0</v>
      </c>
    </row>
    <row r="130" spans="1:25" ht="33.75" hidden="1" customHeight="1" x14ac:dyDescent="0.2">
      <c r="A130" s="82" t="s">
        <v>108</v>
      </c>
      <c r="B130" s="228"/>
      <c r="C130" s="41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>
        <f t="shared" si="15"/>
        <v>0</v>
      </c>
      <c r="S130" s="157"/>
      <c r="T130" s="157"/>
      <c r="U130" s="157"/>
      <c r="V130" s="163"/>
      <c r="W130" s="157"/>
      <c r="X130" s="163">
        <f t="shared" si="16"/>
        <v>0</v>
      </c>
      <c r="Y130" s="266">
        <f t="shared" si="17"/>
        <v>0</v>
      </c>
    </row>
    <row r="131" spans="1:25" ht="33.75" hidden="1" customHeight="1" x14ac:dyDescent="0.2">
      <c r="A131" s="82" t="s">
        <v>108</v>
      </c>
      <c r="B131" s="228"/>
      <c r="C131" s="41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>
        <f t="shared" si="15"/>
        <v>0</v>
      </c>
      <c r="S131" s="157"/>
      <c r="T131" s="157"/>
      <c r="U131" s="157"/>
      <c r="V131" s="163"/>
      <c r="W131" s="157"/>
      <c r="X131" s="163">
        <f t="shared" ref="X131:X137" si="23">SUM(T131:W131)</f>
        <v>0</v>
      </c>
      <c r="Y131" s="266">
        <f t="shared" ref="Y131:Y137" si="24">R131+X131</f>
        <v>0</v>
      </c>
    </row>
    <row r="132" spans="1:25" ht="33.75" hidden="1" customHeight="1" x14ac:dyDescent="0.2">
      <c r="A132" s="82" t="s">
        <v>108</v>
      </c>
      <c r="B132" s="228"/>
      <c r="C132" s="41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>
        <f t="shared" si="15"/>
        <v>0</v>
      </c>
      <c r="S132" s="157"/>
      <c r="T132" s="157"/>
      <c r="U132" s="157"/>
      <c r="V132" s="163"/>
      <c r="W132" s="157"/>
      <c r="X132" s="163">
        <f t="shared" si="23"/>
        <v>0</v>
      </c>
      <c r="Y132" s="266">
        <f t="shared" si="24"/>
        <v>0</v>
      </c>
    </row>
    <row r="133" spans="1:25" ht="33.75" hidden="1" customHeight="1" x14ac:dyDescent="0.2">
      <c r="A133" s="82" t="s">
        <v>108</v>
      </c>
      <c r="B133" s="228"/>
      <c r="C133" s="41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>
        <f t="shared" si="15"/>
        <v>0</v>
      </c>
      <c r="S133" s="157"/>
      <c r="T133" s="157"/>
      <c r="U133" s="157"/>
      <c r="V133" s="163"/>
      <c r="W133" s="157"/>
      <c r="X133" s="163">
        <f t="shared" si="23"/>
        <v>0</v>
      </c>
      <c r="Y133" s="266">
        <f t="shared" si="24"/>
        <v>0</v>
      </c>
    </row>
    <row r="134" spans="1:25" ht="33.75" hidden="1" customHeight="1" x14ac:dyDescent="0.2">
      <c r="A134" s="82" t="s">
        <v>108</v>
      </c>
      <c r="B134" s="228"/>
      <c r="C134" s="41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>
        <f t="shared" si="15"/>
        <v>0</v>
      </c>
      <c r="S134" s="157"/>
      <c r="T134" s="157"/>
      <c r="U134" s="157"/>
      <c r="V134" s="163"/>
      <c r="W134" s="157"/>
      <c r="X134" s="163">
        <f t="shared" si="23"/>
        <v>0</v>
      </c>
      <c r="Y134" s="266">
        <f t="shared" si="24"/>
        <v>0</v>
      </c>
    </row>
    <row r="135" spans="1:25" ht="33.75" hidden="1" customHeight="1" x14ac:dyDescent="0.2">
      <c r="A135" s="82" t="s">
        <v>108</v>
      </c>
      <c r="B135" s="228"/>
      <c r="C135" s="41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>
        <f t="shared" si="15"/>
        <v>0</v>
      </c>
      <c r="S135" s="157"/>
      <c r="T135" s="157"/>
      <c r="U135" s="157"/>
      <c r="V135" s="163"/>
      <c r="W135" s="157"/>
      <c r="X135" s="163">
        <f t="shared" si="23"/>
        <v>0</v>
      </c>
      <c r="Y135" s="266">
        <f t="shared" si="24"/>
        <v>0</v>
      </c>
    </row>
    <row r="136" spans="1:25" ht="33.75" hidden="1" customHeight="1" x14ac:dyDescent="0.2">
      <c r="A136" s="82" t="s">
        <v>108</v>
      </c>
      <c r="B136" s="228"/>
      <c r="C136" s="41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>
        <f t="shared" si="15"/>
        <v>0</v>
      </c>
      <c r="S136" s="157"/>
      <c r="T136" s="157"/>
      <c r="U136" s="157"/>
      <c r="V136" s="163"/>
      <c r="W136" s="157"/>
      <c r="X136" s="163">
        <f t="shared" si="23"/>
        <v>0</v>
      </c>
      <c r="Y136" s="266">
        <f t="shared" si="24"/>
        <v>0</v>
      </c>
    </row>
    <row r="137" spans="1:25" ht="33.75" hidden="1" customHeight="1" x14ac:dyDescent="0.2">
      <c r="A137" s="82" t="s">
        <v>108</v>
      </c>
      <c r="B137" s="228"/>
      <c r="C137" s="41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>
        <f t="shared" si="15"/>
        <v>0</v>
      </c>
      <c r="S137" s="157"/>
      <c r="T137" s="157"/>
      <c r="U137" s="157"/>
      <c r="V137" s="163"/>
      <c r="W137" s="157"/>
      <c r="X137" s="163">
        <f t="shared" si="23"/>
        <v>0</v>
      </c>
      <c r="Y137" s="266">
        <f t="shared" si="24"/>
        <v>0</v>
      </c>
    </row>
    <row r="138" spans="1:25" ht="33.75" hidden="1" customHeight="1" x14ac:dyDescent="0.2">
      <c r="A138" s="82"/>
      <c r="B138" s="228"/>
      <c r="C138" s="41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63"/>
      <c r="W138" s="157"/>
      <c r="X138" s="163"/>
      <c r="Y138" s="266"/>
    </row>
    <row r="139" spans="1:25" ht="24" hidden="1" customHeight="1" x14ac:dyDescent="0.2">
      <c r="A139" s="82"/>
      <c r="B139" s="31"/>
      <c r="C139" s="41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63"/>
      <c r="W139" s="157"/>
      <c r="X139" s="163"/>
      <c r="Y139" s="326"/>
    </row>
    <row r="140" spans="1:25" ht="24" hidden="1" customHeight="1" x14ac:dyDescent="0.2">
      <c r="A140" s="210" t="s">
        <v>82</v>
      </c>
      <c r="B140" s="206"/>
      <c r="C140" s="211" t="s">
        <v>80</v>
      </c>
      <c r="D140" s="157">
        <f t="shared" ref="D140:Q140" si="25">SUM(D128:D139)</f>
        <v>0</v>
      </c>
      <c r="E140" s="157">
        <f t="shared" si="25"/>
        <v>0</v>
      </c>
      <c r="F140" s="157">
        <f t="shared" si="25"/>
        <v>0</v>
      </c>
      <c r="G140" s="157">
        <f t="shared" si="25"/>
        <v>0</v>
      </c>
      <c r="H140" s="157">
        <f t="shared" si="25"/>
        <v>0</v>
      </c>
      <c r="I140" s="157">
        <f t="shared" si="25"/>
        <v>0</v>
      </c>
      <c r="J140" s="157">
        <f t="shared" si="25"/>
        <v>0</v>
      </c>
      <c r="K140" s="157">
        <f t="shared" si="25"/>
        <v>0</v>
      </c>
      <c r="L140" s="157">
        <f t="shared" si="25"/>
        <v>0</v>
      </c>
      <c r="M140" s="157">
        <f t="shared" si="25"/>
        <v>0</v>
      </c>
      <c r="N140" s="157">
        <f t="shared" si="25"/>
        <v>0</v>
      </c>
      <c r="O140" s="157">
        <f t="shared" si="25"/>
        <v>0</v>
      </c>
      <c r="P140" s="157">
        <f t="shared" si="25"/>
        <v>0</v>
      </c>
      <c r="Q140" s="157">
        <f t="shared" si="25"/>
        <v>0</v>
      </c>
      <c r="R140" s="157">
        <f t="shared" si="15"/>
        <v>0</v>
      </c>
      <c r="S140" s="157"/>
      <c r="T140" s="157">
        <f>SUM(T128:T139)</f>
        <v>0</v>
      </c>
      <c r="U140" s="157">
        <f>SUM(U128:U139)</f>
        <v>0</v>
      </c>
      <c r="V140" s="163">
        <f>SUM(V128:V139)</f>
        <v>0</v>
      </c>
      <c r="W140" s="157">
        <f>SUM(W128:W139)</f>
        <v>0</v>
      </c>
      <c r="X140" s="163">
        <f t="shared" si="16"/>
        <v>0</v>
      </c>
      <c r="Y140" s="327">
        <f t="shared" si="17"/>
        <v>0</v>
      </c>
    </row>
    <row r="141" spans="1:25" ht="24" hidden="1" customHeight="1" thickBot="1" x14ac:dyDescent="0.25">
      <c r="A141" s="82"/>
      <c r="B141" s="31"/>
      <c r="C141" s="41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63"/>
      <c r="W141" s="157"/>
      <c r="X141" s="163"/>
      <c r="Y141" s="326"/>
    </row>
    <row r="142" spans="1:25" ht="30" hidden="1" customHeight="1" thickTop="1" thickBot="1" x14ac:dyDescent="0.25">
      <c r="A142" s="42"/>
      <c r="B142" s="324" t="s">
        <v>166</v>
      </c>
      <c r="C142" s="44" t="s">
        <v>83</v>
      </c>
      <c r="D142" s="486">
        <f t="shared" ref="D142:Q142" si="26">D127+D140</f>
        <v>0</v>
      </c>
      <c r="E142" s="486">
        <f t="shared" si="26"/>
        <v>0</v>
      </c>
      <c r="F142" s="486">
        <f t="shared" si="26"/>
        <v>0</v>
      </c>
      <c r="G142" s="486">
        <f t="shared" si="26"/>
        <v>0</v>
      </c>
      <c r="H142" s="486">
        <f t="shared" si="26"/>
        <v>0</v>
      </c>
      <c r="I142" s="486">
        <f t="shared" si="26"/>
        <v>0</v>
      </c>
      <c r="J142" s="486">
        <f t="shared" si="26"/>
        <v>0</v>
      </c>
      <c r="K142" s="486">
        <f t="shared" si="26"/>
        <v>0</v>
      </c>
      <c r="L142" s="486">
        <f t="shared" si="26"/>
        <v>0</v>
      </c>
      <c r="M142" s="486">
        <f t="shared" si="26"/>
        <v>0</v>
      </c>
      <c r="N142" s="486">
        <f t="shared" si="26"/>
        <v>0</v>
      </c>
      <c r="O142" s="486">
        <f t="shared" si="26"/>
        <v>0</v>
      </c>
      <c r="P142" s="486">
        <f t="shared" si="26"/>
        <v>0</v>
      </c>
      <c r="Q142" s="486">
        <f t="shared" si="26"/>
        <v>0</v>
      </c>
      <c r="R142" s="486">
        <f t="shared" si="15"/>
        <v>0</v>
      </c>
      <c r="S142" s="486"/>
      <c r="T142" s="486">
        <f>T127+T140</f>
        <v>0</v>
      </c>
      <c r="U142" s="486">
        <f>U127+U140</f>
        <v>0</v>
      </c>
      <c r="V142" s="487">
        <f>V127+V140</f>
        <v>0</v>
      </c>
      <c r="W142" s="486">
        <f>W127+W140</f>
        <v>0</v>
      </c>
      <c r="X142" s="487">
        <f t="shared" si="16"/>
        <v>0</v>
      </c>
      <c r="Y142" s="488">
        <f t="shared" si="17"/>
        <v>0</v>
      </c>
    </row>
    <row r="143" spans="1:25" ht="30" hidden="1" customHeight="1" thickTop="1" thickBot="1" x14ac:dyDescent="0.25">
      <c r="A143" s="42"/>
      <c r="B143" s="478" t="s">
        <v>167</v>
      </c>
      <c r="C143" s="44" t="s">
        <v>141</v>
      </c>
      <c r="D143" s="489">
        <f t="shared" ref="D143:Q143" si="27">D116+D142</f>
        <v>1723092.0499999998</v>
      </c>
      <c r="E143" s="495">
        <f t="shared" si="27"/>
        <v>468996.70199999999</v>
      </c>
      <c r="F143" s="489">
        <f t="shared" si="27"/>
        <v>514842.53700000001</v>
      </c>
      <c r="G143" s="489">
        <f t="shared" si="27"/>
        <v>685</v>
      </c>
      <c r="H143" s="489">
        <f t="shared" si="27"/>
        <v>87740</v>
      </c>
      <c r="I143" s="489">
        <f t="shared" si="27"/>
        <v>0</v>
      </c>
      <c r="J143" s="489">
        <f t="shared" si="27"/>
        <v>0</v>
      </c>
      <c r="K143" s="489">
        <f t="shared" si="27"/>
        <v>0</v>
      </c>
      <c r="L143" s="489">
        <f t="shared" si="27"/>
        <v>187385</v>
      </c>
      <c r="M143" s="489">
        <f t="shared" si="27"/>
        <v>15134</v>
      </c>
      <c r="N143" s="489">
        <f t="shared" si="27"/>
        <v>0</v>
      </c>
      <c r="O143" s="489">
        <f t="shared" si="27"/>
        <v>5000</v>
      </c>
      <c r="P143" s="489">
        <f t="shared" si="27"/>
        <v>0</v>
      </c>
      <c r="Q143" s="489">
        <f t="shared" si="27"/>
        <v>0</v>
      </c>
      <c r="R143" s="495">
        <f t="shared" si="15"/>
        <v>3002875.2889999999</v>
      </c>
      <c r="S143" s="489"/>
      <c r="T143" s="489">
        <f>T116+T142</f>
        <v>0</v>
      </c>
      <c r="U143" s="489">
        <f>U116+U142</f>
        <v>0</v>
      </c>
      <c r="V143" s="489">
        <f>V116+V142</f>
        <v>0</v>
      </c>
      <c r="W143" s="490">
        <f>W116+W142</f>
        <v>0</v>
      </c>
      <c r="X143" s="489">
        <f t="shared" si="16"/>
        <v>0</v>
      </c>
      <c r="Y143" s="505">
        <f t="shared" si="17"/>
        <v>3002875.2889999999</v>
      </c>
    </row>
    <row r="144" spans="1:25" ht="24" hidden="1" customHeight="1" thickTop="1" x14ac:dyDescent="0.25">
      <c r="A144" s="133"/>
      <c r="B144" s="516" t="s">
        <v>168</v>
      </c>
      <c r="C144" s="134" t="s">
        <v>18</v>
      </c>
      <c r="D144" s="220">
        <f t="shared" ref="D144:W144" si="28">D143</f>
        <v>1723092.0499999998</v>
      </c>
      <c r="E144" s="496">
        <f t="shared" si="28"/>
        <v>468996.70199999999</v>
      </c>
      <c r="F144" s="220">
        <f t="shared" si="28"/>
        <v>514842.53700000001</v>
      </c>
      <c r="G144" s="220">
        <f t="shared" si="28"/>
        <v>685</v>
      </c>
      <c r="H144" s="220">
        <f t="shared" si="28"/>
        <v>87740</v>
      </c>
      <c r="I144" s="220">
        <f t="shared" si="28"/>
        <v>0</v>
      </c>
      <c r="J144" s="220">
        <f t="shared" si="28"/>
        <v>0</v>
      </c>
      <c r="K144" s="220">
        <f t="shared" si="28"/>
        <v>0</v>
      </c>
      <c r="L144" s="220">
        <f t="shared" si="28"/>
        <v>187385</v>
      </c>
      <c r="M144" s="220">
        <f t="shared" si="28"/>
        <v>15134</v>
      </c>
      <c r="N144" s="220">
        <f t="shared" si="28"/>
        <v>0</v>
      </c>
      <c r="O144" s="220">
        <f t="shared" si="28"/>
        <v>5000</v>
      </c>
      <c r="P144" s="220">
        <f t="shared" si="28"/>
        <v>0</v>
      </c>
      <c r="Q144" s="220">
        <f t="shared" si="28"/>
        <v>0</v>
      </c>
      <c r="R144" s="496">
        <f t="shared" si="15"/>
        <v>3002875.2889999999</v>
      </c>
      <c r="S144" s="220"/>
      <c r="T144" s="220">
        <f>T143</f>
        <v>0</v>
      </c>
      <c r="U144" s="220">
        <f>U143</f>
        <v>0</v>
      </c>
      <c r="V144" s="261">
        <f t="shared" si="28"/>
        <v>0</v>
      </c>
      <c r="W144" s="220">
        <f t="shared" si="28"/>
        <v>0</v>
      </c>
      <c r="X144" s="261">
        <f t="shared" si="16"/>
        <v>0</v>
      </c>
      <c r="Y144" s="506">
        <f t="shared" si="17"/>
        <v>3002875.2889999999</v>
      </c>
    </row>
    <row r="145" spans="1:25" ht="33.75" hidden="1" customHeight="1" x14ac:dyDescent="0.2">
      <c r="A145" s="224"/>
      <c r="B145" s="330"/>
      <c r="C145" s="28"/>
      <c r="D145" s="162"/>
      <c r="E145" s="162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62"/>
      <c r="S145" s="157"/>
      <c r="T145" s="157"/>
      <c r="U145" s="157"/>
      <c r="V145" s="163"/>
      <c r="W145" s="157"/>
      <c r="X145" s="163"/>
      <c r="Y145" s="507">
        <f t="shared" si="17"/>
        <v>0</v>
      </c>
    </row>
    <row r="146" spans="1:25" ht="33.75" hidden="1" customHeight="1" x14ac:dyDescent="0.2">
      <c r="A146" s="224">
        <v>1</v>
      </c>
      <c r="B146" s="330"/>
      <c r="C146" s="28"/>
      <c r="D146" s="162"/>
      <c r="E146" s="162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62">
        <f t="shared" si="15"/>
        <v>0</v>
      </c>
      <c r="S146" s="157"/>
      <c r="T146" s="157"/>
      <c r="U146" s="157"/>
      <c r="V146" s="163"/>
      <c r="W146" s="157"/>
      <c r="X146" s="163">
        <f t="shared" si="16"/>
        <v>0</v>
      </c>
      <c r="Y146" s="507">
        <f t="shared" si="17"/>
        <v>0</v>
      </c>
    </row>
    <row r="147" spans="1:25" ht="33.75" hidden="1" customHeight="1" x14ac:dyDescent="0.2">
      <c r="A147" s="82">
        <v>2</v>
      </c>
      <c r="B147" s="120"/>
      <c r="C147" s="28"/>
      <c r="D147" s="162"/>
      <c r="E147" s="162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62">
        <f t="shared" si="15"/>
        <v>0</v>
      </c>
      <c r="S147" s="157"/>
      <c r="T147" s="157"/>
      <c r="U147" s="157"/>
      <c r="V147" s="163"/>
      <c r="W147" s="157"/>
      <c r="X147" s="163">
        <f t="shared" si="16"/>
        <v>0</v>
      </c>
      <c r="Y147" s="507">
        <f t="shared" si="17"/>
        <v>0</v>
      </c>
    </row>
    <row r="148" spans="1:25" ht="24" hidden="1" customHeight="1" x14ac:dyDescent="0.2">
      <c r="A148" s="82">
        <v>3</v>
      </c>
      <c r="B148" s="229"/>
      <c r="C148" s="33"/>
      <c r="D148" s="157"/>
      <c r="E148" s="162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62">
        <f t="shared" si="15"/>
        <v>0</v>
      </c>
      <c r="S148" s="157"/>
      <c r="T148" s="157"/>
      <c r="U148" s="157"/>
      <c r="V148" s="163"/>
      <c r="W148" s="157"/>
      <c r="X148" s="163">
        <f t="shared" si="16"/>
        <v>0</v>
      </c>
      <c r="Y148" s="507">
        <f t="shared" si="17"/>
        <v>0</v>
      </c>
    </row>
    <row r="149" spans="1:25" ht="33.75" hidden="1" customHeight="1" x14ac:dyDescent="0.2">
      <c r="A149" s="82"/>
      <c r="B149" s="229"/>
      <c r="C149" s="33"/>
      <c r="D149" s="157"/>
      <c r="E149" s="162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62"/>
      <c r="S149" s="157"/>
      <c r="T149" s="157"/>
      <c r="U149" s="157"/>
      <c r="V149" s="163"/>
      <c r="W149" s="157"/>
      <c r="X149" s="163"/>
      <c r="Y149" s="507"/>
    </row>
    <row r="150" spans="1:25" ht="33.75" hidden="1" customHeight="1" x14ac:dyDescent="0.2">
      <c r="A150" s="82"/>
      <c r="B150" s="30"/>
      <c r="C150" s="28"/>
      <c r="D150" s="157"/>
      <c r="E150" s="162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62"/>
      <c r="S150" s="157"/>
      <c r="T150" s="157"/>
      <c r="U150" s="157"/>
      <c r="V150" s="163"/>
      <c r="W150" s="157"/>
      <c r="X150" s="163"/>
      <c r="Y150" s="507">
        <f t="shared" si="17"/>
        <v>0</v>
      </c>
    </row>
    <row r="151" spans="1:25" ht="9.9499999999999993" hidden="1" customHeight="1" x14ac:dyDescent="0.2">
      <c r="A151" s="82"/>
      <c r="B151" s="30"/>
      <c r="C151" s="28"/>
      <c r="D151" s="157"/>
      <c r="E151" s="162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62"/>
      <c r="S151" s="157"/>
      <c r="T151" s="157"/>
      <c r="U151" s="157"/>
      <c r="V151" s="163"/>
      <c r="W151" s="157"/>
      <c r="X151" s="163"/>
      <c r="Y151" s="507"/>
    </row>
    <row r="152" spans="1:25" ht="20.100000000000001" hidden="1" customHeight="1" x14ac:dyDescent="0.2">
      <c r="A152" s="210" t="s">
        <v>81</v>
      </c>
      <c r="B152" s="206"/>
      <c r="C152" s="211" t="s">
        <v>79</v>
      </c>
      <c r="D152" s="157">
        <f t="shared" ref="D152:W152" si="29">SUM(D145:D151)</f>
        <v>0</v>
      </c>
      <c r="E152" s="162">
        <f t="shared" si="29"/>
        <v>0</v>
      </c>
      <c r="F152" s="157">
        <f t="shared" si="29"/>
        <v>0</v>
      </c>
      <c r="G152" s="157">
        <f t="shared" si="29"/>
        <v>0</v>
      </c>
      <c r="H152" s="157">
        <f t="shared" si="29"/>
        <v>0</v>
      </c>
      <c r="I152" s="157">
        <f t="shared" si="29"/>
        <v>0</v>
      </c>
      <c r="J152" s="157">
        <f t="shared" si="29"/>
        <v>0</v>
      </c>
      <c r="K152" s="157">
        <f t="shared" si="29"/>
        <v>0</v>
      </c>
      <c r="L152" s="157">
        <f t="shared" si="29"/>
        <v>0</v>
      </c>
      <c r="M152" s="157">
        <f t="shared" si="29"/>
        <v>0</v>
      </c>
      <c r="N152" s="157">
        <f t="shared" si="29"/>
        <v>0</v>
      </c>
      <c r="O152" s="157">
        <f t="shared" si="29"/>
        <v>0</v>
      </c>
      <c r="P152" s="157">
        <f t="shared" si="29"/>
        <v>0</v>
      </c>
      <c r="Q152" s="157">
        <f t="shared" si="29"/>
        <v>0</v>
      </c>
      <c r="R152" s="162">
        <f t="shared" si="15"/>
        <v>0</v>
      </c>
      <c r="S152" s="157"/>
      <c r="T152" s="157">
        <f t="shared" si="29"/>
        <v>0</v>
      </c>
      <c r="U152" s="157">
        <f t="shared" si="29"/>
        <v>0</v>
      </c>
      <c r="V152" s="163">
        <f t="shared" si="29"/>
        <v>0</v>
      </c>
      <c r="W152" s="157">
        <f t="shared" si="29"/>
        <v>0</v>
      </c>
      <c r="X152" s="163">
        <f t="shared" si="16"/>
        <v>0</v>
      </c>
      <c r="Y152" s="507">
        <f t="shared" si="17"/>
        <v>0</v>
      </c>
    </row>
    <row r="153" spans="1:25" ht="33.75" hidden="1" customHeight="1" x14ac:dyDescent="0.2">
      <c r="A153" s="224"/>
      <c r="B153" s="226"/>
      <c r="C153" s="41"/>
      <c r="D153" s="157"/>
      <c r="E153" s="162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62"/>
      <c r="S153" s="157"/>
      <c r="T153" s="157"/>
      <c r="U153" s="157"/>
      <c r="V153" s="163"/>
      <c r="W153" s="157"/>
      <c r="X153" s="163"/>
      <c r="Y153" s="507">
        <f t="shared" si="17"/>
        <v>0</v>
      </c>
    </row>
    <row r="154" spans="1:25" ht="33.75" hidden="1" customHeight="1" x14ac:dyDescent="0.2">
      <c r="A154" s="224" t="s">
        <v>108</v>
      </c>
      <c r="B154" s="226"/>
      <c r="C154" s="41"/>
      <c r="D154" s="157"/>
      <c r="E154" s="162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62">
        <f t="shared" si="15"/>
        <v>0</v>
      </c>
      <c r="S154" s="157"/>
      <c r="T154" s="157"/>
      <c r="U154" s="157"/>
      <c r="V154" s="163"/>
      <c r="W154" s="157"/>
      <c r="X154" s="163">
        <f t="shared" si="16"/>
        <v>0</v>
      </c>
      <c r="Y154" s="507">
        <f t="shared" si="17"/>
        <v>0</v>
      </c>
    </row>
    <row r="155" spans="1:25" ht="33.75" hidden="1" customHeight="1" x14ac:dyDescent="0.2">
      <c r="A155" s="224" t="s">
        <v>108</v>
      </c>
      <c r="B155" s="226"/>
      <c r="C155" s="41"/>
      <c r="D155" s="157"/>
      <c r="E155" s="162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62">
        <f t="shared" si="15"/>
        <v>0</v>
      </c>
      <c r="S155" s="157"/>
      <c r="T155" s="157"/>
      <c r="U155" s="157"/>
      <c r="V155" s="163"/>
      <c r="W155" s="157"/>
      <c r="X155" s="163">
        <f t="shared" si="16"/>
        <v>0</v>
      </c>
      <c r="Y155" s="507">
        <f t="shared" si="17"/>
        <v>0</v>
      </c>
    </row>
    <row r="156" spans="1:25" ht="33.75" hidden="1" customHeight="1" x14ac:dyDescent="0.2">
      <c r="A156" s="224" t="s">
        <v>108</v>
      </c>
      <c r="B156" s="226"/>
      <c r="C156" s="41"/>
      <c r="D156" s="157"/>
      <c r="E156" s="162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62">
        <f t="shared" si="15"/>
        <v>0</v>
      </c>
      <c r="S156" s="157"/>
      <c r="T156" s="157"/>
      <c r="U156" s="157"/>
      <c r="V156" s="163"/>
      <c r="W156" s="157"/>
      <c r="X156" s="163">
        <f t="shared" si="16"/>
        <v>0</v>
      </c>
      <c r="Y156" s="507">
        <f t="shared" si="17"/>
        <v>0</v>
      </c>
    </row>
    <row r="157" spans="1:25" ht="33.75" hidden="1" customHeight="1" x14ac:dyDescent="0.2">
      <c r="A157" s="224" t="s">
        <v>108</v>
      </c>
      <c r="B157" s="226"/>
      <c r="C157" s="41"/>
      <c r="D157" s="157"/>
      <c r="E157" s="162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62">
        <f t="shared" si="15"/>
        <v>0</v>
      </c>
      <c r="S157" s="157"/>
      <c r="T157" s="157"/>
      <c r="U157" s="157"/>
      <c r="V157" s="163"/>
      <c r="W157" s="157"/>
      <c r="X157" s="163">
        <f t="shared" si="16"/>
        <v>0</v>
      </c>
      <c r="Y157" s="507">
        <f t="shared" si="17"/>
        <v>0</v>
      </c>
    </row>
    <row r="158" spans="1:25" ht="33.75" hidden="1" customHeight="1" x14ac:dyDescent="0.2">
      <c r="A158" s="224"/>
      <c r="B158" s="226"/>
      <c r="C158" s="41"/>
      <c r="D158" s="157"/>
      <c r="E158" s="162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62"/>
      <c r="S158" s="157"/>
      <c r="T158" s="157"/>
      <c r="U158" s="157"/>
      <c r="V158" s="163"/>
      <c r="W158" s="157"/>
      <c r="X158" s="163"/>
      <c r="Y158" s="507">
        <f t="shared" si="17"/>
        <v>0</v>
      </c>
    </row>
    <row r="159" spans="1:25" ht="33.75" hidden="1" customHeight="1" x14ac:dyDescent="0.2">
      <c r="A159" s="82"/>
      <c r="B159" s="32"/>
      <c r="C159" s="34"/>
      <c r="D159" s="157"/>
      <c r="E159" s="162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62"/>
      <c r="S159" s="157"/>
      <c r="T159" s="157"/>
      <c r="U159" s="157"/>
      <c r="V159" s="163"/>
      <c r="W159" s="157"/>
      <c r="X159" s="163"/>
      <c r="Y159" s="507">
        <f t="shared" si="17"/>
        <v>0</v>
      </c>
    </row>
    <row r="160" spans="1:25" ht="9.9499999999999993" hidden="1" customHeight="1" x14ac:dyDescent="0.2">
      <c r="A160" s="82"/>
      <c r="B160" s="126"/>
      <c r="C160" s="41"/>
      <c r="D160" s="157"/>
      <c r="E160" s="162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62"/>
      <c r="S160" s="157"/>
      <c r="T160" s="157"/>
      <c r="U160" s="157"/>
      <c r="V160" s="163"/>
      <c r="W160" s="157"/>
      <c r="X160" s="163"/>
      <c r="Y160" s="507"/>
    </row>
    <row r="161" spans="1:26" ht="20.100000000000001" hidden="1" customHeight="1" x14ac:dyDescent="0.2">
      <c r="A161" s="210" t="s">
        <v>82</v>
      </c>
      <c r="B161" s="206"/>
      <c r="C161" s="211" t="s">
        <v>80</v>
      </c>
      <c r="D161" s="157">
        <f t="shared" ref="D161:W161" si="30">SUM(D153:D160)</f>
        <v>0</v>
      </c>
      <c r="E161" s="162">
        <f t="shared" si="30"/>
        <v>0</v>
      </c>
      <c r="F161" s="157">
        <f t="shared" si="30"/>
        <v>0</v>
      </c>
      <c r="G161" s="157">
        <f t="shared" si="30"/>
        <v>0</v>
      </c>
      <c r="H161" s="157">
        <f t="shared" si="30"/>
        <v>0</v>
      </c>
      <c r="I161" s="157">
        <f t="shared" si="30"/>
        <v>0</v>
      </c>
      <c r="J161" s="157">
        <f t="shared" si="30"/>
        <v>0</v>
      </c>
      <c r="K161" s="157">
        <f t="shared" si="30"/>
        <v>0</v>
      </c>
      <c r="L161" s="157">
        <f t="shared" si="30"/>
        <v>0</v>
      </c>
      <c r="M161" s="157">
        <f t="shared" si="30"/>
        <v>0</v>
      </c>
      <c r="N161" s="157">
        <f t="shared" si="30"/>
        <v>0</v>
      </c>
      <c r="O161" s="157">
        <f t="shared" si="30"/>
        <v>0</v>
      </c>
      <c r="P161" s="157">
        <f t="shared" si="30"/>
        <v>0</v>
      </c>
      <c r="Q161" s="157">
        <f t="shared" si="30"/>
        <v>0</v>
      </c>
      <c r="R161" s="162">
        <f t="shared" ref="R161:R228" si="31">SUM(D161:Q161)</f>
        <v>0</v>
      </c>
      <c r="S161" s="157"/>
      <c r="T161" s="157">
        <f t="shared" si="30"/>
        <v>0</v>
      </c>
      <c r="U161" s="157">
        <f t="shared" si="30"/>
        <v>0</v>
      </c>
      <c r="V161" s="163">
        <f t="shared" si="30"/>
        <v>0</v>
      </c>
      <c r="W161" s="157">
        <f t="shared" si="30"/>
        <v>0</v>
      </c>
      <c r="X161" s="163">
        <f t="shared" ref="X161:X228" si="32">SUM(T161:W161)</f>
        <v>0</v>
      </c>
      <c r="Y161" s="507">
        <f t="shared" ref="Y161:Y228" si="33">R161+X161</f>
        <v>0</v>
      </c>
    </row>
    <row r="162" spans="1:26" ht="9.9499999999999993" hidden="1" customHeight="1" x14ac:dyDescent="0.2">
      <c r="A162" s="82"/>
      <c r="B162" s="126"/>
      <c r="C162" s="41"/>
      <c r="D162" s="157"/>
      <c r="E162" s="162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62"/>
      <c r="S162" s="157"/>
      <c r="T162" s="157"/>
      <c r="U162" s="157"/>
      <c r="V162" s="163"/>
      <c r="W162" s="157"/>
      <c r="X162" s="163"/>
      <c r="Y162" s="507"/>
    </row>
    <row r="163" spans="1:26" ht="24" hidden="1" customHeight="1" thickBot="1" x14ac:dyDescent="0.25">
      <c r="A163" s="82"/>
      <c r="B163" s="89"/>
      <c r="C163" s="41"/>
      <c r="D163" s="157"/>
      <c r="E163" s="162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62"/>
      <c r="S163" s="157"/>
      <c r="T163" s="157"/>
      <c r="U163" s="157"/>
      <c r="V163" s="163"/>
      <c r="W163" s="157"/>
      <c r="X163" s="163"/>
      <c r="Y163" s="507"/>
    </row>
    <row r="164" spans="1:26" ht="30" hidden="1" customHeight="1" thickTop="1" thickBot="1" x14ac:dyDescent="0.25">
      <c r="A164" s="42"/>
      <c r="B164" s="259" t="s">
        <v>169</v>
      </c>
      <c r="C164" s="44" t="s">
        <v>83</v>
      </c>
      <c r="D164" s="164">
        <f t="shared" ref="D164:Q164" si="34">D152+D161</f>
        <v>0</v>
      </c>
      <c r="E164" s="484">
        <f t="shared" si="34"/>
        <v>0</v>
      </c>
      <c r="F164" s="164">
        <f t="shared" si="34"/>
        <v>0</v>
      </c>
      <c r="G164" s="164">
        <f t="shared" si="34"/>
        <v>0</v>
      </c>
      <c r="H164" s="164">
        <f t="shared" si="34"/>
        <v>0</v>
      </c>
      <c r="I164" s="164">
        <f t="shared" si="34"/>
        <v>0</v>
      </c>
      <c r="J164" s="164">
        <f t="shared" si="34"/>
        <v>0</v>
      </c>
      <c r="K164" s="164">
        <f t="shared" si="34"/>
        <v>0</v>
      </c>
      <c r="L164" s="164">
        <f t="shared" si="34"/>
        <v>0</v>
      </c>
      <c r="M164" s="164">
        <f t="shared" si="34"/>
        <v>0</v>
      </c>
      <c r="N164" s="164">
        <f t="shared" si="34"/>
        <v>0</v>
      </c>
      <c r="O164" s="164">
        <f t="shared" si="34"/>
        <v>0</v>
      </c>
      <c r="P164" s="164">
        <f t="shared" si="34"/>
        <v>0</v>
      </c>
      <c r="Q164" s="164">
        <f t="shared" si="34"/>
        <v>0</v>
      </c>
      <c r="R164" s="484">
        <f t="shared" si="31"/>
        <v>0</v>
      </c>
      <c r="S164" s="164"/>
      <c r="T164" s="164">
        <f>T152+T161</f>
        <v>0</v>
      </c>
      <c r="U164" s="164">
        <f>U152+U161</f>
        <v>0</v>
      </c>
      <c r="V164" s="166">
        <f>V152+V161</f>
        <v>0</v>
      </c>
      <c r="W164" s="164">
        <f>W152+W161</f>
        <v>0</v>
      </c>
      <c r="X164" s="166">
        <f t="shared" si="32"/>
        <v>0</v>
      </c>
      <c r="Y164" s="508">
        <f t="shared" si="33"/>
        <v>0</v>
      </c>
    </row>
    <row r="165" spans="1:26" ht="30" hidden="1" customHeight="1" thickTop="1" thickBot="1" x14ac:dyDescent="0.25">
      <c r="A165" s="42"/>
      <c r="B165" s="522" t="s">
        <v>168</v>
      </c>
      <c r="C165" s="44" t="s">
        <v>141</v>
      </c>
      <c r="D165" s="515">
        <f t="shared" ref="D165:Q165" si="35">D144+D164</f>
        <v>1723092.0499999998</v>
      </c>
      <c r="E165" s="519">
        <f t="shared" si="35"/>
        <v>468996.70199999999</v>
      </c>
      <c r="F165" s="515">
        <f t="shared" si="35"/>
        <v>514842.53700000001</v>
      </c>
      <c r="G165" s="515">
        <f t="shared" si="35"/>
        <v>685</v>
      </c>
      <c r="H165" s="515">
        <f t="shared" si="35"/>
        <v>87740</v>
      </c>
      <c r="I165" s="515">
        <f t="shared" si="35"/>
        <v>0</v>
      </c>
      <c r="J165" s="515">
        <f t="shared" si="35"/>
        <v>0</v>
      </c>
      <c r="K165" s="515">
        <f t="shared" si="35"/>
        <v>0</v>
      </c>
      <c r="L165" s="515">
        <f t="shared" si="35"/>
        <v>187385</v>
      </c>
      <c r="M165" s="515">
        <f t="shared" si="35"/>
        <v>15134</v>
      </c>
      <c r="N165" s="515">
        <f t="shared" si="35"/>
        <v>0</v>
      </c>
      <c r="O165" s="515">
        <f t="shared" si="35"/>
        <v>5000</v>
      </c>
      <c r="P165" s="515">
        <f t="shared" si="35"/>
        <v>0</v>
      </c>
      <c r="Q165" s="515">
        <f t="shared" si="35"/>
        <v>0</v>
      </c>
      <c r="R165" s="519">
        <f t="shared" si="31"/>
        <v>3002875.2889999999</v>
      </c>
      <c r="S165" s="515"/>
      <c r="T165" s="515">
        <f>T144+T164</f>
        <v>0</v>
      </c>
      <c r="U165" s="515">
        <f>U144+U164</f>
        <v>0</v>
      </c>
      <c r="V165" s="515">
        <f>V144+V164</f>
        <v>0</v>
      </c>
      <c r="W165" s="520">
        <f>W144+W164</f>
        <v>0</v>
      </c>
      <c r="X165" s="515">
        <f t="shared" si="32"/>
        <v>0</v>
      </c>
      <c r="Y165" s="518">
        <f t="shared" si="33"/>
        <v>3002875.2889999999</v>
      </c>
      <c r="Z165" s="132">
        <f>Y165-W165</f>
        <v>3002875.2889999999</v>
      </c>
    </row>
    <row r="166" spans="1:26" ht="24.95" hidden="1" customHeight="1" thickTop="1" x14ac:dyDescent="0.25">
      <c r="A166" s="521"/>
      <c r="B166" s="480" t="s">
        <v>172</v>
      </c>
      <c r="C166" s="134" t="s">
        <v>18</v>
      </c>
      <c r="D166" s="220">
        <f t="shared" ref="D166:W166" si="36">D165</f>
        <v>1723092.0499999998</v>
      </c>
      <c r="E166" s="496">
        <f t="shared" si="36"/>
        <v>468996.70199999999</v>
      </c>
      <c r="F166" s="220">
        <f t="shared" si="36"/>
        <v>514842.53700000001</v>
      </c>
      <c r="G166" s="220">
        <f t="shared" si="36"/>
        <v>685</v>
      </c>
      <c r="H166" s="220">
        <f t="shared" si="36"/>
        <v>87740</v>
      </c>
      <c r="I166" s="220">
        <f t="shared" si="36"/>
        <v>0</v>
      </c>
      <c r="J166" s="220">
        <f t="shared" si="36"/>
        <v>0</v>
      </c>
      <c r="K166" s="220">
        <f t="shared" si="36"/>
        <v>0</v>
      </c>
      <c r="L166" s="220">
        <f t="shared" si="36"/>
        <v>187385</v>
      </c>
      <c r="M166" s="220">
        <f t="shared" si="36"/>
        <v>15134</v>
      </c>
      <c r="N166" s="220">
        <f t="shared" si="36"/>
        <v>0</v>
      </c>
      <c r="O166" s="220">
        <f t="shared" si="36"/>
        <v>5000</v>
      </c>
      <c r="P166" s="220">
        <f t="shared" si="36"/>
        <v>0</v>
      </c>
      <c r="Q166" s="220">
        <f t="shared" si="36"/>
        <v>0</v>
      </c>
      <c r="R166" s="496">
        <f t="shared" si="31"/>
        <v>3002875.2889999999</v>
      </c>
      <c r="S166" s="220"/>
      <c r="T166" s="220">
        <f>T165</f>
        <v>0</v>
      </c>
      <c r="U166" s="220">
        <f>U165</f>
        <v>0</v>
      </c>
      <c r="V166" s="261">
        <f t="shared" si="36"/>
        <v>0</v>
      </c>
      <c r="W166" s="220">
        <f t="shared" si="36"/>
        <v>0</v>
      </c>
      <c r="X166" s="261">
        <f t="shared" si="32"/>
        <v>0</v>
      </c>
      <c r="Y166" s="506">
        <f t="shared" si="33"/>
        <v>3002875.2889999999</v>
      </c>
      <c r="Z166" s="132"/>
    </row>
    <row r="167" spans="1:26" ht="33.75" hidden="1" customHeight="1" x14ac:dyDescent="0.25">
      <c r="A167" s="527"/>
      <c r="B167" s="184"/>
      <c r="C167" s="528"/>
      <c r="D167" s="529"/>
      <c r="E167" s="530"/>
      <c r="F167" s="529"/>
      <c r="G167" s="529"/>
      <c r="H167" s="529"/>
      <c r="I167" s="529"/>
      <c r="J167" s="529"/>
      <c r="K167" s="529"/>
      <c r="L167" s="529"/>
      <c r="M167" s="529"/>
      <c r="N167" s="529"/>
      <c r="O167" s="529"/>
      <c r="P167" s="529"/>
      <c r="Q167" s="529"/>
      <c r="R167" s="530"/>
      <c r="S167" s="529"/>
      <c r="T167" s="529"/>
      <c r="U167" s="529"/>
      <c r="V167" s="531"/>
      <c r="W167" s="529"/>
      <c r="X167" s="531"/>
      <c r="Y167" s="532"/>
      <c r="Z167" s="132"/>
    </row>
    <row r="168" spans="1:26" ht="33.75" hidden="1" customHeight="1" x14ac:dyDescent="0.2">
      <c r="A168" s="224">
        <v>1</v>
      </c>
      <c r="B168" s="524"/>
      <c r="C168" s="28"/>
      <c r="D168" s="162"/>
      <c r="E168" s="162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62">
        <f t="shared" si="31"/>
        <v>0</v>
      </c>
      <c r="S168" s="157"/>
      <c r="T168" s="157"/>
      <c r="U168" s="157"/>
      <c r="V168" s="163"/>
      <c r="W168" s="157"/>
      <c r="X168" s="163">
        <f t="shared" si="32"/>
        <v>0</v>
      </c>
      <c r="Y168" s="507">
        <f t="shared" si="33"/>
        <v>0</v>
      </c>
      <c r="Z168" s="132"/>
    </row>
    <row r="169" spans="1:26" ht="33.75" hidden="1" customHeight="1" x14ac:dyDescent="0.2">
      <c r="A169" s="224">
        <v>2</v>
      </c>
      <c r="B169" s="523"/>
      <c r="C169" s="28"/>
      <c r="D169" s="162"/>
      <c r="E169" s="162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62">
        <f t="shared" si="31"/>
        <v>0</v>
      </c>
      <c r="S169" s="157"/>
      <c r="T169" s="157"/>
      <c r="U169" s="157"/>
      <c r="V169" s="163"/>
      <c r="W169" s="157"/>
      <c r="X169" s="163">
        <f t="shared" si="32"/>
        <v>0</v>
      </c>
      <c r="Y169" s="507">
        <f t="shared" si="33"/>
        <v>0</v>
      </c>
      <c r="Z169" s="132"/>
    </row>
    <row r="170" spans="1:26" ht="33.75" hidden="1" customHeight="1" x14ac:dyDescent="0.2">
      <c r="A170" s="224">
        <v>3</v>
      </c>
      <c r="B170" s="523"/>
      <c r="C170" s="28"/>
      <c r="D170" s="162"/>
      <c r="E170" s="162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62">
        <f t="shared" si="31"/>
        <v>0</v>
      </c>
      <c r="S170" s="157"/>
      <c r="T170" s="157"/>
      <c r="U170" s="157"/>
      <c r="V170" s="163"/>
      <c r="W170" s="157"/>
      <c r="X170" s="163">
        <f t="shared" si="32"/>
        <v>0</v>
      </c>
      <c r="Y170" s="507">
        <f t="shared" si="33"/>
        <v>0</v>
      </c>
      <c r="Z170" s="132"/>
    </row>
    <row r="171" spans="1:26" ht="33.75" hidden="1" customHeight="1" x14ac:dyDescent="0.2">
      <c r="A171" s="224"/>
      <c r="B171" s="229"/>
      <c r="C171" s="33"/>
      <c r="D171" s="157"/>
      <c r="E171" s="162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62">
        <f t="shared" si="31"/>
        <v>0</v>
      </c>
      <c r="S171" s="157"/>
      <c r="T171" s="157"/>
      <c r="U171" s="157"/>
      <c r="V171" s="163"/>
      <c r="W171" s="157"/>
      <c r="X171" s="163">
        <f t="shared" si="32"/>
        <v>0</v>
      </c>
      <c r="Y171" s="507">
        <f t="shared" si="33"/>
        <v>0</v>
      </c>
      <c r="Z171" s="132"/>
    </row>
    <row r="172" spans="1:26" ht="33.75" hidden="1" customHeight="1" x14ac:dyDescent="0.2">
      <c r="A172" s="82"/>
      <c r="B172" s="30"/>
      <c r="C172" s="28"/>
      <c r="D172" s="157"/>
      <c r="E172" s="162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62">
        <f t="shared" si="31"/>
        <v>0</v>
      </c>
      <c r="S172" s="157"/>
      <c r="T172" s="157"/>
      <c r="U172" s="157"/>
      <c r="V172" s="163"/>
      <c r="W172" s="157"/>
      <c r="X172" s="163">
        <f t="shared" si="32"/>
        <v>0</v>
      </c>
      <c r="Y172" s="507">
        <f t="shared" si="33"/>
        <v>0</v>
      </c>
      <c r="Z172" s="132"/>
    </row>
    <row r="173" spans="1:26" ht="33.75" hidden="1" customHeight="1" x14ac:dyDescent="0.2">
      <c r="A173" s="82"/>
      <c r="B173" s="30"/>
      <c r="C173" s="28"/>
      <c r="D173" s="157"/>
      <c r="E173" s="162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62"/>
      <c r="S173" s="157"/>
      <c r="T173" s="157"/>
      <c r="U173" s="157"/>
      <c r="V173" s="163"/>
      <c r="W173" s="157"/>
      <c r="X173" s="163"/>
      <c r="Y173" s="507"/>
      <c r="Z173" s="132"/>
    </row>
    <row r="174" spans="1:26" ht="24" hidden="1" customHeight="1" x14ac:dyDescent="0.2">
      <c r="A174" s="210" t="s">
        <v>81</v>
      </c>
      <c r="B174" s="206"/>
      <c r="C174" s="211" t="s">
        <v>79</v>
      </c>
      <c r="D174" s="157">
        <f t="shared" ref="D174:W174" si="37">SUM(D168:D173)</f>
        <v>0</v>
      </c>
      <c r="E174" s="162">
        <f t="shared" si="37"/>
        <v>0</v>
      </c>
      <c r="F174" s="157">
        <f t="shared" si="37"/>
        <v>0</v>
      </c>
      <c r="G174" s="157">
        <f t="shared" si="37"/>
        <v>0</v>
      </c>
      <c r="H174" s="157">
        <f t="shared" si="37"/>
        <v>0</v>
      </c>
      <c r="I174" s="157">
        <f t="shared" si="37"/>
        <v>0</v>
      </c>
      <c r="J174" s="157">
        <f t="shared" si="37"/>
        <v>0</v>
      </c>
      <c r="K174" s="157">
        <f t="shared" si="37"/>
        <v>0</v>
      </c>
      <c r="L174" s="157">
        <f t="shared" si="37"/>
        <v>0</v>
      </c>
      <c r="M174" s="157">
        <f t="shared" si="37"/>
        <v>0</v>
      </c>
      <c r="N174" s="157">
        <f t="shared" si="37"/>
        <v>0</v>
      </c>
      <c r="O174" s="157">
        <f t="shared" si="37"/>
        <v>0</v>
      </c>
      <c r="P174" s="157">
        <f t="shared" si="37"/>
        <v>0</v>
      </c>
      <c r="Q174" s="157">
        <f t="shared" si="37"/>
        <v>0</v>
      </c>
      <c r="R174" s="162">
        <f t="shared" si="31"/>
        <v>0</v>
      </c>
      <c r="S174" s="157"/>
      <c r="T174" s="157">
        <f t="shared" si="37"/>
        <v>0</v>
      </c>
      <c r="U174" s="157">
        <f t="shared" si="37"/>
        <v>0</v>
      </c>
      <c r="V174" s="163">
        <f t="shared" si="37"/>
        <v>0</v>
      </c>
      <c r="W174" s="157">
        <f t="shared" si="37"/>
        <v>0</v>
      </c>
      <c r="X174" s="163">
        <f t="shared" si="32"/>
        <v>0</v>
      </c>
      <c r="Y174" s="507">
        <f t="shared" si="33"/>
        <v>0</v>
      </c>
      <c r="Z174" s="132"/>
    </row>
    <row r="175" spans="1:26" ht="33.75" hidden="1" customHeight="1" x14ac:dyDescent="0.2">
      <c r="A175" s="82"/>
      <c r="B175" s="45"/>
      <c r="C175" s="28"/>
      <c r="D175" s="157"/>
      <c r="E175" s="162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62"/>
      <c r="S175" s="157"/>
      <c r="T175" s="157"/>
      <c r="U175" s="157"/>
      <c r="V175" s="163"/>
      <c r="W175" s="157"/>
      <c r="X175" s="163"/>
      <c r="Y175" s="507"/>
      <c r="Z175" s="132"/>
    </row>
    <row r="176" spans="1:26" ht="33.75" hidden="1" customHeight="1" x14ac:dyDescent="0.2">
      <c r="A176" s="224" t="s">
        <v>108</v>
      </c>
      <c r="B176" s="226"/>
      <c r="C176" s="41"/>
      <c r="D176" s="157"/>
      <c r="E176" s="162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62">
        <f t="shared" si="31"/>
        <v>0</v>
      </c>
      <c r="S176" s="157"/>
      <c r="T176" s="157"/>
      <c r="U176" s="157"/>
      <c r="V176" s="163"/>
      <c r="W176" s="157"/>
      <c r="X176" s="163">
        <f t="shared" si="32"/>
        <v>0</v>
      </c>
      <c r="Y176" s="507">
        <f t="shared" si="33"/>
        <v>0</v>
      </c>
      <c r="Z176" s="132"/>
    </row>
    <row r="177" spans="1:26" ht="33.75" hidden="1" customHeight="1" x14ac:dyDescent="0.2">
      <c r="A177" s="224" t="s">
        <v>108</v>
      </c>
      <c r="B177" s="226"/>
      <c r="C177" s="41"/>
      <c r="D177" s="157"/>
      <c r="E177" s="162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62">
        <f t="shared" si="31"/>
        <v>0</v>
      </c>
      <c r="S177" s="157"/>
      <c r="T177" s="157"/>
      <c r="U177" s="157"/>
      <c r="V177" s="163"/>
      <c r="W177" s="157"/>
      <c r="X177" s="163">
        <f t="shared" si="32"/>
        <v>0</v>
      </c>
      <c r="Y177" s="507">
        <f t="shared" si="33"/>
        <v>0</v>
      </c>
      <c r="Z177" s="132"/>
    </row>
    <row r="178" spans="1:26" ht="33.75" hidden="1" customHeight="1" x14ac:dyDescent="0.2">
      <c r="A178" s="82" t="s">
        <v>108</v>
      </c>
      <c r="B178" s="32"/>
      <c r="C178" s="34"/>
      <c r="D178" s="157"/>
      <c r="E178" s="162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62">
        <f t="shared" si="31"/>
        <v>0</v>
      </c>
      <c r="S178" s="157"/>
      <c r="T178" s="157"/>
      <c r="U178" s="157"/>
      <c r="V178" s="163"/>
      <c r="W178" s="157"/>
      <c r="X178" s="163">
        <f t="shared" si="32"/>
        <v>0</v>
      </c>
      <c r="Y178" s="507">
        <f t="shared" si="33"/>
        <v>0</v>
      </c>
      <c r="Z178" s="132"/>
    </row>
    <row r="179" spans="1:26" ht="33.75" hidden="1" customHeight="1" x14ac:dyDescent="0.2">
      <c r="A179" s="82" t="s">
        <v>108</v>
      </c>
      <c r="B179" s="295"/>
      <c r="C179" s="34"/>
      <c r="D179" s="157"/>
      <c r="E179" s="162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62">
        <f t="shared" si="31"/>
        <v>0</v>
      </c>
      <c r="S179" s="157"/>
      <c r="T179" s="157"/>
      <c r="U179" s="157"/>
      <c r="V179" s="163"/>
      <c r="W179" s="157"/>
      <c r="X179" s="163">
        <f t="shared" si="32"/>
        <v>0</v>
      </c>
      <c r="Y179" s="507">
        <f t="shared" si="33"/>
        <v>0</v>
      </c>
      <c r="Z179" s="132"/>
    </row>
    <row r="180" spans="1:26" ht="33.75" hidden="1" customHeight="1" x14ac:dyDescent="0.2">
      <c r="A180" s="82" t="s">
        <v>176</v>
      </c>
      <c r="B180" s="288"/>
      <c r="C180" s="34"/>
      <c r="D180" s="157"/>
      <c r="E180" s="162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62">
        <f t="shared" si="31"/>
        <v>0</v>
      </c>
      <c r="S180" s="157"/>
      <c r="T180" s="157"/>
      <c r="U180" s="157"/>
      <c r="V180" s="163"/>
      <c r="W180" s="157"/>
      <c r="X180" s="163">
        <f t="shared" si="32"/>
        <v>0</v>
      </c>
      <c r="Y180" s="507">
        <f t="shared" si="33"/>
        <v>0</v>
      </c>
      <c r="Z180" s="132"/>
    </row>
    <row r="181" spans="1:26" ht="33.75" hidden="1" customHeight="1" x14ac:dyDescent="0.2">
      <c r="A181" s="82" t="s">
        <v>176</v>
      </c>
      <c r="B181" s="295"/>
      <c r="C181" s="34"/>
      <c r="D181" s="157"/>
      <c r="E181" s="162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62">
        <f t="shared" si="31"/>
        <v>0</v>
      </c>
      <c r="S181" s="157"/>
      <c r="T181" s="157"/>
      <c r="U181" s="157"/>
      <c r="V181" s="163"/>
      <c r="W181" s="157"/>
      <c r="X181" s="163">
        <f t="shared" si="32"/>
        <v>0</v>
      </c>
      <c r="Y181" s="507">
        <f t="shared" si="33"/>
        <v>0</v>
      </c>
      <c r="Z181" s="132"/>
    </row>
    <row r="182" spans="1:26" ht="33.75" hidden="1" customHeight="1" x14ac:dyDescent="0.2">
      <c r="A182" s="82" t="s">
        <v>176</v>
      </c>
      <c r="B182" s="295"/>
      <c r="C182" s="34"/>
      <c r="D182" s="157"/>
      <c r="E182" s="162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62">
        <f t="shared" si="31"/>
        <v>0</v>
      </c>
      <c r="S182" s="157"/>
      <c r="T182" s="157"/>
      <c r="U182" s="157"/>
      <c r="V182" s="163"/>
      <c r="W182" s="157"/>
      <c r="X182" s="163">
        <f t="shared" si="32"/>
        <v>0</v>
      </c>
      <c r="Y182" s="507">
        <f t="shared" si="33"/>
        <v>0</v>
      </c>
      <c r="Z182" s="132"/>
    </row>
    <row r="183" spans="1:26" ht="33.75" hidden="1" customHeight="1" x14ac:dyDescent="0.2">
      <c r="A183" s="82"/>
      <c r="B183" s="126"/>
      <c r="C183" s="41"/>
      <c r="D183" s="157"/>
      <c r="E183" s="162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62"/>
      <c r="S183" s="157"/>
      <c r="T183" s="157"/>
      <c r="U183" s="157"/>
      <c r="V183" s="163"/>
      <c r="W183" s="157"/>
      <c r="X183" s="163"/>
      <c r="Y183" s="507"/>
      <c r="Z183" s="132"/>
    </row>
    <row r="184" spans="1:26" ht="24" hidden="1" customHeight="1" x14ac:dyDescent="0.2">
      <c r="A184" s="210" t="s">
        <v>82</v>
      </c>
      <c r="B184" s="206"/>
      <c r="C184" s="211" t="s">
        <v>80</v>
      </c>
      <c r="D184" s="157">
        <f t="shared" ref="D184:W184" si="38">SUM(D176:D183)</f>
        <v>0</v>
      </c>
      <c r="E184" s="162">
        <f t="shared" si="38"/>
        <v>0</v>
      </c>
      <c r="F184" s="157">
        <f t="shared" si="38"/>
        <v>0</v>
      </c>
      <c r="G184" s="157">
        <f t="shared" si="38"/>
        <v>0</v>
      </c>
      <c r="H184" s="157">
        <f t="shared" si="38"/>
        <v>0</v>
      </c>
      <c r="I184" s="157">
        <f t="shared" si="38"/>
        <v>0</v>
      </c>
      <c r="J184" s="157">
        <f t="shared" si="38"/>
        <v>0</v>
      </c>
      <c r="K184" s="157">
        <f t="shared" si="38"/>
        <v>0</v>
      </c>
      <c r="L184" s="157">
        <f t="shared" si="38"/>
        <v>0</v>
      </c>
      <c r="M184" s="157">
        <f t="shared" si="38"/>
        <v>0</v>
      </c>
      <c r="N184" s="157">
        <f t="shared" si="38"/>
        <v>0</v>
      </c>
      <c r="O184" s="157">
        <f t="shared" si="38"/>
        <v>0</v>
      </c>
      <c r="P184" s="157">
        <f t="shared" si="38"/>
        <v>0</v>
      </c>
      <c r="Q184" s="157">
        <f t="shared" si="38"/>
        <v>0</v>
      </c>
      <c r="R184" s="162">
        <f t="shared" si="31"/>
        <v>0</v>
      </c>
      <c r="S184" s="157"/>
      <c r="T184" s="157">
        <f t="shared" si="38"/>
        <v>0</v>
      </c>
      <c r="U184" s="157">
        <f t="shared" si="38"/>
        <v>0</v>
      </c>
      <c r="V184" s="163">
        <f t="shared" si="38"/>
        <v>0</v>
      </c>
      <c r="W184" s="157">
        <f t="shared" si="38"/>
        <v>0</v>
      </c>
      <c r="X184" s="163">
        <f t="shared" si="32"/>
        <v>0</v>
      </c>
      <c r="Y184" s="507">
        <f t="shared" si="33"/>
        <v>0</v>
      </c>
      <c r="Z184" s="132"/>
    </row>
    <row r="185" spans="1:26" ht="24" hidden="1" customHeight="1" x14ac:dyDescent="0.2">
      <c r="A185" s="82"/>
      <c r="B185" s="126"/>
      <c r="C185" s="41"/>
      <c r="D185" s="157"/>
      <c r="E185" s="162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62"/>
      <c r="S185" s="157"/>
      <c r="T185" s="157"/>
      <c r="U185" s="157"/>
      <c r="V185" s="163"/>
      <c r="W185" s="157"/>
      <c r="X185" s="163"/>
      <c r="Y185" s="507"/>
      <c r="Z185" s="132"/>
    </row>
    <row r="186" spans="1:26" ht="24" hidden="1" customHeight="1" thickBot="1" x14ac:dyDescent="0.25">
      <c r="A186" s="82"/>
      <c r="B186" s="89"/>
      <c r="C186" s="41"/>
      <c r="D186" s="157"/>
      <c r="E186" s="162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62"/>
      <c r="S186" s="157"/>
      <c r="T186" s="157"/>
      <c r="U186" s="157"/>
      <c r="V186" s="163"/>
      <c r="W186" s="157"/>
      <c r="X186" s="163"/>
      <c r="Y186" s="507"/>
      <c r="Z186" s="132"/>
    </row>
    <row r="187" spans="1:26" ht="33.75" hidden="1" customHeight="1" thickTop="1" thickBot="1" x14ac:dyDescent="0.25">
      <c r="A187" s="42"/>
      <c r="B187" s="259" t="s">
        <v>171</v>
      </c>
      <c r="C187" s="44" t="s">
        <v>83</v>
      </c>
      <c r="D187" s="164">
        <f t="shared" ref="D187:W187" si="39">D174+D184</f>
        <v>0</v>
      </c>
      <c r="E187" s="484">
        <f t="shared" si="39"/>
        <v>0</v>
      </c>
      <c r="F187" s="164">
        <f t="shared" si="39"/>
        <v>0</v>
      </c>
      <c r="G187" s="164">
        <f t="shared" si="39"/>
        <v>0</v>
      </c>
      <c r="H187" s="164">
        <f t="shared" si="39"/>
        <v>0</v>
      </c>
      <c r="I187" s="164">
        <f t="shared" si="39"/>
        <v>0</v>
      </c>
      <c r="J187" s="164">
        <f t="shared" si="39"/>
        <v>0</v>
      </c>
      <c r="K187" s="164">
        <f t="shared" si="39"/>
        <v>0</v>
      </c>
      <c r="L187" s="164">
        <f t="shared" si="39"/>
        <v>0</v>
      </c>
      <c r="M187" s="164">
        <f t="shared" si="39"/>
        <v>0</v>
      </c>
      <c r="N187" s="164">
        <f t="shared" si="39"/>
        <v>0</v>
      </c>
      <c r="O187" s="164">
        <f t="shared" si="39"/>
        <v>0</v>
      </c>
      <c r="P187" s="164">
        <f t="shared" si="39"/>
        <v>0</v>
      </c>
      <c r="Q187" s="164">
        <f t="shared" si="39"/>
        <v>0</v>
      </c>
      <c r="R187" s="484">
        <f t="shared" si="31"/>
        <v>0</v>
      </c>
      <c r="S187" s="164"/>
      <c r="T187" s="164">
        <f>T174+T184</f>
        <v>0</v>
      </c>
      <c r="U187" s="164">
        <f>U174+U184</f>
        <v>0</v>
      </c>
      <c r="V187" s="166">
        <f t="shared" si="39"/>
        <v>0</v>
      </c>
      <c r="W187" s="164">
        <f t="shared" si="39"/>
        <v>0</v>
      </c>
      <c r="X187" s="166">
        <f t="shared" si="32"/>
        <v>0</v>
      </c>
      <c r="Y187" s="508">
        <f t="shared" si="33"/>
        <v>0</v>
      </c>
      <c r="Z187" s="132"/>
    </row>
    <row r="188" spans="1:26" ht="33.75" hidden="1" customHeight="1" thickTop="1" thickBot="1" x14ac:dyDescent="0.25">
      <c r="A188" s="42"/>
      <c r="B188" s="43" t="s">
        <v>172</v>
      </c>
      <c r="C188" s="44" t="s">
        <v>141</v>
      </c>
      <c r="D188" s="204">
        <f t="shared" ref="D188:W188" si="40">D166+D187</f>
        <v>1723092.0499999998</v>
      </c>
      <c r="E188" s="204">
        <f t="shared" si="40"/>
        <v>468996.70199999999</v>
      </c>
      <c r="F188" s="204">
        <f t="shared" si="40"/>
        <v>514842.53700000001</v>
      </c>
      <c r="G188" s="204">
        <f t="shared" si="40"/>
        <v>685</v>
      </c>
      <c r="H188" s="204">
        <f t="shared" si="40"/>
        <v>87740</v>
      </c>
      <c r="I188" s="204">
        <f t="shared" si="40"/>
        <v>0</v>
      </c>
      <c r="J188" s="204">
        <f t="shared" si="40"/>
        <v>0</v>
      </c>
      <c r="K188" s="204">
        <f t="shared" si="40"/>
        <v>0</v>
      </c>
      <c r="L188" s="204">
        <f t="shared" si="40"/>
        <v>187385</v>
      </c>
      <c r="M188" s="204">
        <f t="shared" si="40"/>
        <v>15134</v>
      </c>
      <c r="N188" s="204">
        <f t="shared" si="40"/>
        <v>0</v>
      </c>
      <c r="O188" s="204">
        <f t="shared" si="40"/>
        <v>5000</v>
      </c>
      <c r="P188" s="204">
        <f t="shared" si="40"/>
        <v>0</v>
      </c>
      <c r="Q188" s="204">
        <f t="shared" si="40"/>
        <v>0</v>
      </c>
      <c r="R188" s="204">
        <f t="shared" si="31"/>
        <v>3002875.2889999999</v>
      </c>
      <c r="S188" s="164"/>
      <c r="T188" s="164">
        <f>T166+T187</f>
        <v>0</v>
      </c>
      <c r="U188" s="164">
        <f>U166+U187</f>
        <v>0</v>
      </c>
      <c r="V188" s="166">
        <f t="shared" si="40"/>
        <v>0</v>
      </c>
      <c r="W188" s="164">
        <f t="shared" si="40"/>
        <v>0</v>
      </c>
      <c r="X188" s="166">
        <f t="shared" si="32"/>
        <v>0</v>
      </c>
      <c r="Y188" s="518">
        <f t="shared" si="33"/>
        <v>3002875.2889999999</v>
      </c>
      <c r="Z188" s="132"/>
    </row>
    <row r="189" spans="1:26" ht="24" hidden="1" customHeight="1" thickTop="1" x14ac:dyDescent="0.2">
      <c r="A189" s="207"/>
      <c r="B189" s="221"/>
      <c r="C189" s="222"/>
      <c r="D189" s="335"/>
      <c r="E189" s="497"/>
      <c r="F189" s="335"/>
      <c r="G189" s="335"/>
      <c r="H189" s="335"/>
      <c r="I189" s="335"/>
      <c r="J189" s="335"/>
      <c r="K189" s="335"/>
      <c r="L189" s="335"/>
      <c r="M189" s="335"/>
      <c r="N189" s="335"/>
      <c r="O189" s="335"/>
      <c r="P189" s="335"/>
      <c r="Q189" s="335"/>
      <c r="R189" s="497">
        <f t="shared" si="31"/>
        <v>0</v>
      </c>
      <c r="S189" s="335"/>
      <c r="T189" s="335"/>
      <c r="U189" s="335"/>
      <c r="V189" s="336"/>
      <c r="W189" s="335"/>
      <c r="X189" s="336">
        <f t="shared" si="32"/>
        <v>0</v>
      </c>
      <c r="Y189" s="509">
        <f t="shared" si="33"/>
        <v>0</v>
      </c>
      <c r="Z189" s="132"/>
    </row>
    <row r="190" spans="1:26" ht="24" hidden="1" customHeight="1" x14ac:dyDescent="0.2">
      <c r="A190" s="207"/>
      <c r="B190" s="221"/>
      <c r="C190" s="222"/>
      <c r="D190" s="335"/>
      <c r="E190" s="497"/>
      <c r="F190" s="335"/>
      <c r="G190" s="335"/>
      <c r="H190" s="335"/>
      <c r="I190" s="335"/>
      <c r="J190" s="335"/>
      <c r="K190" s="335"/>
      <c r="L190" s="335"/>
      <c r="M190" s="335"/>
      <c r="N190" s="335"/>
      <c r="O190" s="335"/>
      <c r="P190" s="335"/>
      <c r="Q190" s="335"/>
      <c r="R190" s="497">
        <f t="shared" si="31"/>
        <v>0</v>
      </c>
      <c r="S190" s="335"/>
      <c r="T190" s="335"/>
      <c r="U190" s="335"/>
      <c r="V190" s="336"/>
      <c r="W190" s="335"/>
      <c r="X190" s="336">
        <f t="shared" si="32"/>
        <v>0</v>
      </c>
      <c r="Y190" s="509">
        <f t="shared" si="33"/>
        <v>0</v>
      </c>
      <c r="Z190" s="132"/>
    </row>
    <row r="191" spans="1:26" ht="24" hidden="1" customHeight="1" x14ac:dyDescent="0.2">
      <c r="A191" s="26"/>
      <c r="B191" s="74" t="s">
        <v>77</v>
      </c>
      <c r="C191" s="39" t="s">
        <v>22</v>
      </c>
      <c r="D191" s="167"/>
      <c r="E191" s="498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498">
        <f t="shared" si="31"/>
        <v>0</v>
      </c>
      <c r="S191" s="167"/>
      <c r="T191" s="167"/>
      <c r="U191" s="167"/>
      <c r="V191" s="168"/>
      <c r="W191" s="167"/>
      <c r="X191" s="168">
        <f t="shared" si="32"/>
        <v>0</v>
      </c>
      <c r="Y191" s="507">
        <f t="shared" si="33"/>
        <v>0</v>
      </c>
    </row>
    <row r="192" spans="1:26" ht="24" hidden="1" customHeight="1" x14ac:dyDescent="0.25">
      <c r="A192" s="26"/>
      <c r="B192" s="91" t="s">
        <v>66</v>
      </c>
      <c r="C192" s="39" t="s">
        <v>22</v>
      </c>
      <c r="D192" s="167"/>
      <c r="E192" s="498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498">
        <f t="shared" si="31"/>
        <v>0</v>
      </c>
      <c r="S192" s="167"/>
      <c r="T192" s="167"/>
      <c r="U192" s="167"/>
      <c r="V192" s="168"/>
      <c r="W192" s="167"/>
      <c r="X192" s="168">
        <f t="shared" si="32"/>
        <v>0</v>
      </c>
      <c r="Y192" s="507">
        <f t="shared" si="33"/>
        <v>0</v>
      </c>
    </row>
    <row r="193" spans="1:26" ht="24" hidden="1" customHeight="1" x14ac:dyDescent="0.25">
      <c r="A193" s="26"/>
      <c r="B193" s="91" t="s">
        <v>48</v>
      </c>
      <c r="C193" s="39" t="s">
        <v>22</v>
      </c>
      <c r="D193" s="167"/>
      <c r="E193" s="498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498">
        <f t="shared" si="31"/>
        <v>0</v>
      </c>
      <c r="S193" s="167"/>
      <c r="T193" s="167"/>
      <c r="U193" s="167"/>
      <c r="V193" s="168"/>
      <c r="W193" s="167"/>
      <c r="X193" s="168">
        <f t="shared" si="32"/>
        <v>0</v>
      </c>
      <c r="Y193" s="507">
        <f t="shared" si="33"/>
        <v>0</v>
      </c>
    </row>
    <row r="194" spans="1:26" ht="24" hidden="1" customHeight="1" x14ac:dyDescent="0.25">
      <c r="A194" s="26"/>
      <c r="B194" s="91" t="s">
        <v>68</v>
      </c>
      <c r="C194" s="39" t="s">
        <v>22</v>
      </c>
      <c r="D194" s="167"/>
      <c r="E194" s="498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498">
        <f t="shared" si="31"/>
        <v>0</v>
      </c>
      <c r="S194" s="167"/>
      <c r="T194" s="167"/>
      <c r="U194" s="167"/>
      <c r="V194" s="168"/>
      <c r="W194" s="167"/>
      <c r="X194" s="168">
        <f t="shared" si="32"/>
        <v>0</v>
      </c>
      <c r="Y194" s="507">
        <f t="shared" si="33"/>
        <v>0</v>
      </c>
    </row>
    <row r="195" spans="1:26" ht="24" hidden="1" customHeight="1" x14ac:dyDescent="0.25">
      <c r="A195" s="26"/>
      <c r="B195" s="91" t="s">
        <v>84</v>
      </c>
      <c r="C195" s="39" t="s">
        <v>22</v>
      </c>
      <c r="D195" s="167"/>
      <c r="E195" s="498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498">
        <f t="shared" si="31"/>
        <v>0</v>
      </c>
      <c r="S195" s="167"/>
      <c r="T195" s="167"/>
      <c r="U195" s="167"/>
      <c r="V195" s="168"/>
      <c r="W195" s="167"/>
      <c r="X195" s="168">
        <f t="shared" si="32"/>
        <v>0</v>
      </c>
      <c r="Y195" s="507">
        <f t="shared" si="33"/>
        <v>0</v>
      </c>
    </row>
    <row r="196" spans="1:26" ht="24" hidden="1" customHeight="1" thickBot="1" x14ac:dyDescent="0.25">
      <c r="A196" s="82"/>
      <c r="B196" s="84"/>
      <c r="C196" s="41"/>
      <c r="D196" s="157"/>
      <c r="E196" s="162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62">
        <f t="shared" si="31"/>
        <v>0</v>
      </c>
      <c r="S196" s="157"/>
      <c r="T196" s="157"/>
      <c r="U196" s="157"/>
      <c r="V196" s="163"/>
      <c r="W196" s="157"/>
      <c r="X196" s="163">
        <f t="shared" si="32"/>
        <v>0</v>
      </c>
      <c r="Y196" s="507">
        <f t="shared" si="33"/>
        <v>0</v>
      </c>
    </row>
    <row r="197" spans="1:26" ht="24" hidden="1" customHeight="1" thickTop="1" thickBot="1" x14ac:dyDescent="0.25">
      <c r="A197" s="47"/>
      <c r="B197" s="90"/>
      <c r="C197" s="44" t="s">
        <v>27</v>
      </c>
      <c r="D197" s="164">
        <f t="shared" ref="D197:P197" si="41">SUM(D191:D196)</f>
        <v>0</v>
      </c>
      <c r="E197" s="484">
        <f t="shared" si="41"/>
        <v>0</v>
      </c>
      <c r="F197" s="164">
        <f t="shared" si="41"/>
        <v>0</v>
      </c>
      <c r="G197" s="164">
        <f t="shared" si="41"/>
        <v>0</v>
      </c>
      <c r="H197" s="164">
        <f t="shared" si="41"/>
        <v>0</v>
      </c>
      <c r="I197" s="164">
        <f t="shared" si="41"/>
        <v>0</v>
      </c>
      <c r="J197" s="164">
        <f t="shared" si="41"/>
        <v>0</v>
      </c>
      <c r="K197" s="164">
        <f t="shared" si="41"/>
        <v>0</v>
      </c>
      <c r="L197" s="164">
        <f t="shared" si="41"/>
        <v>0</v>
      </c>
      <c r="M197" s="164">
        <f t="shared" si="41"/>
        <v>0</v>
      </c>
      <c r="N197" s="164">
        <f t="shared" si="41"/>
        <v>0</v>
      </c>
      <c r="O197" s="164">
        <f t="shared" si="41"/>
        <v>0</v>
      </c>
      <c r="P197" s="164">
        <f t="shared" si="41"/>
        <v>0</v>
      </c>
      <c r="Q197" s="164">
        <f t="shared" ref="Q197:W197" si="42">SUM(Q191:Q196)</f>
        <v>0</v>
      </c>
      <c r="R197" s="484">
        <f t="shared" si="31"/>
        <v>0</v>
      </c>
      <c r="S197" s="164"/>
      <c r="T197" s="164">
        <f t="shared" si="42"/>
        <v>0</v>
      </c>
      <c r="U197" s="164">
        <f t="shared" si="42"/>
        <v>0</v>
      </c>
      <c r="V197" s="166">
        <f t="shared" si="42"/>
        <v>0</v>
      </c>
      <c r="W197" s="164">
        <f t="shared" si="42"/>
        <v>0</v>
      </c>
      <c r="X197" s="166">
        <f t="shared" si="32"/>
        <v>0</v>
      </c>
      <c r="Y197" s="508">
        <f t="shared" si="33"/>
        <v>0</v>
      </c>
    </row>
    <row r="198" spans="1:26" ht="9.9499999999999993" hidden="1" customHeight="1" thickTop="1" x14ac:dyDescent="0.2">
      <c r="A198" s="187"/>
      <c r="B198" s="188"/>
      <c r="C198" s="189"/>
      <c r="D198" s="190"/>
      <c r="E198" s="499"/>
      <c r="F198" s="190"/>
      <c r="G198" s="190"/>
      <c r="H198" s="190"/>
      <c r="I198" s="190"/>
      <c r="J198" s="190"/>
      <c r="K198" s="190"/>
      <c r="L198" s="190"/>
      <c r="M198" s="190"/>
      <c r="N198" s="190"/>
      <c r="O198" s="190"/>
      <c r="P198" s="190"/>
      <c r="Q198" s="190"/>
      <c r="R198" s="499">
        <f t="shared" si="31"/>
        <v>0</v>
      </c>
      <c r="S198" s="190"/>
      <c r="T198" s="190"/>
      <c r="U198" s="190"/>
      <c r="V198" s="190"/>
      <c r="W198" s="414"/>
      <c r="X198" s="190">
        <f t="shared" si="32"/>
        <v>0</v>
      </c>
      <c r="Y198" s="510">
        <f t="shared" si="33"/>
        <v>0</v>
      </c>
    </row>
    <row r="199" spans="1:26" ht="24" hidden="1" customHeight="1" x14ac:dyDescent="0.2">
      <c r="A199" s="192"/>
      <c r="B199" s="193"/>
      <c r="C199" s="201" t="s">
        <v>64</v>
      </c>
      <c r="D199" s="194"/>
      <c r="E199" s="500"/>
      <c r="F199" s="194"/>
      <c r="G199" s="194"/>
      <c r="H199" s="194"/>
      <c r="I199" s="194"/>
      <c r="J199" s="194"/>
      <c r="K199" s="194"/>
      <c r="L199" s="194"/>
      <c r="M199" s="194"/>
      <c r="N199" s="194"/>
      <c r="O199" s="194"/>
      <c r="P199" s="194"/>
      <c r="Q199" s="194"/>
      <c r="R199" s="500">
        <f t="shared" si="31"/>
        <v>0</v>
      </c>
      <c r="S199" s="194"/>
      <c r="T199" s="194"/>
      <c r="U199" s="194"/>
      <c r="V199" s="194"/>
      <c r="W199" s="415"/>
      <c r="X199" s="194">
        <f t="shared" si="32"/>
        <v>0</v>
      </c>
      <c r="Y199" s="511">
        <f t="shared" si="33"/>
        <v>0</v>
      </c>
    </row>
    <row r="200" spans="1:26" ht="9.9499999999999993" hidden="1" customHeight="1" thickBot="1" x14ac:dyDescent="0.25">
      <c r="A200" s="196"/>
      <c r="B200" s="197"/>
      <c r="C200" s="198"/>
      <c r="D200" s="199"/>
      <c r="E200" s="501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501">
        <f t="shared" si="31"/>
        <v>0</v>
      </c>
      <c r="S200" s="199"/>
      <c r="T200" s="199"/>
      <c r="U200" s="199"/>
      <c r="V200" s="199"/>
      <c r="W200" s="416"/>
      <c r="X200" s="199">
        <f t="shared" si="32"/>
        <v>0</v>
      </c>
      <c r="Y200" s="512">
        <f t="shared" si="33"/>
        <v>0</v>
      </c>
    </row>
    <row r="201" spans="1:26" ht="24" hidden="1" customHeight="1" thickTop="1" thickBot="1" x14ac:dyDescent="0.25">
      <c r="A201" s="92"/>
      <c r="B201" s="43" t="s">
        <v>91</v>
      </c>
      <c r="C201" s="44" t="s">
        <v>141</v>
      </c>
      <c r="D201" s="169">
        <f>D188+D197</f>
        <v>1723092.0499999998</v>
      </c>
      <c r="E201" s="502">
        <f t="shared" ref="E201:W201" si="43">E188+E197</f>
        <v>468996.70199999999</v>
      </c>
      <c r="F201" s="169">
        <f t="shared" si="43"/>
        <v>514842.53700000001</v>
      </c>
      <c r="G201" s="169">
        <f t="shared" si="43"/>
        <v>685</v>
      </c>
      <c r="H201" s="169">
        <f t="shared" si="43"/>
        <v>87740</v>
      </c>
      <c r="I201" s="169">
        <f t="shared" si="43"/>
        <v>0</v>
      </c>
      <c r="J201" s="169">
        <f t="shared" si="43"/>
        <v>0</v>
      </c>
      <c r="K201" s="169">
        <f t="shared" si="43"/>
        <v>0</v>
      </c>
      <c r="L201" s="169">
        <f t="shared" si="43"/>
        <v>187385</v>
      </c>
      <c r="M201" s="169">
        <f t="shared" si="43"/>
        <v>15134</v>
      </c>
      <c r="N201" s="169">
        <f t="shared" si="43"/>
        <v>0</v>
      </c>
      <c r="O201" s="169">
        <f t="shared" si="43"/>
        <v>5000</v>
      </c>
      <c r="P201" s="169">
        <f t="shared" si="43"/>
        <v>0</v>
      </c>
      <c r="Q201" s="169">
        <f t="shared" si="43"/>
        <v>0</v>
      </c>
      <c r="R201" s="502">
        <f t="shared" si="31"/>
        <v>3002875.2889999999</v>
      </c>
      <c r="S201" s="169"/>
      <c r="T201" s="169">
        <f>T188+T197</f>
        <v>0</v>
      </c>
      <c r="U201" s="169">
        <f>U188+U197</f>
        <v>0</v>
      </c>
      <c r="V201" s="365">
        <f t="shared" si="43"/>
        <v>0</v>
      </c>
      <c r="W201" s="180">
        <f t="shared" si="43"/>
        <v>0</v>
      </c>
      <c r="X201" s="169">
        <f t="shared" si="32"/>
        <v>0</v>
      </c>
      <c r="Y201" s="377">
        <f t="shared" si="33"/>
        <v>3002875.2889999999</v>
      </c>
      <c r="Z201" s="132"/>
    </row>
    <row r="202" spans="1:26" ht="24" hidden="1" customHeight="1" thickTop="1" thickBot="1" x14ac:dyDescent="0.25">
      <c r="A202" s="42"/>
      <c r="B202" s="111"/>
      <c r="C202" s="380" t="s">
        <v>18</v>
      </c>
      <c r="D202" s="381">
        <f t="shared" ref="D202:P202" si="44">D201</f>
        <v>1723092.0499999998</v>
      </c>
      <c r="E202" s="503">
        <f t="shared" si="44"/>
        <v>468996.70199999999</v>
      </c>
      <c r="F202" s="381">
        <f t="shared" si="44"/>
        <v>514842.53700000001</v>
      </c>
      <c r="G202" s="381">
        <f t="shared" si="44"/>
        <v>685</v>
      </c>
      <c r="H202" s="381">
        <f t="shared" si="44"/>
        <v>87740</v>
      </c>
      <c r="I202" s="381">
        <f t="shared" si="44"/>
        <v>0</v>
      </c>
      <c r="J202" s="381">
        <f t="shared" si="44"/>
        <v>0</v>
      </c>
      <c r="K202" s="381">
        <f t="shared" si="44"/>
        <v>0</v>
      </c>
      <c r="L202" s="381">
        <f t="shared" si="44"/>
        <v>187385</v>
      </c>
      <c r="M202" s="381">
        <f t="shared" si="44"/>
        <v>15134</v>
      </c>
      <c r="N202" s="381">
        <f t="shared" si="44"/>
        <v>0</v>
      </c>
      <c r="O202" s="381">
        <f t="shared" si="44"/>
        <v>5000</v>
      </c>
      <c r="P202" s="381">
        <f t="shared" si="44"/>
        <v>0</v>
      </c>
      <c r="Q202" s="381">
        <f>Q201</f>
        <v>0</v>
      </c>
      <c r="R202" s="503">
        <f t="shared" si="31"/>
        <v>3002875.2889999999</v>
      </c>
      <c r="S202" s="381"/>
      <c r="T202" s="381">
        <f>T201</f>
        <v>0</v>
      </c>
      <c r="U202" s="381">
        <f>U201</f>
        <v>0</v>
      </c>
      <c r="V202" s="454">
        <f>V201</f>
        <v>0</v>
      </c>
      <c r="W202" s="381">
        <f>W201</f>
        <v>0</v>
      </c>
      <c r="X202" s="454">
        <f t="shared" si="32"/>
        <v>0</v>
      </c>
      <c r="Y202" s="513">
        <f t="shared" si="33"/>
        <v>3002875.2889999999</v>
      </c>
    </row>
    <row r="203" spans="1:26" ht="20.100000000000001" hidden="1" customHeight="1" thickTop="1" x14ac:dyDescent="0.2">
      <c r="A203" s="82">
        <v>1</v>
      </c>
      <c r="B203" s="120"/>
      <c r="C203" s="28"/>
      <c r="D203" s="162"/>
      <c r="E203" s="162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62">
        <f t="shared" si="31"/>
        <v>0</v>
      </c>
      <c r="S203" s="157"/>
      <c r="T203" s="157"/>
      <c r="U203" s="157"/>
      <c r="V203" s="163"/>
      <c r="W203" s="157"/>
      <c r="X203" s="163">
        <f t="shared" si="32"/>
        <v>0</v>
      </c>
      <c r="Y203" s="507">
        <f t="shared" si="33"/>
        <v>0</v>
      </c>
    </row>
    <row r="204" spans="1:26" ht="20.100000000000001" hidden="1" customHeight="1" x14ac:dyDescent="0.2">
      <c r="A204" s="224">
        <v>2</v>
      </c>
      <c r="B204" s="120"/>
      <c r="C204" s="28"/>
      <c r="D204" s="162"/>
      <c r="E204" s="162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62">
        <f t="shared" si="31"/>
        <v>0</v>
      </c>
      <c r="S204" s="157"/>
      <c r="T204" s="157"/>
      <c r="U204" s="157"/>
      <c r="V204" s="163"/>
      <c r="W204" s="157"/>
      <c r="X204" s="163">
        <f t="shared" si="32"/>
        <v>0</v>
      </c>
      <c r="Y204" s="507">
        <f t="shared" si="33"/>
        <v>0</v>
      </c>
    </row>
    <row r="205" spans="1:26" ht="20.100000000000001" hidden="1" customHeight="1" x14ac:dyDescent="0.2">
      <c r="A205" s="82">
        <v>3</v>
      </c>
      <c r="B205" s="120"/>
      <c r="C205" s="28"/>
      <c r="D205" s="162"/>
      <c r="E205" s="162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62">
        <f t="shared" si="31"/>
        <v>0</v>
      </c>
      <c r="S205" s="157"/>
      <c r="T205" s="157"/>
      <c r="U205" s="157"/>
      <c r="V205" s="163"/>
      <c r="W205" s="157"/>
      <c r="X205" s="163">
        <f t="shared" si="32"/>
        <v>0</v>
      </c>
      <c r="Y205" s="507">
        <f t="shared" si="33"/>
        <v>0</v>
      </c>
    </row>
    <row r="206" spans="1:26" ht="20.100000000000001" hidden="1" customHeight="1" x14ac:dyDescent="0.2">
      <c r="A206" s="224">
        <v>4</v>
      </c>
      <c r="B206" s="120"/>
      <c r="C206" s="28"/>
      <c r="D206" s="162"/>
      <c r="E206" s="162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62">
        <f t="shared" si="31"/>
        <v>0</v>
      </c>
      <c r="S206" s="157"/>
      <c r="T206" s="157"/>
      <c r="U206" s="157"/>
      <c r="V206" s="163"/>
      <c r="W206" s="157"/>
      <c r="X206" s="163">
        <f t="shared" si="32"/>
        <v>0</v>
      </c>
      <c r="Y206" s="507">
        <f t="shared" si="33"/>
        <v>0</v>
      </c>
    </row>
    <row r="207" spans="1:26" ht="20.100000000000001" hidden="1" customHeight="1" x14ac:dyDescent="0.2">
      <c r="A207" s="82">
        <v>5</v>
      </c>
      <c r="B207" s="120"/>
      <c r="C207" s="28"/>
      <c r="D207" s="157"/>
      <c r="E207" s="162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62">
        <f t="shared" si="31"/>
        <v>0</v>
      </c>
      <c r="S207" s="157"/>
      <c r="T207" s="157"/>
      <c r="U207" s="157"/>
      <c r="V207" s="163"/>
      <c r="W207" s="157"/>
      <c r="X207" s="163">
        <f t="shared" si="32"/>
        <v>0</v>
      </c>
      <c r="Y207" s="507">
        <f t="shared" si="33"/>
        <v>0</v>
      </c>
    </row>
    <row r="208" spans="1:26" ht="20.100000000000001" hidden="1" customHeight="1" x14ac:dyDescent="0.2">
      <c r="A208" s="224">
        <v>6</v>
      </c>
      <c r="B208" s="330"/>
      <c r="C208" s="88"/>
      <c r="D208" s="157"/>
      <c r="E208" s="162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62">
        <f t="shared" si="31"/>
        <v>0</v>
      </c>
      <c r="S208" s="157"/>
      <c r="T208" s="157"/>
      <c r="U208" s="157"/>
      <c r="V208" s="163"/>
      <c r="W208" s="157"/>
      <c r="X208" s="163">
        <f t="shared" si="32"/>
        <v>0</v>
      </c>
      <c r="Y208" s="507">
        <f t="shared" si="33"/>
        <v>0</v>
      </c>
    </row>
    <row r="209" spans="1:25" ht="20.100000000000001" hidden="1" customHeight="1" x14ac:dyDescent="0.2">
      <c r="A209" s="82">
        <v>7</v>
      </c>
      <c r="B209" s="382"/>
      <c r="C209" s="88"/>
      <c r="D209" s="157"/>
      <c r="E209" s="162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62">
        <f t="shared" si="31"/>
        <v>0</v>
      </c>
      <c r="S209" s="157"/>
      <c r="T209" s="157"/>
      <c r="U209" s="157"/>
      <c r="V209" s="163"/>
      <c r="W209" s="157"/>
      <c r="X209" s="163">
        <f t="shared" si="32"/>
        <v>0</v>
      </c>
      <c r="Y209" s="507">
        <f t="shared" si="33"/>
        <v>0</v>
      </c>
    </row>
    <row r="210" spans="1:25" ht="20.100000000000001" hidden="1" customHeight="1" x14ac:dyDescent="0.2">
      <c r="A210" s="224">
        <v>8</v>
      </c>
      <c r="B210" s="382"/>
      <c r="C210" s="28"/>
      <c r="D210" s="157"/>
      <c r="E210" s="162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62">
        <f t="shared" si="31"/>
        <v>0</v>
      </c>
      <c r="S210" s="157"/>
      <c r="T210" s="157"/>
      <c r="U210" s="157"/>
      <c r="V210" s="163"/>
      <c r="W210" s="157"/>
      <c r="X210" s="163">
        <f t="shared" si="32"/>
        <v>0</v>
      </c>
      <c r="Y210" s="507">
        <f t="shared" si="33"/>
        <v>0</v>
      </c>
    </row>
    <row r="211" spans="1:25" ht="20.100000000000001" hidden="1" customHeight="1" x14ac:dyDescent="0.2">
      <c r="A211" s="82">
        <v>9</v>
      </c>
      <c r="B211" s="120"/>
      <c r="C211" s="28"/>
      <c r="D211" s="157"/>
      <c r="E211" s="162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62">
        <f t="shared" si="31"/>
        <v>0</v>
      </c>
      <c r="S211" s="157"/>
      <c r="T211" s="157"/>
      <c r="U211" s="157"/>
      <c r="V211" s="163"/>
      <c r="W211" s="157"/>
      <c r="X211" s="163">
        <f t="shared" si="32"/>
        <v>0</v>
      </c>
      <c r="Y211" s="507">
        <f t="shared" si="33"/>
        <v>0</v>
      </c>
    </row>
    <row r="212" spans="1:25" ht="20.100000000000001" hidden="1" customHeight="1" x14ac:dyDescent="0.2">
      <c r="A212" s="224">
        <v>10</v>
      </c>
      <c r="B212" s="120"/>
      <c r="C212" s="33"/>
      <c r="D212" s="157"/>
      <c r="E212" s="162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62">
        <f t="shared" si="31"/>
        <v>0</v>
      </c>
      <c r="S212" s="157"/>
      <c r="T212" s="157"/>
      <c r="U212" s="157"/>
      <c r="V212" s="163"/>
      <c r="W212" s="157"/>
      <c r="X212" s="163">
        <f t="shared" si="32"/>
        <v>0</v>
      </c>
      <c r="Y212" s="507">
        <f t="shared" si="33"/>
        <v>0</v>
      </c>
    </row>
    <row r="213" spans="1:25" ht="20.100000000000001" hidden="1" customHeight="1" x14ac:dyDescent="0.2">
      <c r="A213" s="82">
        <v>11</v>
      </c>
      <c r="B213" s="120"/>
      <c r="C213" s="33"/>
      <c r="D213" s="157"/>
      <c r="E213" s="162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62">
        <f t="shared" si="31"/>
        <v>0</v>
      </c>
      <c r="S213" s="157"/>
      <c r="T213" s="157"/>
      <c r="U213" s="157"/>
      <c r="V213" s="163"/>
      <c r="W213" s="157"/>
      <c r="X213" s="163">
        <f t="shared" si="32"/>
        <v>0</v>
      </c>
      <c r="Y213" s="507">
        <f t="shared" si="33"/>
        <v>0</v>
      </c>
    </row>
    <row r="214" spans="1:25" ht="20.100000000000001" hidden="1" customHeight="1" x14ac:dyDescent="0.2">
      <c r="A214" s="224">
        <v>12</v>
      </c>
      <c r="B214" s="120"/>
      <c r="C214" s="33"/>
      <c r="D214" s="157"/>
      <c r="E214" s="162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62">
        <f t="shared" si="31"/>
        <v>0</v>
      </c>
      <c r="S214" s="157"/>
      <c r="T214" s="157"/>
      <c r="U214" s="157"/>
      <c r="V214" s="163"/>
      <c r="W214" s="157"/>
      <c r="X214" s="163">
        <f t="shared" si="32"/>
        <v>0</v>
      </c>
      <c r="Y214" s="507">
        <f t="shared" si="33"/>
        <v>0</v>
      </c>
    </row>
    <row r="215" spans="1:25" ht="20.100000000000001" hidden="1" customHeight="1" x14ac:dyDescent="0.2">
      <c r="A215" s="82">
        <v>13</v>
      </c>
      <c r="B215" s="382"/>
      <c r="C215" s="33"/>
      <c r="D215" s="157"/>
      <c r="E215" s="162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62">
        <f t="shared" si="31"/>
        <v>0</v>
      </c>
      <c r="S215" s="157"/>
      <c r="T215" s="157"/>
      <c r="U215" s="157"/>
      <c r="V215" s="163"/>
      <c r="W215" s="157"/>
      <c r="X215" s="163">
        <f t="shared" si="32"/>
        <v>0</v>
      </c>
      <c r="Y215" s="507">
        <f t="shared" si="33"/>
        <v>0</v>
      </c>
    </row>
    <row r="216" spans="1:25" ht="20.100000000000001" hidden="1" customHeight="1" x14ac:dyDescent="0.2">
      <c r="A216" s="224">
        <v>14</v>
      </c>
      <c r="B216" s="120"/>
      <c r="C216" s="28"/>
      <c r="D216" s="157"/>
      <c r="E216" s="162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62">
        <f t="shared" si="31"/>
        <v>0</v>
      </c>
      <c r="S216" s="157"/>
      <c r="T216" s="157"/>
      <c r="U216" s="157"/>
      <c r="V216" s="163"/>
      <c r="W216" s="157"/>
      <c r="X216" s="163">
        <f t="shared" si="32"/>
        <v>0</v>
      </c>
      <c r="Y216" s="507">
        <f t="shared" si="33"/>
        <v>0</v>
      </c>
    </row>
    <row r="217" spans="1:25" ht="20.100000000000001" hidden="1" customHeight="1" x14ac:dyDescent="0.2">
      <c r="A217" s="82">
        <v>15</v>
      </c>
      <c r="B217" s="382"/>
      <c r="C217" s="33"/>
      <c r="D217" s="157"/>
      <c r="E217" s="162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62">
        <f t="shared" si="31"/>
        <v>0</v>
      </c>
      <c r="S217" s="157"/>
      <c r="T217" s="157"/>
      <c r="U217" s="157"/>
      <c r="V217" s="163"/>
      <c r="W217" s="157"/>
      <c r="X217" s="163">
        <f t="shared" si="32"/>
        <v>0</v>
      </c>
      <c r="Y217" s="507">
        <f t="shared" si="33"/>
        <v>0</v>
      </c>
    </row>
    <row r="218" spans="1:25" ht="20.100000000000001" hidden="1" customHeight="1" x14ac:dyDescent="0.2">
      <c r="A218" s="224">
        <v>16</v>
      </c>
      <c r="B218" s="382"/>
      <c r="C218" s="28"/>
      <c r="D218" s="157"/>
      <c r="E218" s="162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62">
        <f t="shared" si="31"/>
        <v>0</v>
      </c>
      <c r="S218" s="157"/>
      <c r="T218" s="157"/>
      <c r="U218" s="157"/>
      <c r="V218" s="163"/>
      <c r="W218" s="157"/>
      <c r="X218" s="163">
        <f t="shared" si="32"/>
        <v>0</v>
      </c>
      <c r="Y218" s="507">
        <f t="shared" si="33"/>
        <v>0</v>
      </c>
    </row>
    <row r="219" spans="1:25" ht="20.100000000000001" hidden="1" customHeight="1" x14ac:dyDescent="0.2">
      <c r="A219" s="82"/>
      <c r="B219" s="30"/>
      <c r="C219" s="28"/>
      <c r="D219" s="157"/>
      <c r="E219" s="162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62">
        <f t="shared" si="31"/>
        <v>0</v>
      </c>
      <c r="S219" s="157"/>
      <c r="T219" s="157"/>
      <c r="U219" s="157"/>
      <c r="V219" s="163"/>
      <c r="W219" s="157"/>
      <c r="X219" s="163">
        <f t="shared" si="32"/>
        <v>0</v>
      </c>
      <c r="Y219" s="507">
        <f t="shared" si="33"/>
        <v>0</v>
      </c>
    </row>
    <row r="220" spans="1:25" ht="20.100000000000001" hidden="1" customHeight="1" x14ac:dyDescent="0.2">
      <c r="A220" s="210" t="s">
        <v>81</v>
      </c>
      <c r="B220" s="206"/>
      <c r="C220" s="211" t="s">
        <v>79</v>
      </c>
      <c r="D220" s="157">
        <f t="shared" ref="D220:W220" si="45">SUM(D203:D219)</f>
        <v>0</v>
      </c>
      <c r="E220" s="162">
        <f t="shared" si="45"/>
        <v>0</v>
      </c>
      <c r="F220" s="157">
        <f t="shared" si="45"/>
        <v>0</v>
      </c>
      <c r="G220" s="157">
        <f t="shared" si="45"/>
        <v>0</v>
      </c>
      <c r="H220" s="157">
        <f t="shared" si="45"/>
        <v>0</v>
      </c>
      <c r="I220" s="157">
        <f t="shared" si="45"/>
        <v>0</v>
      </c>
      <c r="J220" s="157">
        <f t="shared" si="45"/>
        <v>0</v>
      </c>
      <c r="K220" s="157">
        <f t="shared" si="45"/>
        <v>0</v>
      </c>
      <c r="L220" s="157">
        <f t="shared" si="45"/>
        <v>0</v>
      </c>
      <c r="M220" s="157">
        <f t="shared" si="45"/>
        <v>0</v>
      </c>
      <c r="N220" s="157">
        <f t="shared" si="45"/>
        <v>0</v>
      </c>
      <c r="O220" s="157">
        <f t="shared" si="45"/>
        <v>0</v>
      </c>
      <c r="P220" s="157">
        <f t="shared" si="45"/>
        <v>0</v>
      </c>
      <c r="Q220" s="157">
        <f t="shared" si="45"/>
        <v>0</v>
      </c>
      <c r="R220" s="162">
        <f t="shared" si="31"/>
        <v>0</v>
      </c>
      <c r="S220" s="157"/>
      <c r="T220" s="157">
        <f t="shared" si="45"/>
        <v>0</v>
      </c>
      <c r="U220" s="157">
        <f t="shared" si="45"/>
        <v>0</v>
      </c>
      <c r="V220" s="163">
        <f t="shared" si="45"/>
        <v>0</v>
      </c>
      <c r="W220" s="157">
        <f t="shared" si="45"/>
        <v>0</v>
      </c>
      <c r="X220" s="163">
        <f t="shared" si="32"/>
        <v>0</v>
      </c>
      <c r="Y220" s="507">
        <f t="shared" si="33"/>
        <v>0</v>
      </c>
    </row>
    <row r="221" spans="1:25" ht="20.100000000000001" hidden="1" customHeight="1" x14ac:dyDescent="0.25">
      <c r="A221" s="82"/>
      <c r="D221" s="157"/>
      <c r="E221" s="162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62">
        <f t="shared" si="31"/>
        <v>0</v>
      </c>
      <c r="S221" s="157"/>
      <c r="T221" s="157"/>
      <c r="U221" s="157"/>
      <c r="V221" s="163"/>
      <c r="W221" s="157"/>
      <c r="X221" s="163">
        <f t="shared" si="32"/>
        <v>0</v>
      </c>
      <c r="Y221" s="507">
        <f t="shared" si="33"/>
        <v>0</v>
      </c>
    </row>
    <row r="222" spans="1:25" ht="20.100000000000001" hidden="1" customHeight="1" x14ac:dyDescent="0.2">
      <c r="A222" s="224" t="s">
        <v>108</v>
      </c>
      <c r="B222" s="45"/>
      <c r="C222" s="28"/>
      <c r="D222" s="157"/>
      <c r="E222" s="162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62">
        <f t="shared" si="31"/>
        <v>0</v>
      </c>
      <c r="S222" s="157"/>
      <c r="T222" s="157"/>
      <c r="U222" s="157"/>
      <c r="V222" s="163"/>
      <c r="W222" s="157"/>
      <c r="X222" s="163">
        <f t="shared" si="32"/>
        <v>0</v>
      </c>
      <c r="Y222" s="507">
        <f t="shared" si="33"/>
        <v>0</v>
      </c>
    </row>
    <row r="223" spans="1:25" ht="20.100000000000001" hidden="1" customHeight="1" x14ac:dyDescent="0.2">
      <c r="A223" s="224" t="s">
        <v>108</v>
      </c>
      <c r="B223" s="45"/>
      <c r="C223" s="41"/>
      <c r="D223" s="157"/>
      <c r="E223" s="162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62">
        <f t="shared" si="31"/>
        <v>0</v>
      </c>
      <c r="S223" s="157"/>
      <c r="T223" s="157"/>
      <c r="U223" s="157"/>
      <c r="V223" s="163"/>
      <c r="W223" s="157"/>
      <c r="X223" s="163">
        <f t="shared" si="32"/>
        <v>0</v>
      </c>
      <c r="Y223" s="507">
        <f t="shared" si="33"/>
        <v>0</v>
      </c>
    </row>
    <row r="224" spans="1:25" ht="20.100000000000001" hidden="1" customHeight="1" x14ac:dyDescent="0.2">
      <c r="A224" s="224" t="s">
        <v>108</v>
      </c>
      <c r="B224" s="31"/>
      <c r="C224" s="41"/>
      <c r="D224" s="157"/>
      <c r="E224" s="162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62">
        <f t="shared" si="31"/>
        <v>0</v>
      </c>
      <c r="S224" s="157"/>
      <c r="T224" s="157"/>
      <c r="U224" s="157"/>
      <c r="V224" s="163"/>
      <c r="W224" s="157"/>
      <c r="X224" s="163">
        <f t="shared" si="32"/>
        <v>0</v>
      </c>
      <c r="Y224" s="507">
        <f t="shared" si="33"/>
        <v>0</v>
      </c>
    </row>
    <row r="225" spans="1:25" ht="20.100000000000001" hidden="1" customHeight="1" x14ac:dyDescent="0.2">
      <c r="A225" s="224" t="s">
        <v>108</v>
      </c>
      <c r="B225" s="226"/>
      <c r="C225" s="41"/>
      <c r="D225" s="157"/>
      <c r="E225" s="162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62">
        <f t="shared" si="31"/>
        <v>0</v>
      </c>
      <c r="S225" s="157"/>
      <c r="T225" s="157"/>
      <c r="U225" s="157"/>
      <c r="V225" s="163"/>
      <c r="W225" s="157"/>
      <c r="X225" s="163">
        <f t="shared" si="32"/>
        <v>0</v>
      </c>
      <c r="Y225" s="507">
        <f t="shared" si="33"/>
        <v>0</v>
      </c>
    </row>
    <row r="226" spans="1:25" ht="20.100000000000001" hidden="1" customHeight="1" x14ac:dyDescent="0.2">
      <c r="A226" s="224" t="s">
        <v>108</v>
      </c>
      <c r="B226" s="228"/>
      <c r="C226" s="34"/>
      <c r="D226" s="157"/>
      <c r="E226" s="162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62">
        <f t="shared" si="31"/>
        <v>0</v>
      </c>
      <c r="S226" s="157"/>
      <c r="T226" s="157"/>
      <c r="U226" s="157"/>
      <c r="V226" s="163"/>
      <c r="W226" s="157"/>
      <c r="X226" s="163">
        <f t="shared" si="32"/>
        <v>0</v>
      </c>
      <c r="Y226" s="507">
        <f t="shared" si="33"/>
        <v>0</v>
      </c>
    </row>
    <row r="227" spans="1:25" ht="20.100000000000001" hidden="1" customHeight="1" x14ac:dyDescent="0.2">
      <c r="A227" s="224" t="s">
        <v>108</v>
      </c>
      <c r="B227" s="295"/>
      <c r="C227" s="34"/>
      <c r="D227" s="157"/>
      <c r="E227" s="162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62">
        <f t="shared" si="31"/>
        <v>0</v>
      </c>
      <c r="S227" s="157"/>
      <c r="T227" s="157"/>
      <c r="U227" s="157"/>
      <c r="V227" s="163"/>
      <c r="W227" s="157"/>
      <c r="X227" s="163">
        <f t="shared" si="32"/>
        <v>0</v>
      </c>
      <c r="Y227" s="507">
        <f t="shared" si="33"/>
        <v>0</v>
      </c>
    </row>
    <row r="228" spans="1:25" ht="20.100000000000001" hidden="1" customHeight="1" x14ac:dyDescent="0.2">
      <c r="A228" s="224" t="s">
        <v>108</v>
      </c>
      <c r="B228" s="288"/>
      <c r="C228" s="34"/>
      <c r="D228" s="157"/>
      <c r="E228" s="162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62">
        <f t="shared" si="31"/>
        <v>0</v>
      </c>
      <c r="S228" s="157"/>
      <c r="T228" s="157"/>
      <c r="U228" s="157"/>
      <c r="V228" s="163"/>
      <c r="W228" s="157"/>
      <c r="X228" s="163">
        <f t="shared" si="32"/>
        <v>0</v>
      </c>
      <c r="Y228" s="507">
        <f t="shared" si="33"/>
        <v>0</v>
      </c>
    </row>
    <row r="229" spans="1:25" ht="20.100000000000001" hidden="1" customHeight="1" x14ac:dyDescent="0.2">
      <c r="A229" s="224" t="s">
        <v>108</v>
      </c>
      <c r="B229" s="288"/>
      <c r="C229" s="34"/>
      <c r="D229" s="157"/>
      <c r="E229" s="162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62">
        <f t="shared" ref="R229:R240" si="46">SUM(D229:Q229)</f>
        <v>0</v>
      </c>
      <c r="S229" s="157"/>
      <c r="T229" s="157"/>
      <c r="U229" s="157"/>
      <c r="V229" s="163"/>
      <c r="W229" s="157"/>
      <c r="X229" s="163">
        <f t="shared" ref="X229:X240" si="47">SUM(T229:W229)</f>
        <v>0</v>
      </c>
      <c r="Y229" s="507">
        <f t="shared" ref="Y229:Y240" si="48">R229+X229</f>
        <v>0</v>
      </c>
    </row>
    <row r="230" spans="1:25" ht="20.100000000000001" hidden="1" customHeight="1" x14ac:dyDescent="0.2">
      <c r="A230" s="224" t="s">
        <v>108</v>
      </c>
      <c r="B230" s="295"/>
      <c r="C230" s="34"/>
      <c r="D230" s="157"/>
      <c r="E230" s="162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62">
        <f t="shared" si="46"/>
        <v>0</v>
      </c>
      <c r="S230" s="157"/>
      <c r="T230" s="157"/>
      <c r="U230" s="157"/>
      <c r="V230" s="163"/>
      <c r="W230" s="157"/>
      <c r="X230" s="163">
        <f t="shared" si="47"/>
        <v>0</v>
      </c>
      <c r="Y230" s="507">
        <f t="shared" si="48"/>
        <v>0</v>
      </c>
    </row>
    <row r="231" spans="1:25" ht="20.100000000000001" hidden="1" customHeight="1" x14ac:dyDescent="0.2">
      <c r="A231" s="224" t="s">
        <v>108</v>
      </c>
      <c r="B231" s="295"/>
      <c r="C231" s="34"/>
      <c r="D231" s="157"/>
      <c r="E231" s="162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62">
        <f t="shared" si="46"/>
        <v>0</v>
      </c>
      <c r="S231" s="157"/>
      <c r="T231" s="157"/>
      <c r="U231" s="157"/>
      <c r="V231" s="163"/>
      <c r="W231" s="157"/>
      <c r="X231" s="163">
        <f t="shared" si="47"/>
        <v>0</v>
      </c>
      <c r="Y231" s="507">
        <f t="shared" si="48"/>
        <v>0</v>
      </c>
    </row>
    <row r="232" spans="1:25" ht="20.100000000000001" hidden="1" customHeight="1" x14ac:dyDescent="0.2">
      <c r="A232" s="82"/>
      <c r="B232" s="288"/>
      <c r="C232" s="34"/>
      <c r="D232" s="157"/>
      <c r="E232" s="162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62">
        <f t="shared" si="46"/>
        <v>0</v>
      </c>
      <c r="S232" s="157"/>
      <c r="T232" s="157"/>
      <c r="U232" s="157"/>
      <c r="V232" s="163"/>
      <c r="W232" s="157"/>
      <c r="X232" s="163">
        <f t="shared" si="47"/>
        <v>0</v>
      </c>
      <c r="Y232" s="507">
        <f t="shared" si="48"/>
        <v>0</v>
      </c>
    </row>
    <row r="233" spans="1:25" ht="20.100000000000001" hidden="1" customHeight="1" x14ac:dyDescent="0.2">
      <c r="A233" s="82"/>
      <c r="B233" s="294"/>
      <c r="C233" s="34"/>
      <c r="D233" s="157"/>
      <c r="E233" s="162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62">
        <f t="shared" si="46"/>
        <v>0</v>
      </c>
      <c r="S233" s="157"/>
      <c r="T233" s="157"/>
      <c r="U233" s="157"/>
      <c r="V233" s="163"/>
      <c r="W233" s="157"/>
      <c r="X233" s="163">
        <f t="shared" si="47"/>
        <v>0</v>
      </c>
      <c r="Y233" s="507">
        <f t="shared" si="48"/>
        <v>0</v>
      </c>
    </row>
    <row r="234" spans="1:25" ht="20.100000000000001" hidden="1" customHeight="1" x14ac:dyDescent="0.2">
      <c r="A234" s="82"/>
      <c r="B234" s="294"/>
      <c r="C234" s="34"/>
      <c r="D234" s="157"/>
      <c r="E234" s="162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62">
        <f t="shared" si="46"/>
        <v>0</v>
      </c>
      <c r="S234" s="157"/>
      <c r="T234" s="157"/>
      <c r="U234" s="157"/>
      <c r="V234" s="163"/>
      <c r="W234" s="157"/>
      <c r="X234" s="163">
        <f t="shared" si="47"/>
        <v>0</v>
      </c>
      <c r="Y234" s="507">
        <f t="shared" si="48"/>
        <v>0</v>
      </c>
    </row>
    <row r="235" spans="1:25" ht="20.100000000000001" hidden="1" customHeight="1" x14ac:dyDescent="0.2">
      <c r="A235" s="82"/>
      <c r="B235" s="126"/>
      <c r="C235" s="41"/>
      <c r="D235" s="157"/>
      <c r="E235" s="162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62">
        <f t="shared" si="46"/>
        <v>0</v>
      </c>
      <c r="S235" s="157"/>
      <c r="T235" s="157"/>
      <c r="U235" s="157"/>
      <c r="V235" s="163"/>
      <c r="W235" s="157"/>
      <c r="X235" s="163">
        <f t="shared" si="47"/>
        <v>0</v>
      </c>
      <c r="Y235" s="507">
        <f t="shared" si="48"/>
        <v>0</v>
      </c>
    </row>
    <row r="236" spans="1:25" ht="20.100000000000001" hidden="1" customHeight="1" x14ac:dyDescent="0.2">
      <c r="A236" s="210" t="s">
        <v>82</v>
      </c>
      <c r="B236" s="206"/>
      <c r="C236" s="211" t="s">
        <v>80</v>
      </c>
      <c r="D236" s="157">
        <f t="shared" ref="D236:W236" si="49">SUM(D222:D235)</f>
        <v>0</v>
      </c>
      <c r="E236" s="162">
        <f t="shared" si="49"/>
        <v>0</v>
      </c>
      <c r="F236" s="157">
        <f>SUM(F222:F235)</f>
        <v>0</v>
      </c>
      <c r="G236" s="157">
        <f t="shared" si="49"/>
        <v>0</v>
      </c>
      <c r="H236" s="157">
        <f t="shared" si="49"/>
        <v>0</v>
      </c>
      <c r="I236" s="157">
        <f t="shared" si="49"/>
        <v>0</v>
      </c>
      <c r="J236" s="157">
        <f t="shared" si="49"/>
        <v>0</v>
      </c>
      <c r="K236" s="157">
        <f t="shared" si="49"/>
        <v>0</v>
      </c>
      <c r="L236" s="157">
        <f t="shared" si="49"/>
        <v>0</v>
      </c>
      <c r="M236" s="157">
        <f t="shared" si="49"/>
        <v>0</v>
      </c>
      <c r="N236" s="157">
        <f t="shared" si="49"/>
        <v>0</v>
      </c>
      <c r="O236" s="157">
        <f t="shared" si="49"/>
        <v>0</v>
      </c>
      <c r="P236" s="157">
        <f t="shared" si="49"/>
        <v>0</v>
      </c>
      <c r="Q236" s="157">
        <f t="shared" si="49"/>
        <v>0</v>
      </c>
      <c r="R236" s="162">
        <f t="shared" si="46"/>
        <v>0</v>
      </c>
      <c r="S236" s="157"/>
      <c r="T236" s="157">
        <f t="shared" si="49"/>
        <v>0</v>
      </c>
      <c r="U236" s="157">
        <f t="shared" si="49"/>
        <v>0</v>
      </c>
      <c r="V236" s="163">
        <f t="shared" si="49"/>
        <v>0</v>
      </c>
      <c r="W236" s="157">
        <f t="shared" si="49"/>
        <v>0</v>
      </c>
      <c r="X236" s="163">
        <f t="shared" si="47"/>
        <v>0</v>
      </c>
      <c r="Y236" s="507">
        <f t="shared" si="48"/>
        <v>0</v>
      </c>
    </row>
    <row r="237" spans="1:25" ht="20.100000000000001" hidden="1" customHeight="1" x14ac:dyDescent="0.2">
      <c r="A237" s="82"/>
      <c r="B237" s="126"/>
      <c r="C237" s="41"/>
      <c r="D237" s="157"/>
      <c r="E237" s="162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62">
        <f t="shared" si="46"/>
        <v>0</v>
      </c>
      <c r="S237" s="157"/>
      <c r="T237" s="157"/>
      <c r="U237" s="157"/>
      <c r="V237" s="163"/>
      <c r="W237" s="157"/>
      <c r="X237" s="163">
        <f t="shared" si="47"/>
        <v>0</v>
      </c>
      <c r="Y237" s="507">
        <f t="shared" si="48"/>
        <v>0</v>
      </c>
    </row>
    <row r="238" spans="1:25" ht="20.100000000000001" hidden="1" customHeight="1" thickBot="1" x14ac:dyDescent="0.25">
      <c r="A238" s="82"/>
      <c r="B238" s="89"/>
      <c r="C238" s="41"/>
      <c r="D238" s="157"/>
      <c r="E238" s="162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62">
        <f t="shared" si="46"/>
        <v>0</v>
      </c>
      <c r="S238" s="157"/>
      <c r="T238" s="157"/>
      <c r="U238" s="157"/>
      <c r="V238" s="163"/>
      <c r="W238" s="157"/>
      <c r="X238" s="163">
        <f t="shared" si="47"/>
        <v>0</v>
      </c>
      <c r="Y238" s="507">
        <f t="shared" si="48"/>
        <v>0</v>
      </c>
    </row>
    <row r="239" spans="1:25" ht="24.75" hidden="1" customHeight="1" thickTop="1" thickBot="1" x14ac:dyDescent="0.25">
      <c r="A239" s="42"/>
      <c r="B239" s="259">
        <v>41274</v>
      </c>
      <c r="C239" s="44" t="s">
        <v>83</v>
      </c>
      <c r="D239" s="164">
        <f t="shared" ref="D239:W239" si="50">D220+D236</f>
        <v>0</v>
      </c>
      <c r="E239" s="484">
        <f t="shared" si="50"/>
        <v>0</v>
      </c>
      <c r="F239" s="164">
        <f t="shared" si="50"/>
        <v>0</v>
      </c>
      <c r="G239" s="164">
        <f t="shared" si="50"/>
        <v>0</v>
      </c>
      <c r="H239" s="164">
        <f t="shared" si="50"/>
        <v>0</v>
      </c>
      <c r="I239" s="164">
        <f t="shared" si="50"/>
        <v>0</v>
      </c>
      <c r="J239" s="164">
        <f>J220+J236</f>
        <v>0</v>
      </c>
      <c r="K239" s="164">
        <f t="shared" si="50"/>
        <v>0</v>
      </c>
      <c r="L239" s="164">
        <f t="shared" si="50"/>
        <v>0</v>
      </c>
      <c r="M239" s="164">
        <f t="shared" si="50"/>
        <v>0</v>
      </c>
      <c r="N239" s="164">
        <f t="shared" si="50"/>
        <v>0</v>
      </c>
      <c r="O239" s="164">
        <f t="shared" si="50"/>
        <v>0</v>
      </c>
      <c r="P239" s="164">
        <f t="shared" si="50"/>
        <v>0</v>
      </c>
      <c r="Q239" s="164">
        <f t="shared" si="50"/>
        <v>0</v>
      </c>
      <c r="R239" s="484">
        <f t="shared" si="46"/>
        <v>0</v>
      </c>
      <c r="S239" s="164"/>
      <c r="T239" s="164">
        <f>T220+T236</f>
        <v>0</v>
      </c>
      <c r="U239" s="164">
        <f>U220+U236</f>
        <v>0</v>
      </c>
      <c r="V239" s="166">
        <f t="shared" si="50"/>
        <v>0</v>
      </c>
      <c r="W239" s="164">
        <f t="shared" si="50"/>
        <v>0</v>
      </c>
      <c r="X239" s="166">
        <f t="shared" si="47"/>
        <v>0</v>
      </c>
      <c r="Y239" s="508">
        <f t="shared" si="48"/>
        <v>0</v>
      </c>
    </row>
    <row r="240" spans="1:25" ht="24.75" hidden="1" customHeight="1" thickTop="1" thickBot="1" x14ac:dyDescent="0.25">
      <c r="A240" s="42"/>
      <c r="B240" s="43" t="s">
        <v>109</v>
      </c>
      <c r="C240" s="44" t="s">
        <v>20</v>
      </c>
      <c r="D240" s="204">
        <f t="shared" ref="D240:W240" si="51">D202+D239</f>
        <v>1723092.0499999998</v>
      </c>
      <c r="E240" s="204">
        <f t="shared" si="51"/>
        <v>468996.70199999999</v>
      </c>
      <c r="F240" s="204">
        <f t="shared" si="51"/>
        <v>514842.53700000001</v>
      </c>
      <c r="G240" s="204">
        <f t="shared" si="51"/>
        <v>685</v>
      </c>
      <c r="H240" s="204">
        <f t="shared" si="51"/>
        <v>87740</v>
      </c>
      <c r="I240" s="204">
        <f t="shared" si="51"/>
        <v>0</v>
      </c>
      <c r="J240" s="204">
        <f>J202+J239</f>
        <v>0</v>
      </c>
      <c r="K240" s="204">
        <f t="shared" si="51"/>
        <v>0</v>
      </c>
      <c r="L240" s="204">
        <f t="shared" si="51"/>
        <v>187385</v>
      </c>
      <c r="M240" s="204">
        <f t="shared" si="51"/>
        <v>15134</v>
      </c>
      <c r="N240" s="204">
        <f t="shared" si="51"/>
        <v>0</v>
      </c>
      <c r="O240" s="204">
        <f t="shared" si="51"/>
        <v>5000</v>
      </c>
      <c r="P240" s="204">
        <f t="shared" si="51"/>
        <v>0</v>
      </c>
      <c r="Q240" s="204">
        <f t="shared" si="51"/>
        <v>0</v>
      </c>
      <c r="R240" s="204">
        <f t="shared" si="46"/>
        <v>3002875.2889999999</v>
      </c>
      <c r="S240" s="164"/>
      <c r="T240" s="204">
        <f>T202+T239</f>
        <v>0</v>
      </c>
      <c r="U240" s="204">
        <f>U202+U239</f>
        <v>0</v>
      </c>
      <c r="V240" s="204">
        <f t="shared" si="51"/>
        <v>0</v>
      </c>
      <c r="W240" s="204">
        <f t="shared" si="51"/>
        <v>0</v>
      </c>
      <c r="X240" s="204">
        <f t="shared" si="47"/>
        <v>0</v>
      </c>
      <c r="Y240" s="518">
        <f t="shared" si="48"/>
        <v>3002875.2889999999</v>
      </c>
    </row>
    <row r="241" spans="3:25" ht="17.25" thickTop="1" x14ac:dyDescent="0.25">
      <c r="E241" s="504"/>
      <c r="R241" s="504"/>
      <c r="V241" s="485"/>
      <c r="W241" s="485"/>
      <c r="X241" s="485"/>
      <c r="Y241" s="514"/>
    </row>
    <row r="242" spans="3:25" x14ac:dyDescent="0.25">
      <c r="E242" s="504"/>
      <c r="R242" s="504"/>
      <c r="Y242" s="514"/>
    </row>
    <row r="243" spans="3:25" ht="17.25" thickBot="1" x14ac:dyDescent="0.3">
      <c r="E243" s="504"/>
      <c r="R243" s="504"/>
      <c r="Y243" s="514"/>
    </row>
    <row r="244" spans="3:25" ht="24" customHeight="1" thickTop="1" thickBot="1" x14ac:dyDescent="0.3">
      <c r="C244" s="598" t="s">
        <v>93</v>
      </c>
      <c r="D244" s="599">
        <v>1723092</v>
      </c>
      <c r="E244" s="600">
        <v>468997</v>
      </c>
      <c r="F244" s="601">
        <v>514843</v>
      </c>
      <c r="G244" s="601">
        <v>685</v>
      </c>
      <c r="H244" s="601">
        <v>87740</v>
      </c>
      <c r="I244" s="601">
        <v>0</v>
      </c>
      <c r="J244" s="601">
        <v>0</v>
      </c>
      <c r="K244" s="601">
        <v>0</v>
      </c>
      <c r="L244" s="601">
        <v>187385</v>
      </c>
      <c r="M244" s="601">
        <v>15134</v>
      </c>
      <c r="N244" s="601">
        <v>0</v>
      </c>
      <c r="O244" s="601">
        <v>5000</v>
      </c>
      <c r="P244" s="601">
        <v>0</v>
      </c>
      <c r="Q244" s="601">
        <v>0</v>
      </c>
      <c r="R244" s="600">
        <v>3002875</v>
      </c>
      <c r="S244" s="601"/>
      <c r="T244" s="601">
        <v>0</v>
      </c>
      <c r="U244" s="601">
        <v>0</v>
      </c>
      <c r="V244" s="601"/>
      <c r="W244" s="601"/>
      <c r="X244" s="601">
        <v>0</v>
      </c>
      <c r="Y244" s="602">
        <v>3002875</v>
      </c>
    </row>
    <row r="245" spans="3:25" ht="17.25" thickTop="1" x14ac:dyDescent="0.25">
      <c r="D245" s="291"/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2"/>
    </row>
    <row r="246" spans="3:25" x14ac:dyDescent="0.25">
      <c r="C246" s="2" t="s">
        <v>90</v>
      </c>
      <c r="D246" s="293">
        <f>D244-D240</f>
        <v>-4.9999999813735485E-2</v>
      </c>
      <c r="E246" s="293">
        <f>E244-E240</f>
        <v>0.29800000000977889</v>
      </c>
      <c r="F246" s="293">
        <f t="shared" ref="F246:Y246" si="52">F244-F240</f>
        <v>0.46299999998882413</v>
      </c>
      <c r="G246" s="293">
        <f t="shared" si="52"/>
        <v>0</v>
      </c>
      <c r="H246" s="293">
        <f t="shared" si="52"/>
        <v>0</v>
      </c>
      <c r="I246" s="293">
        <f>I244-I240</f>
        <v>0</v>
      </c>
      <c r="J246" s="293">
        <f t="shared" si="52"/>
        <v>0</v>
      </c>
      <c r="K246" s="293">
        <f t="shared" si="52"/>
        <v>0</v>
      </c>
      <c r="L246" s="293">
        <f t="shared" si="52"/>
        <v>0</v>
      </c>
      <c r="M246" s="293">
        <f t="shared" si="52"/>
        <v>0</v>
      </c>
      <c r="N246" s="293">
        <f t="shared" si="52"/>
        <v>0</v>
      </c>
      <c r="O246" s="293">
        <f t="shared" si="52"/>
        <v>0</v>
      </c>
      <c r="P246" s="293">
        <f t="shared" si="52"/>
        <v>0</v>
      </c>
      <c r="Q246" s="293">
        <f t="shared" si="52"/>
        <v>0</v>
      </c>
      <c r="R246" s="293">
        <f t="shared" si="52"/>
        <v>-0.28899999987334013</v>
      </c>
      <c r="S246" s="293"/>
      <c r="T246" s="293">
        <f t="shared" si="52"/>
        <v>0</v>
      </c>
      <c r="U246" s="293">
        <f t="shared" si="52"/>
        <v>0</v>
      </c>
      <c r="V246" s="293">
        <f t="shared" si="52"/>
        <v>0</v>
      </c>
      <c r="W246" s="293">
        <f t="shared" si="52"/>
        <v>0</v>
      </c>
      <c r="X246" s="293">
        <f t="shared" si="52"/>
        <v>0</v>
      </c>
      <c r="Y246" s="293">
        <f t="shared" si="52"/>
        <v>-0.28899999987334013</v>
      </c>
    </row>
  </sheetData>
  <mergeCells count="8">
    <mergeCell ref="T8:W8"/>
    <mergeCell ref="AH14:AI14"/>
    <mergeCell ref="A2:Y2"/>
    <mergeCell ref="A4:Y4"/>
    <mergeCell ref="AH9:AI9"/>
    <mergeCell ref="D8:K8"/>
    <mergeCell ref="L8:Q8"/>
    <mergeCell ref="D7:X7"/>
  </mergeCells>
  <phoneticPr fontId="3" type="noConversion"/>
  <printOptions horizontalCentered="1" verticalCentered="1"/>
  <pageMargins left="0" right="0" top="0.62" bottom="0.48" header="0.27" footer="0.15"/>
  <pageSetup paperSize="9" scale="4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10</vt:i4>
      </vt:variant>
    </vt:vector>
  </HeadingPairs>
  <TitlesOfParts>
    <vt:vector size="14" baseType="lpstr">
      <vt:lpstr>1.sz.melléklet</vt:lpstr>
      <vt:lpstr>2.sz.melléklet</vt:lpstr>
      <vt:lpstr>3.sz.melléklet</vt:lpstr>
      <vt:lpstr>4.sz.melléklet</vt:lpstr>
      <vt:lpstr>Excel_BuiltIn__FilterDatabase_2</vt:lpstr>
      <vt:lpstr>Excel_BuiltIn__FilterDatabase_3_3</vt:lpstr>
      <vt:lpstr>'1.sz.melléklet'!Nyomtatási_cím</vt:lpstr>
      <vt:lpstr>'2.sz.melléklet'!Nyomtatási_cím</vt:lpstr>
      <vt:lpstr>'3.sz.melléklet'!Nyomtatási_cím</vt:lpstr>
      <vt:lpstr>'4.sz.melléklet'!Nyomtatási_cím</vt:lpstr>
      <vt:lpstr>'1.sz.melléklet'!Nyomtatási_terület</vt:lpstr>
      <vt:lpstr>'2.sz.melléklet'!Nyomtatási_terület</vt:lpstr>
      <vt:lpstr>'3.sz.melléklet'!Nyomtatási_terület</vt:lpstr>
      <vt:lpstr>'4.sz.melléklet'!Nyomtatási_terület</vt:lpstr>
    </vt:vector>
  </TitlesOfParts>
  <Company>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</dc:creator>
  <cp:lastModifiedBy>Balog Lászlóné Zsuzsa</cp:lastModifiedBy>
  <cp:lastPrinted>2017-11-06T16:28:38Z</cp:lastPrinted>
  <dcterms:created xsi:type="dcterms:W3CDTF">2009-03-23T07:49:10Z</dcterms:created>
  <dcterms:modified xsi:type="dcterms:W3CDTF">2017-11-06T16:29:01Z</dcterms:modified>
</cp:coreProperties>
</file>