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7\Rendelet módosítások\Első_04_30 és maradvány\Leadott\"/>
    </mc:Choice>
  </mc:AlternateContent>
  <bookViews>
    <workbookView xWindow="0" yWindow="0" windowWidth="19200" windowHeight="11295" tabRatio="668"/>
  </bookViews>
  <sheets>
    <sheet name="7.sz.melléklet" sheetId="1" r:id="rId1"/>
    <sheet name="8.sz.melléklet" sheetId="2" r:id="rId2"/>
    <sheet name="9.sz.melléklet" sheetId="3" r:id="rId3"/>
    <sheet name="10.sz.melléklet" sheetId="4" r:id="rId4"/>
  </sheets>
  <definedNames>
    <definedName name="Excel_BuiltIn__FilterDatabase_2">'8.sz.melléklet'!$A$15:$AP$142</definedName>
    <definedName name="Excel_BuiltIn__FilterDatabase_3">#REF!</definedName>
    <definedName name="Excel_BuiltIn__FilterDatabase_3_3">'7.sz.melléklet'!$C$7:$W$17</definedName>
    <definedName name="_xlnm.Print_Titles" localSheetId="3">'10.sz.melléklet'!$7:$14</definedName>
    <definedName name="_xlnm.Print_Titles" localSheetId="0">'7.sz.melléklet'!$7:$13</definedName>
    <definedName name="_xlnm.Print_Titles" localSheetId="1">'8.sz.melléklet'!$7:$14</definedName>
    <definedName name="_xlnm.Print_Titles" localSheetId="2">'9.sz.melléklet'!$7:$13</definedName>
    <definedName name="_xlnm.Print_Area" localSheetId="3">'10.sz.melléklet'!$A$1:$Y$240</definedName>
    <definedName name="_xlnm.Print_Area" localSheetId="0">'7.sz.melléklet'!$A$1:$W$205</definedName>
    <definedName name="_xlnm.Print_Area" localSheetId="1">'8.sz.melléklet'!$A$1:$Z$501</definedName>
    <definedName name="_xlnm.Print_Area" localSheetId="2">'9.sz.melléklet'!$A$1:$X$191</definedName>
  </definedNames>
  <calcPr calcId="152511"/>
</workbook>
</file>

<file path=xl/calcChain.xml><?xml version="1.0" encoding="utf-8"?>
<calcChain xmlns="http://schemas.openxmlformats.org/spreadsheetml/2006/main">
  <c r="Y24" i="2" l="1"/>
  <c r="L64" i="4"/>
  <c r="F63" i="4"/>
  <c r="L129" i="2"/>
  <c r="F126" i="2"/>
  <c r="L126" i="2"/>
  <c r="F125" i="2"/>
  <c r="L125" i="2"/>
  <c r="G118" i="2"/>
  <c r="F116" i="2"/>
  <c r="F115" i="2"/>
  <c r="F113" i="2"/>
  <c r="L138" i="2" l="1"/>
  <c r="L136" i="2"/>
  <c r="F129" i="2"/>
  <c r="F128" i="2"/>
  <c r="R128" i="2" s="1"/>
  <c r="Z117" i="2"/>
  <c r="X128" i="2"/>
  <c r="F127" i="2"/>
  <c r="L127" i="2"/>
  <c r="J126" i="2"/>
  <c r="Y128" i="2" l="1"/>
  <c r="Q123" i="2" l="1"/>
  <c r="F123" i="2"/>
  <c r="M123" i="2"/>
  <c r="F121" i="2"/>
  <c r="F120" i="2"/>
  <c r="M120" i="2"/>
  <c r="X119" i="2"/>
  <c r="M119" i="2"/>
  <c r="R119" i="2"/>
  <c r="Y119" i="2" s="1"/>
  <c r="F118" i="2"/>
  <c r="J118" i="2"/>
  <c r="J116" i="2"/>
  <c r="L113" i="2"/>
  <c r="F112" i="2"/>
  <c r="F111" i="2"/>
  <c r="F110" i="2"/>
  <c r="F109" i="2"/>
  <c r="F103" i="2"/>
  <c r="K101" i="2"/>
  <c r="Y194" i="3"/>
  <c r="F66" i="4"/>
  <c r="D66" i="4"/>
  <c r="L66" i="4"/>
  <c r="L63" i="4"/>
  <c r="M63" i="4"/>
  <c r="E61" i="4"/>
  <c r="D61" i="4"/>
  <c r="E58" i="4"/>
  <c r="D58" i="4"/>
  <c r="F57" i="4"/>
  <c r="R45" i="3"/>
  <c r="F56" i="4"/>
  <c r="J60" i="2" l="1"/>
  <c r="F60" i="2"/>
  <c r="J59" i="2" l="1"/>
  <c r="K59" i="2"/>
  <c r="L58" i="2"/>
  <c r="F58" i="2"/>
  <c r="F32" i="3" l="1"/>
  <c r="L53" i="2" l="1"/>
  <c r="K53" i="2"/>
  <c r="Q57" i="2"/>
  <c r="K57" i="2"/>
  <c r="K56" i="2"/>
  <c r="J56" i="2"/>
  <c r="K55" i="2"/>
  <c r="J55" i="2"/>
  <c r="F40" i="4"/>
  <c r="L40" i="4"/>
  <c r="Z54" i="2" l="1"/>
  <c r="K54" i="2"/>
  <c r="X44" i="2" l="1"/>
  <c r="X45" i="2"/>
  <c r="X46" i="2"/>
  <c r="X47" i="2"/>
  <c r="X48" i="2"/>
  <c r="X49" i="2"/>
  <c r="X50" i="2"/>
  <c r="R45" i="2"/>
  <c r="Y45" i="2" s="1"/>
  <c r="R48" i="2"/>
  <c r="Y48" i="2" s="1"/>
  <c r="E52" i="2"/>
  <c r="D52" i="2"/>
  <c r="F52" i="2"/>
  <c r="K50" i="2"/>
  <c r="J50" i="2"/>
  <c r="R50" i="2" s="1"/>
  <c r="Y50" i="2" s="1"/>
  <c r="K28" i="1"/>
  <c r="K49" i="2"/>
  <c r="R49" i="2" s="1"/>
  <c r="Y49" i="2" s="1"/>
  <c r="K48" i="2"/>
  <c r="F48" i="2"/>
  <c r="F21" i="4"/>
  <c r="X20" i="3"/>
  <c r="Z47" i="2"/>
  <c r="K47" i="2"/>
  <c r="R47" i="2" s="1"/>
  <c r="Y47" i="2" s="1"/>
  <c r="L46" i="2"/>
  <c r="F46" i="2"/>
  <c r="R46" i="2" s="1"/>
  <c r="Y46" i="2" s="1"/>
  <c r="K45" i="2"/>
  <c r="J45" i="2"/>
  <c r="F44" i="2"/>
  <c r="R44" i="2" s="1"/>
  <c r="Y44" i="2" s="1"/>
  <c r="L44" i="2"/>
  <c r="Z51" i="2" l="1"/>
  <c r="L51" i="2"/>
  <c r="U42" i="2" l="1"/>
  <c r="Q27" i="1"/>
  <c r="K41" i="2" l="1"/>
  <c r="L40" i="2"/>
  <c r="F26" i="1"/>
  <c r="L25" i="1"/>
  <c r="H25" i="1"/>
  <c r="L39" i="4" l="1"/>
  <c r="L31" i="3"/>
  <c r="H31" i="3"/>
  <c r="J39" i="2" l="1"/>
  <c r="K39" i="2"/>
  <c r="Z38" i="2"/>
  <c r="D24" i="1"/>
  <c r="D23" i="1"/>
  <c r="Z37" i="2"/>
  <c r="Z36" i="2"/>
  <c r="D21" i="1"/>
  <c r="Z35" i="2"/>
  <c r="D20" i="4"/>
  <c r="E20" i="4"/>
  <c r="X19" i="3"/>
  <c r="D20" i="1"/>
  <c r="Z34" i="2"/>
  <c r="G32" i="2"/>
  <c r="I19" i="1"/>
  <c r="E34" i="4" l="1"/>
  <c r="D34" i="4"/>
  <c r="F30" i="3"/>
  <c r="L33" i="4"/>
  <c r="F33" i="4"/>
  <c r="E19" i="4" l="1"/>
  <c r="D19" i="4"/>
  <c r="X18" i="3"/>
  <c r="Z33" i="2"/>
  <c r="K33" i="2"/>
  <c r="Z31" i="2"/>
  <c r="K31" i="2"/>
  <c r="L30" i="2"/>
  <c r="K30" i="2"/>
  <c r="K29" i="2"/>
  <c r="J29" i="2"/>
  <c r="F29" i="2"/>
  <c r="E29" i="2"/>
  <c r="D29" i="2"/>
  <c r="L28" i="2"/>
  <c r="K28" i="2"/>
  <c r="J28" i="2"/>
  <c r="F28" i="2"/>
  <c r="E28" i="2"/>
  <c r="D28" i="2"/>
  <c r="L27" i="2"/>
  <c r="K27" i="2"/>
  <c r="F27" i="2"/>
  <c r="X24" i="2"/>
  <c r="Z24" i="2"/>
  <c r="F24" i="2"/>
  <c r="R24" i="2" s="1"/>
  <c r="Z23" i="2" l="1"/>
  <c r="F23" i="2"/>
  <c r="Z22" i="2"/>
  <c r="F22" i="2"/>
  <c r="Z21" i="2"/>
  <c r="F21" i="2"/>
  <c r="X23" i="2"/>
  <c r="R23" i="2"/>
  <c r="Y23" i="2" l="1"/>
  <c r="F26" i="2"/>
  <c r="H18" i="1"/>
  <c r="M25" i="2"/>
  <c r="K25" i="2"/>
  <c r="F20" i="2"/>
  <c r="J20" i="2"/>
  <c r="I20" i="2"/>
  <c r="F19" i="2"/>
  <c r="L19" i="2"/>
  <c r="F18" i="2"/>
  <c r="M18" i="2"/>
  <c r="H17" i="1"/>
  <c r="D17" i="1"/>
  <c r="L32" i="4" l="1"/>
  <c r="F32" i="4"/>
  <c r="U45" i="4" l="1"/>
  <c r="V45" i="4"/>
  <c r="W45" i="4"/>
  <c r="T45" i="4"/>
  <c r="N45" i="4"/>
  <c r="O45" i="4"/>
  <c r="P45" i="4"/>
  <c r="Q45" i="4"/>
  <c r="L45" i="4"/>
  <c r="M45" i="4"/>
  <c r="G45" i="4"/>
  <c r="H45" i="4"/>
  <c r="I45" i="4"/>
  <c r="J45" i="4"/>
  <c r="K45" i="4"/>
  <c r="F45" i="4"/>
  <c r="E45" i="4"/>
  <c r="D45" i="4"/>
  <c r="X41" i="4"/>
  <c r="R41" i="4"/>
  <c r="Y41" i="4" s="1"/>
  <c r="X61" i="2"/>
  <c r="R61" i="2"/>
  <c r="U33" i="1"/>
  <c r="O33" i="1"/>
  <c r="W33" i="1" s="1"/>
  <c r="R87" i="2"/>
  <c r="X83" i="2"/>
  <c r="R83" i="2"/>
  <c r="X72" i="2"/>
  <c r="X73" i="2"/>
  <c r="X74" i="2"/>
  <c r="R72" i="2"/>
  <c r="R73" i="2"/>
  <c r="R74" i="2"/>
  <c r="X69" i="2"/>
  <c r="X70" i="2"/>
  <c r="R69" i="2"/>
  <c r="R70" i="2"/>
  <c r="X64" i="2"/>
  <c r="X65" i="2"/>
  <c r="R64" i="2"/>
  <c r="R65" i="2"/>
  <c r="H40" i="3"/>
  <c r="X28" i="3"/>
  <c r="R71" i="2"/>
  <c r="X71" i="2"/>
  <c r="U34" i="1"/>
  <c r="O34" i="1"/>
  <c r="W34" i="1" s="1"/>
  <c r="R86" i="2"/>
  <c r="R84" i="2"/>
  <c r="U33" i="3"/>
  <c r="U34" i="3"/>
  <c r="W34" i="3" s="1"/>
  <c r="U35" i="3"/>
  <c r="U36" i="3"/>
  <c r="O33" i="3"/>
  <c r="O34" i="3"/>
  <c r="O35" i="3"/>
  <c r="O36" i="3"/>
  <c r="O32" i="3"/>
  <c r="R68" i="2"/>
  <c r="R67" i="2"/>
  <c r="R66" i="2"/>
  <c r="R63" i="2"/>
  <c r="R57" i="2"/>
  <c r="R62" i="2"/>
  <c r="O31" i="1"/>
  <c r="R58" i="2"/>
  <c r="R56" i="2"/>
  <c r="R55" i="2"/>
  <c r="U29" i="1"/>
  <c r="X50" i="4"/>
  <c r="R50" i="4"/>
  <c r="Y50" i="4" s="1"/>
  <c r="X98" i="2"/>
  <c r="R98" i="2"/>
  <c r="R63" i="4"/>
  <c r="F69" i="4"/>
  <c r="R123" i="2"/>
  <c r="R138" i="2"/>
  <c r="R139" i="2"/>
  <c r="R140" i="2"/>
  <c r="R141" i="2"/>
  <c r="R142" i="2"/>
  <c r="R143" i="2"/>
  <c r="R144" i="2"/>
  <c r="R137" i="2"/>
  <c r="R136" i="2"/>
  <c r="R129" i="2"/>
  <c r="R126" i="2"/>
  <c r="R125" i="2"/>
  <c r="R121" i="2"/>
  <c r="R120" i="2"/>
  <c r="L146" i="2"/>
  <c r="M146" i="2"/>
  <c r="R116" i="2"/>
  <c r="R115" i="2"/>
  <c r="X114" i="2"/>
  <c r="R114" i="2"/>
  <c r="R112" i="2"/>
  <c r="R111" i="2"/>
  <c r="R110" i="2"/>
  <c r="I146" i="2"/>
  <c r="F40" i="3"/>
  <c r="R32" i="4"/>
  <c r="O22" i="1"/>
  <c r="R54" i="2"/>
  <c r="E96" i="2"/>
  <c r="R21" i="4"/>
  <c r="U27" i="1"/>
  <c r="O27" i="1"/>
  <c r="X41" i="2"/>
  <c r="R41" i="2"/>
  <c r="R20" i="4"/>
  <c r="X37" i="2"/>
  <c r="R37" i="2"/>
  <c r="U23" i="1"/>
  <c r="O23" i="1"/>
  <c r="W23" i="1" s="1"/>
  <c r="R32" i="2"/>
  <c r="R31" i="2"/>
  <c r="R30" i="2"/>
  <c r="U21" i="1"/>
  <c r="U22" i="1"/>
  <c r="O21" i="1"/>
  <c r="R28" i="2"/>
  <c r="X28" i="2"/>
  <c r="X29" i="2"/>
  <c r="X30" i="2"/>
  <c r="X31" i="2"/>
  <c r="X32" i="2"/>
  <c r="R29" i="2"/>
  <c r="I42" i="1"/>
  <c r="R19" i="4"/>
  <c r="F30" i="4"/>
  <c r="F48" i="4" s="1"/>
  <c r="R25" i="2"/>
  <c r="O20" i="1"/>
  <c r="W20" i="1" s="1"/>
  <c r="U20" i="1"/>
  <c r="U19" i="1"/>
  <c r="H42" i="1"/>
  <c r="Q96" i="2"/>
  <c r="R53" i="2"/>
  <c r="V96" i="2"/>
  <c r="R42" i="1"/>
  <c r="R43" i="2"/>
  <c r="X43" i="2"/>
  <c r="O24" i="1"/>
  <c r="R38" i="2"/>
  <c r="R36" i="2"/>
  <c r="R35" i="2"/>
  <c r="R33" i="2"/>
  <c r="R19" i="2"/>
  <c r="U26" i="1"/>
  <c r="O17" i="1"/>
  <c r="U18" i="1"/>
  <c r="O18" i="1"/>
  <c r="K42" i="1"/>
  <c r="U96" i="2"/>
  <c r="W96" i="2"/>
  <c r="T96" i="2"/>
  <c r="AA503" i="2"/>
  <c r="H96" i="2"/>
  <c r="I96" i="2"/>
  <c r="M96" i="2"/>
  <c r="N96" i="2"/>
  <c r="O96" i="2"/>
  <c r="P96" i="2"/>
  <c r="O30" i="3"/>
  <c r="R35" i="4"/>
  <c r="Y35" i="4" s="1"/>
  <c r="R36" i="4"/>
  <c r="Y36" i="4" s="1"/>
  <c r="R37" i="4"/>
  <c r="R38" i="4"/>
  <c r="R39" i="4"/>
  <c r="Y39" i="4" s="1"/>
  <c r="X34" i="4"/>
  <c r="X35" i="4"/>
  <c r="X36" i="4"/>
  <c r="X37" i="4"/>
  <c r="Y37" i="4" s="1"/>
  <c r="X38" i="4"/>
  <c r="X39" i="4"/>
  <c r="X40" i="4"/>
  <c r="R89" i="2"/>
  <c r="X22" i="4"/>
  <c r="X23" i="4"/>
  <c r="X24" i="4"/>
  <c r="X25" i="4"/>
  <c r="X26" i="4"/>
  <c r="R22" i="4"/>
  <c r="Y22" i="4" s="1"/>
  <c r="R23" i="4"/>
  <c r="R24" i="4"/>
  <c r="R25" i="4"/>
  <c r="R26" i="4"/>
  <c r="Y26" i="4" s="1"/>
  <c r="O21" i="3"/>
  <c r="O22" i="3"/>
  <c r="O23" i="3"/>
  <c r="O24" i="3"/>
  <c r="U21" i="3"/>
  <c r="U22" i="3"/>
  <c r="U23" i="3"/>
  <c r="U24" i="3"/>
  <c r="U18" i="3"/>
  <c r="U19" i="3"/>
  <c r="R80" i="2"/>
  <c r="R82" i="2"/>
  <c r="R88" i="2"/>
  <c r="R90" i="2"/>
  <c r="R91" i="2"/>
  <c r="R92" i="2"/>
  <c r="R93" i="2"/>
  <c r="X80" i="2"/>
  <c r="X81" i="2"/>
  <c r="X82" i="2"/>
  <c r="Y82" i="2" s="1"/>
  <c r="X84" i="2"/>
  <c r="Y84" i="2" s="1"/>
  <c r="X85" i="2"/>
  <c r="X86" i="2"/>
  <c r="X87" i="2"/>
  <c r="X88" i="2"/>
  <c r="X89" i="2"/>
  <c r="X90" i="2"/>
  <c r="X91" i="2"/>
  <c r="X92" i="2"/>
  <c r="Y92" i="2" s="1"/>
  <c r="X93" i="2"/>
  <c r="E30" i="4"/>
  <c r="E48" i="4" s="1"/>
  <c r="O26" i="1"/>
  <c r="X26" i="2"/>
  <c r="X27" i="2"/>
  <c r="U24" i="1"/>
  <c r="U25" i="1"/>
  <c r="R26" i="2"/>
  <c r="R27" i="2"/>
  <c r="X66" i="2"/>
  <c r="X67" i="2"/>
  <c r="X68" i="2"/>
  <c r="X55" i="2"/>
  <c r="X56" i="2"/>
  <c r="X57" i="2"/>
  <c r="X58" i="2"/>
  <c r="Y58" i="2" s="1"/>
  <c r="X59" i="2"/>
  <c r="X60" i="2"/>
  <c r="X62" i="2"/>
  <c r="X63" i="2"/>
  <c r="Y63" i="2" s="1"/>
  <c r="X75" i="2"/>
  <c r="X76" i="2"/>
  <c r="X77" i="2"/>
  <c r="X78" i="2"/>
  <c r="X53" i="2"/>
  <c r="X54" i="2"/>
  <c r="R59" i="2"/>
  <c r="Y59" i="2" s="1"/>
  <c r="R75" i="2"/>
  <c r="Y75" i="2" s="1"/>
  <c r="R77" i="2"/>
  <c r="O37" i="1"/>
  <c r="W37" i="1" s="1"/>
  <c r="O38" i="1"/>
  <c r="O39" i="1"/>
  <c r="U37" i="1"/>
  <c r="U38" i="1"/>
  <c r="U39" i="1"/>
  <c r="U35" i="1"/>
  <c r="U36" i="1"/>
  <c r="U31" i="1"/>
  <c r="U32" i="1"/>
  <c r="O29" i="1"/>
  <c r="O30" i="1"/>
  <c r="O32" i="1"/>
  <c r="O35" i="1"/>
  <c r="O36" i="1"/>
  <c r="R52" i="2"/>
  <c r="R42" i="2"/>
  <c r="O28" i="1"/>
  <c r="R156" i="4"/>
  <c r="X156" i="4"/>
  <c r="R157" i="4"/>
  <c r="Y157" i="4" s="1"/>
  <c r="X157" i="4"/>
  <c r="Z500" i="2"/>
  <c r="F500" i="2"/>
  <c r="R492" i="2"/>
  <c r="K500" i="2"/>
  <c r="U139" i="3"/>
  <c r="G142" i="3"/>
  <c r="F174" i="4"/>
  <c r="F187" i="4"/>
  <c r="R170" i="4"/>
  <c r="X487" i="2"/>
  <c r="O187" i="1"/>
  <c r="W187" i="1" s="1"/>
  <c r="R484" i="2"/>
  <c r="N500" i="2"/>
  <c r="R482" i="2"/>
  <c r="H204" i="1"/>
  <c r="F204" i="1"/>
  <c r="R181" i="4"/>
  <c r="G174" i="4"/>
  <c r="R480" i="2"/>
  <c r="M184" i="4"/>
  <c r="X179" i="4"/>
  <c r="X180" i="4"/>
  <c r="X181" i="4"/>
  <c r="X182" i="4"/>
  <c r="R179" i="4"/>
  <c r="Y179" i="4"/>
  <c r="R178" i="4"/>
  <c r="Y178" i="4" s="1"/>
  <c r="O140" i="3"/>
  <c r="O138" i="3"/>
  <c r="D184" i="4"/>
  <c r="R474" i="2"/>
  <c r="U179" i="1"/>
  <c r="O179" i="1"/>
  <c r="W179" i="1" s="1"/>
  <c r="K204" i="1"/>
  <c r="X467" i="2"/>
  <c r="R467" i="2"/>
  <c r="R462" i="2"/>
  <c r="M500" i="2"/>
  <c r="R459" i="2"/>
  <c r="O177" i="1"/>
  <c r="R457" i="2"/>
  <c r="J500" i="2"/>
  <c r="F184" i="4"/>
  <c r="L500" i="2"/>
  <c r="X448" i="2"/>
  <c r="R448" i="2"/>
  <c r="R447" i="2"/>
  <c r="X446" i="2"/>
  <c r="X447" i="2"/>
  <c r="R446" i="2"/>
  <c r="R445" i="2"/>
  <c r="X444" i="2"/>
  <c r="X445" i="2"/>
  <c r="R444" i="2"/>
  <c r="X450" i="2"/>
  <c r="R450" i="2"/>
  <c r="Y450" i="2" s="1"/>
  <c r="X449" i="2"/>
  <c r="R449" i="2"/>
  <c r="W500" i="2"/>
  <c r="U500" i="2"/>
  <c r="T500" i="2"/>
  <c r="X500" i="2" s="1"/>
  <c r="Q500" i="2"/>
  <c r="P500" i="2"/>
  <c r="O500" i="2"/>
  <c r="I500" i="2"/>
  <c r="H500" i="2"/>
  <c r="D500" i="2"/>
  <c r="X498" i="2"/>
  <c r="R498" i="2"/>
  <c r="X497" i="2"/>
  <c r="R497" i="2"/>
  <c r="X496" i="2"/>
  <c r="R496" i="2"/>
  <c r="X495" i="2"/>
  <c r="R495" i="2"/>
  <c r="X494" i="2"/>
  <c r="R494" i="2"/>
  <c r="X493" i="2"/>
  <c r="X492" i="2"/>
  <c r="X491" i="2"/>
  <c r="R491" i="2"/>
  <c r="X490" i="2"/>
  <c r="R490" i="2"/>
  <c r="X489" i="2"/>
  <c r="R489" i="2"/>
  <c r="X488" i="2"/>
  <c r="R487" i="2"/>
  <c r="X486" i="2"/>
  <c r="R486" i="2"/>
  <c r="X485" i="2"/>
  <c r="R485" i="2"/>
  <c r="X484" i="2"/>
  <c r="X483" i="2"/>
  <c r="X482" i="2"/>
  <c r="X481" i="2"/>
  <c r="R481" i="2"/>
  <c r="X480" i="2"/>
  <c r="X479" i="2"/>
  <c r="X478" i="2"/>
  <c r="R478" i="2"/>
  <c r="X477" i="2"/>
  <c r="R477" i="2"/>
  <c r="X476" i="2"/>
  <c r="R476" i="2"/>
  <c r="X475" i="2"/>
  <c r="R475" i="2"/>
  <c r="X474" i="2"/>
  <c r="X473" i="2"/>
  <c r="R473" i="2"/>
  <c r="X472" i="2"/>
  <c r="R472" i="2"/>
  <c r="X471" i="2"/>
  <c r="R471" i="2"/>
  <c r="X470" i="2"/>
  <c r="R470" i="2"/>
  <c r="X469" i="2"/>
  <c r="R469" i="2"/>
  <c r="X468" i="2"/>
  <c r="R468" i="2"/>
  <c r="X466" i="2"/>
  <c r="R466" i="2"/>
  <c r="X465" i="2"/>
  <c r="X464" i="2"/>
  <c r="R464" i="2"/>
  <c r="X463" i="2"/>
  <c r="R463" i="2"/>
  <c r="X462" i="2"/>
  <c r="X461" i="2"/>
  <c r="R461" i="2"/>
  <c r="X460" i="2"/>
  <c r="X459" i="2"/>
  <c r="X458" i="2"/>
  <c r="R458" i="2"/>
  <c r="X457" i="2"/>
  <c r="X456" i="2"/>
  <c r="R456" i="2"/>
  <c r="X455" i="2"/>
  <c r="X454" i="2"/>
  <c r="R454" i="2"/>
  <c r="X453" i="2"/>
  <c r="R453" i="2"/>
  <c r="X452" i="2"/>
  <c r="R452" i="2"/>
  <c r="X451" i="2"/>
  <c r="R451" i="2"/>
  <c r="Y451" i="2" s="1"/>
  <c r="U197" i="1"/>
  <c r="U198" i="1"/>
  <c r="U199" i="1"/>
  <c r="U200" i="1"/>
  <c r="U189" i="1"/>
  <c r="U190" i="1"/>
  <c r="U191" i="1"/>
  <c r="U192" i="1"/>
  <c r="U193" i="1"/>
  <c r="U194" i="1"/>
  <c r="U195" i="1"/>
  <c r="U196" i="1"/>
  <c r="U178" i="1"/>
  <c r="U180" i="1"/>
  <c r="U181" i="1"/>
  <c r="U182" i="1"/>
  <c r="U183" i="1"/>
  <c r="U184" i="1"/>
  <c r="U185" i="1"/>
  <c r="U186" i="1"/>
  <c r="U187" i="1"/>
  <c r="U188" i="1"/>
  <c r="U177" i="1"/>
  <c r="W177" i="1" s="1"/>
  <c r="U176" i="1"/>
  <c r="T204" i="1"/>
  <c r="S204" i="1"/>
  <c r="R204" i="1"/>
  <c r="Q204" i="1"/>
  <c r="N204" i="1"/>
  <c r="M204" i="1"/>
  <c r="L204" i="1"/>
  <c r="J204" i="1"/>
  <c r="I204" i="1"/>
  <c r="G204" i="1"/>
  <c r="E204" i="1"/>
  <c r="U202" i="1"/>
  <c r="O202" i="1"/>
  <c r="W202" i="1" s="1"/>
  <c r="O200" i="1"/>
  <c r="W200" i="1" s="1"/>
  <c r="O199" i="1"/>
  <c r="O198" i="1"/>
  <c r="O197" i="1"/>
  <c r="W197" i="1" s="1"/>
  <c r="O196" i="1"/>
  <c r="W196" i="1" s="1"/>
  <c r="O195" i="1"/>
  <c r="O194" i="1"/>
  <c r="O193" i="1"/>
  <c r="W193" i="1" s="1"/>
  <c r="O192" i="1"/>
  <c r="W192" i="1" s="1"/>
  <c r="O191" i="1"/>
  <c r="O190" i="1"/>
  <c r="O189" i="1"/>
  <c r="W189" i="1" s="1"/>
  <c r="O188" i="1"/>
  <c r="W188" i="1" s="1"/>
  <c r="O186" i="1"/>
  <c r="W186" i="1" s="1"/>
  <c r="O184" i="1"/>
  <c r="O183" i="1"/>
  <c r="W183" i="1" s="1"/>
  <c r="O182" i="1"/>
  <c r="W182" i="1" s="1"/>
  <c r="O181" i="1"/>
  <c r="O178" i="1"/>
  <c r="W178" i="1" s="1"/>
  <c r="O176" i="1"/>
  <c r="W176" i="1" s="1"/>
  <c r="X388" i="2"/>
  <c r="R388" i="2"/>
  <c r="F441" i="2"/>
  <c r="Z441" i="2"/>
  <c r="R385" i="2"/>
  <c r="X385" i="2"/>
  <c r="R384" i="2"/>
  <c r="X384" i="2"/>
  <c r="U145" i="1"/>
  <c r="O145" i="1"/>
  <c r="W145" i="1"/>
  <c r="R383" i="2"/>
  <c r="X383" i="2"/>
  <c r="U146" i="1"/>
  <c r="D173" i="1"/>
  <c r="X115" i="3"/>
  <c r="Q441" i="2"/>
  <c r="J441" i="2"/>
  <c r="R154" i="4"/>
  <c r="F161" i="4"/>
  <c r="R378" i="2"/>
  <c r="X377" i="2"/>
  <c r="X378" i="2"/>
  <c r="D441" i="2"/>
  <c r="R376" i="2"/>
  <c r="R371" i="2"/>
  <c r="R374" i="2"/>
  <c r="R373" i="2"/>
  <c r="R372" i="2"/>
  <c r="E441" i="2"/>
  <c r="X362" i="2"/>
  <c r="X363" i="2"/>
  <c r="R362" i="2"/>
  <c r="X364" i="2"/>
  <c r="R364" i="2"/>
  <c r="R367" i="2"/>
  <c r="R366" i="2"/>
  <c r="R365" i="2"/>
  <c r="R119" i="4"/>
  <c r="Z355" i="2"/>
  <c r="W355" i="2"/>
  <c r="V355" i="2"/>
  <c r="U355" i="2"/>
  <c r="T355" i="2"/>
  <c r="Q355" i="2"/>
  <c r="P355" i="2"/>
  <c r="O355" i="2"/>
  <c r="N355" i="2"/>
  <c r="M355" i="2"/>
  <c r="J355" i="2"/>
  <c r="I355" i="2"/>
  <c r="H355" i="2"/>
  <c r="G355" i="2"/>
  <c r="D355" i="2"/>
  <c r="E355" i="2"/>
  <c r="R337" i="2"/>
  <c r="Y337" i="2" s="1"/>
  <c r="R339" i="2"/>
  <c r="Y339" i="2" s="1"/>
  <c r="R336" i="2"/>
  <c r="Y336" i="2" s="1"/>
  <c r="K355" i="2"/>
  <c r="L355" i="2"/>
  <c r="U124" i="1"/>
  <c r="O124" i="1"/>
  <c r="W124" i="1" s="1"/>
  <c r="H138" i="1"/>
  <c r="D138" i="1"/>
  <c r="O117" i="1"/>
  <c r="O88" i="3"/>
  <c r="W88" i="3" s="1"/>
  <c r="O89" i="3"/>
  <c r="W89" i="3" s="1"/>
  <c r="U88" i="3"/>
  <c r="U89" i="3"/>
  <c r="X326" i="2"/>
  <c r="R326" i="2"/>
  <c r="U99" i="3"/>
  <c r="O99" i="3"/>
  <c r="W99" i="3" s="1"/>
  <c r="X137" i="4"/>
  <c r="R137" i="4"/>
  <c r="Y137" i="4"/>
  <c r="O98" i="3"/>
  <c r="W98" i="3" s="1"/>
  <c r="X133" i="4"/>
  <c r="X134" i="4"/>
  <c r="Y134" i="4" s="1"/>
  <c r="X135" i="4"/>
  <c r="X136" i="4"/>
  <c r="R133" i="4"/>
  <c r="Y133" i="4"/>
  <c r="R134" i="4"/>
  <c r="R135" i="4"/>
  <c r="Y135" i="4"/>
  <c r="R136" i="4"/>
  <c r="Y136" i="4" s="1"/>
  <c r="F140" i="4"/>
  <c r="E140" i="4"/>
  <c r="U98" i="3"/>
  <c r="R132" i="4"/>
  <c r="X327" i="2"/>
  <c r="R325" i="2"/>
  <c r="X325" i="2"/>
  <c r="O116" i="1"/>
  <c r="R320" i="2"/>
  <c r="R319" i="2"/>
  <c r="X121" i="4"/>
  <c r="X122" i="4"/>
  <c r="R121" i="4"/>
  <c r="Y121" i="4" s="1"/>
  <c r="R122" i="4"/>
  <c r="X93" i="3"/>
  <c r="R316" i="2"/>
  <c r="X313" i="2"/>
  <c r="X314" i="2"/>
  <c r="X315" i="2"/>
  <c r="X316" i="2"/>
  <c r="X317" i="2"/>
  <c r="X318" i="2"/>
  <c r="X319" i="2"/>
  <c r="Y319" i="2" s="1"/>
  <c r="X320" i="2"/>
  <c r="R314" i="2"/>
  <c r="R313" i="2"/>
  <c r="R324" i="2"/>
  <c r="R323" i="2"/>
  <c r="R322" i="2"/>
  <c r="R321" i="2"/>
  <c r="R312" i="2"/>
  <c r="G102" i="3"/>
  <c r="O96" i="3"/>
  <c r="R131" i="4"/>
  <c r="Y131" i="4" s="1"/>
  <c r="X131" i="4"/>
  <c r="X132" i="4"/>
  <c r="Y132" i="4" s="1"/>
  <c r="R311" i="2"/>
  <c r="R330" i="2"/>
  <c r="X311" i="2"/>
  <c r="X312" i="2"/>
  <c r="X321" i="2"/>
  <c r="X322" i="2"/>
  <c r="X323" i="2"/>
  <c r="X324" i="2"/>
  <c r="X328" i="2"/>
  <c r="X329" i="2"/>
  <c r="X330" i="2"/>
  <c r="R310" i="2"/>
  <c r="O114" i="1"/>
  <c r="R309" i="2"/>
  <c r="R308" i="2"/>
  <c r="G120" i="1"/>
  <c r="I333" i="2"/>
  <c r="O111" i="1"/>
  <c r="R306" i="2"/>
  <c r="R304" i="2"/>
  <c r="X302" i="2"/>
  <c r="R302" i="2"/>
  <c r="U108" i="1"/>
  <c r="U109" i="1"/>
  <c r="O109" i="1"/>
  <c r="W109" i="1" s="1"/>
  <c r="O108" i="1"/>
  <c r="R300" i="2"/>
  <c r="X300" i="2"/>
  <c r="X301" i="2"/>
  <c r="R301" i="2"/>
  <c r="X287" i="2"/>
  <c r="R287" i="2"/>
  <c r="O110" i="1"/>
  <c r="X299" i="2"/>
  <c r="X303" i="2"/>
  <c r="X304" i="2"/>
  <c r="X305" i="2"/>
  <c r="X306" i="2"/>
  <c r="X307" i="2"/>
  <c r="X308" i="2"/>
  <c r="X309" i="2"/>
  <c r="R303" i="2"/>
  <c r="R298" i="2"/>
  <c r="R297" i="2"/>
  <c r="R118" i="4"/>
  <c r="R296" i="2"/>
  <c r="R295" i="2"/>
  <c r="R294" i="2"/>
  <c r="X279" i="2"/>
  <c r="R279" i="2"/>
  <c r="R285" i="2"/>
  <c r="U104" i="1"/>
  <c r="O104" i="1"/>
  <c r="W104" i="1" s="1"/>
  <c r="R284" i="2"/>
  <c r="R283" i="2"/>
  <c r="X281" i="2"/>
  <c r="X282" i="2"/>
  <c r="X283" i="2"/>
  <c r="X284" i="2"/>
  <c r="X285" i="2"/>
  <c r="X286" i="2"/>
  <c r="R281" i="2"/>
  <c r="R289" i="2"/>
  <c r="O106" i="1"/>
  <c r="O107" i="1"/>
  <c r="W107" i="1" s="1"/>
  <c r="R288" i="2"/>
  <c r="R293" i="2"/>
  <c r="R290" i="2"/>
  <c r="R291" i="2"/>
  <c r="R292" i="2"/>
  <c r="R332" i="2"/>
  <c r="X290" i="2"/>
  <c r="X291" i="2"/>
  <c r="X292" i="2"/>
  <c r="X293" i="2"/>
  <c r="X294" i="2"/>
  <c r="X295" i="2"/>
  <c r="X296" i="2"/>
  <c r="X297" i="2"/>
  <c r="X298" i="2"/>
  <c r="X310" i="2"/>
  <c r="O105" i="1"/>
  <c r="X272" i="2"/>
  <c r="X273" i="2"/>
  <c r="X274" i="2"/>
  <c r="X275" i="2"/>
  <c r="X276" i="2"/>
  <c r="X277" i="2"/>
  <c r="X278" i="2"/>
  <c r="X280" i="2"/>
  <c r="X288" i="2"/>
  <c r="R280" i="2"/>
  <c r="Y280" i="2" s="1"/>
  <c r="R278" i="2"/>
  <c r="Y278" i="2" s="1"/>
  <c r="R276" i="2"/>
  <c r="R275" i="2"/>
  <c r="Y275" i="2" s="1"/>
  <c r="R274" i="2"/>
  <c r="R272" i="2"/>
  <c r="R271" i="2"/>
  <c r="O102" i="1"/>
  <c r="R270" i="2"/>
  <c r="R269" i="2"/>
  <c r="Q333" i="2"/>
  <c r="R265" i="2"/>
  <c r="R264" i="2"/>
  <c r="R263" i="2"/>
  <c r="R262" i="2"/>
  <c r="R252" i="2"/>
  <c r="D333" i="2"/>
  <c r="X251" i="2"/>
  <c r="X252" i="2"/>
  <c r="R251" i="2"/>
  <c r="R261" i="2"/>
  <c r="R260" i="2"/>
  <c r="G333" i="2"/>
  <c r="R259" i="2"/>
  <c r="R258" i="2"/>
  <c r="R257" i="2"/>
  <c r="R256" i="2"/>
  <c r="O101" i="1"/>
  <c r="K120" i="1"/>
  <c r="R254" i="2"/>
  <c r="R253" i="2"/>
  <c r="R250" i="2"/>
  <c r="R249" i="2"/>
  <c r="R245" i="2"/>
  <c r="R244" i="2"/>
  <c r="R243" i="2"/>
  <c r="O99" i="1"/>
  <c r="R242" i="2"/>
  <c r="R241" i="2"/>
  <c r="O98" i="1"/>
  <c r="R240" i="2"/>
  <c r="R239" i="2"/>
  <c r="R238" i="2"/>
  <c r="R237" i="2"/>
  <c r="F92" i="4"/>
  <c r="R74" i="4"/>
  <c r="E92" i="4"/>
  <c r="R100" i="4"/>
  <c r="Y100" i="4" s="1"/>
  <c r="O53" i="1"/>
  <c r="R187" i="2"/>
  <c r="D92" i="4"/>
  <c r="J110" i="4"/>
  <c r="R98" i="4"/>
  <c r="Y98" i="4" s="1"/>
  <c r="I110" i="4"/>
  <c r="R97" i="4"/>
  <c r="O72" i="3"/>
  <c r="R96" i="4"/>
  <c r="Y96" i="4" s="1"/>
  <c r="M110" i="4"/>
  <c r="X94" i="4"/>
  <c r="R94" i="4"/>
  <c r="Y94" i="4" s="1"/>
  <c r="X174" i="2"/>
  <c r="R174" i="2"/>
  <c r="R171" i="2"/>
  <c r="E225" i="2"/>
  <c r="R166" i="2"/>
  <c r="R180" i="2"/>
  <c r="R179" i="2"/>
  <c r="R178" i="2"/>
  <c r="R177" i="2"/>
  <c r="X177" i="2"/>
  <c r="X178" i="2"/>
  <c r="X179" i="2"/>
  <c r="X180" i="2"/>
  <c r="X169" i="2"/>
  <c r="X176" i="2"/>
  <c r="X170" i="2"/>
  <c r="R170" i="2"/>
  <c r="I225" i="2"/>
  <c r="R162" i="2"/>
  <c r="O52" i="1"/>
  <c r="R160" i="2"/>
  <c r="N82" i="1"/>
  <c r="R159" i="2"/>
  <c r="G225" i="2"/>
  <c r="O49" i="1"/>
  <c r="U49" i="1"/>
  <c r="U50" i="1"/>
  <c r="U51" i="1"/>
  <c r="U52" i="1"/>
  <c r="O48" i="1"/>
  <c r="G82" i="1"/>
  <c r="U48" i="1"/>
  <c r="R156" i="2"/>
  <c r="R155" i="2"/>
  <c r="X155" i="2"/>
  <c r="X156" i="2"/>
  <c r="X157" i="2"/>
  <c r="X158" i="2"/>
  <c r="X159" i="2"/>
  <c r="Y159" i="2" s="1"/>
  <c r="X160" i="2"/>
  <c r="X161" i="2"/>
  <c r="X162" i="2"/>
  <c r="X163" i="2"/>
  <c r="X164" i="2"/>
  <c r="X165" i="2"/>
  <c r="R153" i="2"/>
  <c r="O47" i="1"/>
  <c r="X152" i="2"/>
  <c r="R152" i="2"/>
  <c r="O54" i="1"/>
  <c r="R185" i="2"/>
  <c r="R184" i="2"/>
  <c r="X173" i="2"/>
  <c r="R173" i="2"/>
  <c r="Y173" i="2" s="1"/>
  <c r="R176" i="2"/>
  <c r="Y176" i="2" s="1"/>
  <c r="X181" i="2"/>
  <c r="R181" i="2"/>
  <c r="R182" i="2"/>
  <c r="R175" i="2"/>
  <c r="R172" i="2"/>
  <c r="X168" i="2"/>
  <c r="D225" i="2"/>
  <c r="R167" i="2"/>
  <c r="R150" i="2"/>
  <c r="R149" i="2"/>
  <c r="X53" i="4"/>
  <c r="X238" i="4"/>
  <c r="X237" i="4"/>
  <c r="X235" i="4"/>
  <c r="Y235" i="4" s="1"/>
  <c r="X234" i="4"/>
  <c r="X233" i="4"/>
  <c r="X232" i="4"/>
  <c r="X231" i="4"/>
  <c r="X230" i="4"/>
  <c r="X229" i="4"/>
  <c r="X228" i="4"/>
  <c r="X227" i="4"/>
  <c r="X226" i="4"/>
  <c r="X225" i="4"/>
  <c r="Y225" i="4" s="1"/>
  <c r="X224" i="4"/>
  <c r="X223" i="4"/>
  <c r="X222" i="4"/>
  <c r="X221" i="4"/>
  <c r="X219" i="4"/>
  <c r="X218" i="4"/>
  <c r="X217" i="4"/>
  <c r="X216" i="4"/>
  <c r="X215" i="4"/>
  <c r="X214" i="4"/>
  <c r="X213" i="4"/>
  <c r="X212" i="4"/>
  <c r="X211" i="4"/>
  <c r="X210" i="4"/>
  <c r="X209" i="4"/>
  <c r="X208" i="4"/>
  <c r="X207" i="4"/>
  <c r="X206" i="4"/>
  <c r="X205" i="4"/>
  <c r="Y205" i="4"/>
  <c r="X204" i="4"/>
  <c r="X203" i="4"/>
  <c r="X200" i="4"/>
  <c r="X199" i="4"/>
  <c r="X198" i="4"/>
  <c r="X196" i="4"/>
  <c r="X195" i="4"/>
  <c r="X194" i="4"/>
  <c r="X193" i="4"/>
  <c r="X192" i="4"/>
  <c r="X191" i="4"/>
  <c r="X190" i="4"/>
  <c r="X189" i="4"/>
  <c r="X178" i="4"/>
  <c r="X177" i="4"/>
  <c r="X176" i="4"/>
  <c r="X172" i="4"/>
  <c r="X171" i="4"/>
  <c r="X170" i="4"/>
  <c r="Y170" i="4" s="1"/>
  <c r="X169" i="4"/>
  <c r="X168" i="4"/>
  <c r="X155" i="4"/>
  <c r="X154" i="4"/>
  <c r="Y154" i="4" s="1"/>
  <c r="X148" i="4"/>
  <c r="X147" i="4"/>
  <c r="X146" i="4"/>
  <c r="X130" i="4"/>
  <c r="X129" i="4"/>
  <c r="X120" i="4"/>
  <c r="X119" i="4"/>
  <c r="Y119" i="4" s="1"/>
  <c r="X118" i="4"/>
  <c r="Y118" i="4" s="1"/>
  <c r="X113" i="4"/>
  <c r="X112" i="4"/>
  <c r="X111" i="4"/>
  <c r="Y111" i="4" s="1"/>
  <c r="X106" i="4"/>
  <c r="X105" i="4"/>
  <c r="X104" i="4"/>
  <c r="X103" i="4"/>
  <c r="X102" i="4"/>
  <c r="X101" i="4"/>
  <c r="Y101" i="4"/>
  <c r="X100" i="4"/>
  <c r="X99" i="4"/>
  <c r="X98" i="4"/>
  <c r="X97" i="4"/>
  <c r="Y97" i="4" s="1"/>
  <c r="X96" i="4"/>
  <c r="X95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Y75" i="4" s="1"/>
  <c r="X74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33" i="4"/>
  <c r="X32" i="4"/>
  <c r="X21" i="4"/>
  <c r="X20" i="4"/>
  <c r="X19" i="4"/>
  <c r="X15" i="4"/>
  <c r="R238" i="4"/>
  <c r="Y238" i="4"/>
  <c r="R237" i="4"/>
  <c r="R235" i="4"/>
  <c r="R234" i="4"/>
  <c r="Y234" i="4" s="1"/>
  <c r="R233" i="4"/>
  <c r="Y233" i="4"/>
  <c r="R232" i="4"/>
  <c r="Y232" i="4" s="1"/>
  <c r="R231" i="4"/>
  <c r="Y231" i="4" s="1"/>
  <c r="R230" i="4"/>
  <c r="R229" i="4"/>
  <c r="Y229" i="4" s="1"/>
  <c r="R228" i="4"/>
  <c r="Y228" i="4" s="1"/>
  <c r="R227" i="4"/>
  <c r="Y227" i="4"/>
  <c r="R226" i="4"/>
  <c r="Y226" i="4" s="1"/>
  <c r="R225" i="4"/>
  <c r="R224" i="4"/>
  <c r="Y224" i="4" s="1"/>
  <c r="R223" i="4"/>
  <c r="Y223" i="4" s="1"/>
  <c r="R222" i="4"/>
  <c r="Y222" i="4" s="1"/>
  <c r="R221" i="4"/>
  <c r="Y221" i="4" s="1"/>
  <c r="R219" i="4"/>
  <c r="Y219" i="4" s="1"/>
  <c r="R218" i="4"/>
  <c r="Y218" i="4" s="1"/>
  <c r="R217" i="4"/>
  <c r="R216" i="4"/>
  <c r="Y216" i="4" s="1"/>
  <c r="R215" i="4"/>
  <c r="Y215" i="4" s="1"/>
  <c r="R214" i="4"/>
  <c r="Y214" i="4" s="1"/>
  <c r="R213" i="4"/>
  <c r="Y213" i="4" s="1"/>
  <c r="R212" i="4"/>
  <c r="Y212" i="4"/>
  <c r="R211" i="4"/>
  <c r="R210" i="4"/>
  <c r="Y210" i="4" s="1"/>
  <c r="R209" i="4"/>
  <c r="R208" i="4"/>
  <c r="R207" i="4"/>
  <c r="R206" i="4"/>
  <c r="Y206" i="4" s="1"/>
  <c r="R205" i="4"/>
  <c r="R204" i="4"/>
  <c r="Y204" i="4" s="1"/>
  <c r="R203" i="4"/>
  <c r="Y203" i="4" s="1"/>
  <c r="R200" i="4"/>
  <c r="R199" i="4"/>
  <c r="R198" i="4"/>
  <c r="Y198" i="4" s="1"/>
  <c r="R196" i="4"/>
  <c r="R195" i="4"/>
  <c r="Y195" i="4" s="1"/>
  <c r="R194" i="4"/>
  <c r="R193" i="4"/>
  <c r="Y193" i="4" s="1"/>
  <c r="R192" i="4"/>
  <c r="Y192" i="4"/>
  <c r="R191" i="4"/>
  <c r="Y191" i="4" s="1"/>
  <c r="R190" i="4"/>
  <c r="R189" i="4"/>
  <c r="Y189" i="4"/>
  <c r="R172" i="4"/>
  <c r="Y172" i="4" s="1"/>
  <c r="R171" i="4"/>
  <c r="Y171" i="4" s="1"/>
  <c r="R169" i="4"/>
  <c r="Y169" i="4" s="1"/>
  <c r="R155" i="4"/>
  <c r="R148" i="4"/>
  <c r="Y148" i="4"/>
  <c r="R147" i="4"/>
  <c r="R146" i="4"/>
  <c r="Y146" i="4" s="1"/>
  <c r="Y145" i="4"/>
  <c r="R130" i="4"/>
  <c r="R129" i="4"/>
  <c r="R120" i="4"/>
  <c r="R113" i="4"/>
  <c r="Y113" i="4" s="1"/>
  <c r="R112" i="4"/>
  <c r="R111" i="4"/>
  <c r="R106" i="4"/>
  <c r="Y106" i="4" s="1"/>
  <c r="R105" i="4"/>
  <c r="Y105" i="4" s="1"/>
  <c r="R104" i="4"/>
  <c r="R103" i="4"/>
  <c r="R102" i="4"/>
  <c r="Y102" i="4"/>
  <c r="R101" i="4"/>
  <c r="R99" i="4"/>
  <c r="Y99" i="4" s="1"/>
  <c r="R88" i="4"/>
  <c r="R87" i="4"/>
  <c r="R86" i="4"/>
  <c r="R85" i="4"/>
  <c r="Y85" i="4" s="1"/>
  <c r="R84" i="4"/>
  <c r="R83" i="4"/>
  <c r="R82" i="4"/>
  <c r="Y82" i="4" s="1"/>
  <c r="R81" i="4"/>
  <c r="R80" i="4"/>
  <c r="R79" i="4"/>
  <c r="Y79" i="4"/>
  <c r="R78" i="4"/>
  <c r="Y78" i="4" s="1"/>
  <c r="R77" i="4"/>
  <c r="R76" i="4"/>
  <c r="Y76" i="4"/>
  <c r="R75" i="4"/>
  <c r="R67" i="4"/>
  <c r="Y67" i="4" s="1"/>
  <c r="R62" i="4"/>
  <c r="R61" i="4"/>
  <c r="R59" i="4"/>
  <c r="Y59" i="4" s="1"/>
  <c r="R56" i="4"/>
  <c r="Y56" i="4" s="1"/>
  <c r="R55" i="4"/>
  <c r="R54" i="4"/>
  <c r="R53" i="4"/>
  <c r="Y53" i="4" s="1"/>
  <c r="R40" i="4"/>
  <c r="R33" i="4"/>
  <c r="R18" i="4"/>
  <c r="R15" i="4"/>
  <c r="Y15" i="4" s="1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7" i="2"/>
  <c r="X386" i="2"/>
  <c r="X382" i="2"/>
  <c r="X381" i="2"/>
  <c r="X380" i="2"/>
  <c r="X379" i="2"/>
  <c r="X376" i="2"/>
  <c r="X375" i="2"/>
  <c r="X374" i="2"/>
  <c r="X373" i="2"/>
  <c r="X372" i="2"/>
  <c r="X371" i="2"/>
  <c r="X370" i="2"/>
  <c r="X369" i="2"/>
  <c r="X368" i="2"/>
  <c r="X367" i="2"/>
  <c r="Y367" i="2" s="1"/>
  <c r="X366" i="2"/>
  <c r="X365" i="2"/>
  <c r="X361" i="2"/>
  <c r="X357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5" i="2"/>
  <c r="X334" i="2"/>
  <c r="X289" i="2"/>
  <c r="X271" i="2"/>
  <c r="X270" i="2"/>
  <c r="X269" i="2"/>
  <c r="X268" i="2"/>
  <c r="X267" i="2"/>
  <c r="X266" i="2"/>
  <c r="X265" i="2"/>
  <c r="X264" i="2"/>
  <c r="X263" i="2"/>
  <c r="X262" i="2"/>
  <c r="Y262" i="2" s="1"/>
  <c r="X261" i="2"/>
  <c r="X260" i="2"/>
  <c r="X259" i="2"/>
  <c r="X258" i="2"/>
  <c r="X257" i="2"/>
  <c r="X256" i="2"/>
  <c r="X255" i="2"/>
  <c r="X254" i="2"/>
  <c r="X253" i="2"/>
  <c r="Y253" i="2" s="1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Y238" i="2" s="1"/>
  <c r="X237" i="2"/>
  <c r="X233" i="2"/>
  <c r="X232" i="2"/>
  <c r="X231" i="2"/>
  <c r="X230" i="2"/>
  <c r="X229" i="2"/>
  <c r="X228" i="2"/>
  <c r="X227" i="2"/>
  <c r="X226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Y199" i="2" s="1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75" i="2"/>
  <c r="X171" i="2"/>
  <c r="X167" i="2"/>
  <c r="X166" i="2"/>
  <c r="X154" i="2"/>
  <c r="X153" i="2"/>
  <c r="X151" i="2"/>
  <c r="X150" i="2"/>
  <c r="X149" i="2"/>
  <c r="Y149" i="2" s="1"/>
  <c r="X144" i="2"/>
  <c r="X143" i="2"/>
  <c r="Y143" i="2" s="1"/>
  <c r="X142" i="2"/>
  <c r="X141" i="2"/>
  <c r="X140" i="2"/>
  <c r="X139" i="2"/>
  <c r="Y139" i="2" s="1"/>
  <c r="X138" i="2"/>
  <c r="X137" i="2"/>
  <c r="X136" i="2"/>
  <c r="X135" i="2"/>
  <c r="X134" i="2"/>
  <c r="X133" i="2"/>
  <c r="X132" i="2"/>
  <c r="X131" i="2"/>
  <c r="X130" i="2"/>
  <c r="X129" i="2"/>
  <c r="X127" i="2"/>
  <c r="X126" i="2"/>
  <c r="X125" i="2"/>
  <c r="X124" i="2"/>
  <c r="X123" i="2"/>
  <c r="X122" i="2"/>
  <c r="X121" i="2"/>
  <c r="X120" i="2"/>
  <c r="X118" i="2"/>
  <c r="X117" i="2"/>
  <c r="X116" i="2"/>
  <c r="X115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94" i="2"/>
  <c r="X79" i="2"/>
  <c r="X52" i="2"/>
  <c r="X51" i="2"/>
  <c r="X42" i="2"/>
  <c r="Y42" i="2" s="1"/>
  <c r="X40" i="2"/>
  <c r="X39" i="2"/>
  <c r="X38" i="2"/>
  <c r="Y38" i="2" s="1"/>
  <c r="X36" i="2"/>
  <c r="X35" i="2"/>
  <c r="X34" i="2"/>
  <c r="X33" i="2"/>
  <c r="X25" i="2"/>
  <c r="Y25" i="2" s="1"/>
  <c r="X22" i="2"/>
  <c r="X21" i="2"/>
  <c r="X20" i="2"/>
  <c r="X19" i="2"/>
  <c r="Y19" i="2" s="1"/>
  <c r="X18" i="2"/>
  <c r="R439" i="2"/>
  <c r="Y439" i="2" s="1"/>
  <c r="R438" i="2"/>
  <c r="R437" i="2"/>
  <c r="R436" i="2"/>
  <c r="R435" i="2"/>
  <c r="Y435" i="2" s="1"/>
  <c r="R434" i="2"/>
  <c r="Y434" i="2" s="1"/>
  <c r="R433" i="2"/>
  <c r="R432" i="2"/>
  <c r="R431" i="2"/>
  <c r="Y431" i="2" s="1"/>
  <c r="R430" i="2"/>
  <c r="R429" i="2"/>
  <c r="R428" i="2"/>
  <c r="R427" i="2"/>
  <c r="Y427" i="2" s="1"/>
  <c r="R426" i="2"/>
  <c r="R425" i="2"/>
  <c r="R424" i="2"/>
  <c r="R423" i="2"/>
  <c r="Y423" i="2" s="1"/>
  <c r="R422" i="2"/>
  <c r="R421" i="2"/>
  <c r="R420" i="2"/>
  <c r="R419" i="2"/>
  <c r="Y419" i="2" s="1"/>
  <c r="R418" i="2"/>
  <c r="R417" i="2"/>
  <c r="R416" i="2"/>
  <c r="R415" i="2"/>
  <c r="Y415" i="2" s="1"/>
  <c r="R414" i="2"/>
  <c r="R413" i="2"/>
  <c r="R412" i="2"/>
  <c r="R411" i="2"/>
  <c r="Y411" i="2" s="1"/>
  <c r="R410" i="2"/>
  <c r="R409" i="2"/>
  <c r="R408" i="2"/>
  <c r="R407" i="2"/>
  <c r="Y407" i="2" s="1"/>
  <c r="R406" i="2"/>
  <c r="R405" i="2"/>
  <c r="R404" i="2"/>
  <c r="R403" i="2"/>
  <c r="Y403" i="2" s="1"/>
  <c r="R402" i="2"/>
  <c r="R401" i="2"/>
  <c r="R400" i="2"/>
  <c r="R399" i="2"/>
  <c r="R398" i="2"/>
  <c r="R397" i="2"/>
  <c r="R396" i="2"/>
  <c r="R395" i="2"/>
  <c r="Y395" i="2" s="1"/>
  <c r="R394" i="2"/>
  <c r="R393" i="2"/>
  <c r="R392" i="2"/>
  <c r="R391" i="2"/>
  <c r="R390" i="2"/>
  <c r="R389" i="2"/>
  <c r="R387" i="2"/>
  <c r="R386" i="2"/>
  <c r="Y386" i="2" s="1"/>
  <c r="R382" i="2"/>
  <c r="R381" i="2"/>
  <c r="R380" i="2"/>
  <c r="R375" i="2"/>
  <c r="R357" i="2"/>
  <c r="Y357" i="2" s="1"/>
  <c r="R354" i="2"/>
  <c r="Y354" i="2" s="1"/>
  <c r="R353" i="2"/>
  <c r="Y353" i="2" s="1"/>
  <c r="R352" i="2"/>
  <c r="R351" i="2"/>
  <c r="Y351" i="2" s="1"/>
  <c r="R350" i="2"/>
  <c r="Y350" i="2" s="1"/>
  <c r="R349" i="2"/>
  <c r="R348" i="2"/>
  <c r="R347" i="2"/>
  <c r="Y347" i="2" s="1"/>
  <c r="R346" i="2"/>
  <c r="Y346" i="2" s="1"/>
  <c r="R345" i="2"/>
  <c r="R344" i="2"/>
  <c r="R343" i="2"/>
  <c r="R342" i="2"/>
  <c r="Y342" i="2" s="1"/>
  <c r="R341" i="2"/>
  <c r="Y341" i="2" s="1"/>
  <c r="R340" i="2"/>
  <c r="R334" i="2"/>
  <c r="R233" i="2"/>
  <c r="R232" i="2"/>
  <c r="R231" i="2"/>
  <c r="R230" i="2"/>
  <c r="R229" i="2"/>
  <c r="R228" i="2"/>
  <c r="R227" i="2"/>
  <c r="R226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Y198" i="2" s="1"/>
  <c r="R197" i="2"/>
  <c r="R196" i="2"/>
  <c r="R195" i="2"/>
  <c r="R194" i="2"/>
  <c r="R193" i="2"/>
  <c r="R192" i="2"/>
  <c r="R191" i="2"/>
  <c r="R190" i="2"/>
  <c r="Y190" i="2" s="1"/>
  <c r="R189" i="2"/>
  <c r="R188" i="2"/>
  <c r="R183" i="2"/>
  <c r="R133" i="2"/>
  <c r="Y133" i="2" s="1"/>
  <c r="R132" i="2"/>
  <c r="R131" i="2"/>
  <c r="R130" i="2"/>
  <c r="R124" i="2"/>
  <c r="R122" i="2"/>
  <c r="R108" i="2"/>
  <c r="R106" i="2"/>
  <c r="R104" i="2"/>
  <c r="R102" i="2"/>
  <c r="R94" i="2"/>
  <c r="Y94" i="2" s="1"/>
  <c r="R79" i="2"/>
  <c r="R51" i="2"/>
  <c r="R40" i="2"/>
  <c r="R39" i="2"/>
  <c r="R34" i="2"/>
  <c r="R15" i="2"/>
  <c r="X15" i="2"/>
  <c r="K146" i="2"/>
  <c r="R101" i="2"/>
  <c r="U45" i="3"/>
  <c r="W45" i="3" s="1"/>
  <c r="U44" i="1"/>
  <c r="W44" i="1" s="1"/>
  <c r="R134" i="2"/>
  <c r="Y134" i="2" s="1"/>
  <c r="R118" i="2"/>
  <c r="G146" i="2"/>
  <c r="E146" i="2"/>
  <c r="R113" i="2"/>
  <c r="R105" i="2"/>
  <c r="R65" i="4"/>
  <c r="R64" i="4"/>
  <c r="Y64" i="4" s="1"/>
  <c r="M69" i="4"/>
  <c r="R60" i="4"/>
  <c r="Y60" i="4" s="1"/>
  <c r="E69" i="4"/>
  <c r="R58" i="4"/>
  <c r="R20" i="2"/>
  <c r="U146" i="2"/>
  <c r="V146" i="2"/>
  <c r="U17" i="2"/>
  <c r="V17" i="2"/>
  <c r="J220" i="4"/>
  <c r="J236" i="4"/>
  <c r="T236" i="4"/>
  <c r="U236" i="4"/>
  <c r="T220" i="4"/>
  <c r="T239" i="4" s="1"/>
  <c r="U220" i="4"/>
  <c r="T197" i="4"/>
  <c r="U197" i="4"/>
  <c r="T184" i="4"/>
  <c r="U184" i="4"/>
  <c r="T174" i="4"/>
  <c r="T187" i="4"/>
  <c r="U174" i="4"/>
  <c r="U187" i="4" s="1"/>
  <c r="T161" i="4"/>
  <c r="U161" i="4"/>
  <c r="T152" i="4"/>
  <c r="U152" i="4"/>
  <c r="T69" i="4"/>
  <c r="U69" i="4"/>
  <c r="T92" i="4"/>
  <c r="U92" i="4"/>
  <c r="T110" i="4"/>
  <c r="U110" i="4"/>
  <c r="T127" i="4"/>
  <c r="U127" i="4"/>
  <c r="U142" i="4"/>
  <c r="T140" i="4"/>
  <c r="T142" i="4" s="1"/>
  <c r="U140" i="4"/>
  <c r="X45" i="4"/>
  <c r="T30" i="4"/>
  <c r="U30" i="4"/>
  <c r="U48" i="4" s="1"/>
  <c r="U52" i="4" s="1"/>
  <c r="U71" i="4" s="1"/>
  <c r="U72" i="4" s="1"/>
  <c r="T17" i="4"/>
  <c r="U17" i="4"/>
  <c r="U333" i="2"/>
  <c r="V333" i="2"/>
  <c r="U234" i="2"/>
  <c r="V234" i="2"/>
  <c r="U225" i="2"/>
  <c r="U441" i="2"/>
  <c r="V441" i="2"/>
  <c r="W154" i="3"/>
  <c r="W134" i="3"/>
  <c r="W15" i="3"/>
  <c r="U185" i="3"/>
  <c r="U184" i="3"/>
  <c r="U183" i="3"/>
  <c r="W183" i="3" s="1"/>
  <c r="U182" i="3"/>
  <c r="U178" i="3"/>
  <c r="U177" i="3"/>
  <c r="W177" i="3" s="1"/>
  <c r="U176" i="3"/>
  <c r="U175" i="3"/>
  <c r="U174" i="3"/>
  <c r="U173" i="3"/>
  <c r="U172" i="3"/>
  <c r="U171" i="3"/>
  <c r="U170" i="3"/>
  <c r="W170" i="3"/>
  <c r="U169" i="3"/>
  <c r="U168" i="3"/>
  <c r="U167" i="3"/>
  <c r="U166" i="3"/>
  <c r="U165" i="3"/>
  <c r="U164" i="3"/>
  <c r="U163" i="3"/>
  <c r="U162" i="3"/>
  <c r="U161" i="3"/>
  <c r="U157" i="3"/>
  <c r="U153" i="3"/>
  <c r="U152" i="3"/>
  <c r="W152" i="3" s="1"/>
  <c r="U151" i="3"/>
  <c r="U150" i="3"/>
  <c r="U149" i="3"/>
  <c r="U148" i="3"/>
  <c r="U147" i="3"/>
  <c r="U140" i="3"/>
  <c r="W140" i="3" s="1"/>
  <c r="U138" i="3"/>
  <c r="U133" i="3"/>
  <c r="U132" i="3"/>
  <c r="U131" i="3"/>
  <c r="U130" i="3"/>
  <c r="U136" i="3" s="1"/>
  <c r="U145" i="3" s="1"/>
  <c r="U129" i="3"/>
  <c r="U120" i="3"/>
  <c r="U119" i="3"/>
  <c r="U118" i="3"/>
  <c r="U117" i="3"/>
  <c r="U112" i="3"/>
  <c r="U111" i="3"/>
  <c r="U110" i="3"/>
  <c r="U115" i="3" s="1"/>
  <c r="U109" i="3"/>
  <c r="U108" i="3"/>
  <c r="U97" i="3"/>
  <c r="U96" i="3"/>
  <c r="U95" i="3"/>
  <c r="U87" i="3"/>
  <c r="U86" i="3"/>
  <c r="U93" i="3" s="1"/>
  <c r="U85" i="3"/>
  <c r="U80" i="3"/>
  <c r="U74" i="3"/>
  <c r="U73" i="3"/>
  <c r="W73" i="3" s="1"/>
  <c r="U72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47" i="3"/>
  <c r="U32" i="3"/>
  <c r="U31" i="3"/>
  <c r="U30" i="3"/>
  <c r="U20" i="3"/>
  <c r="O17" i="3"/>
  <c r="Q16" i="3"/>
  <c r="Q43" i="3" s="1"/>
  <c r="Q49" i="3" s="1"/>
  <c r="Q50" i="3" s="1"/>
  <c r="R16" i="3"/>
  <c r="S16" i="3"/>
  <c r="U14" i="3"/>
  <c r="U16" i="3" s="1"/>
  <c r="O185" i="3"/>
  <c r="W185" i="3" s="1"/>
  <c r="W187" i="3" s="1"/>
  <c r="O184" i="3"/>
  <c r="W184" i="3" s="1"/>
  <c r="O183" i="3"/>
  <c r="O182" i="3"/>
  <c r="O178" i="3"/>
  <c r="W178" i="3" s="1"/>
  <c r="O177" i="3"/>
  <c r="O176" i="3"/>
  <c r="W176" i="3" s="1"/>
  <c r="O175" i="3"/>
  <c r="W175" i="3" s="1"/>
  <c r="O174" i="3"/>
  <c r="W174" i="3" s="1"/>
  <c r="O173" i="3"/>
  <c r="O172" i="3"/>
  <c r="W172" i="3" s="1"/>
  <c r="O171" i="3"/>
  <c r="O170" i="3"/>
  <c r="O169" i="3"/>
  <c r="W169" i="3" s="1"/>
  <c r="O168" i="3"/>
  <c r="O167" i="3"/>
  <c r="O166" i="3"/>
  <c r="W166" i="3" s="1"/>
  <c r="O165" i="3"/>
  <c r="O164" i="3"/>
  <c r="W164" i="3" s="1"/>
  <c r="O163" i="3"/>
  <c r="W163" i="3" s="1"/>
  <c r="O162" i="3"/>
  <c r="W162" i="3" s="1"/>
  <c r="O161" i="3"/>
  <c r="O157" i="3"/>
  <c r="O153" i="3"/>
  <c r="O152" i="3"/>
  <c r="O151" i="3"/>
  <c r="W151" i="3" s="1"/>
  <c r="O150" i="3"/>
  <c r="W150" i="3"/>
  <c r="O149" i="3"/>
  <c r="O148" i="3"/>
  <c r="O147" i="3"/>
  <c r="W147" i="3"/>
  <c r="O137" i="3"/>
  <c r="O133" i="3"/>
  <c r="W133" i="3" s="1"/>
  <c r="O132" i="3"/>
  <c r="W132" i="3"/>
  <c r="W136" i="3" s="1"/>
  <c r="O131" i="3"/>
  <c r="W131" i="3" s="1"/>
  <c r="O130" i="3"/>
  <c r="W130" i="3"/>
  <c r="O129" i="3"/>
  <c r="O120" i="3"/>
  <c r="O119" i="3"/>
  <c r="O118" i="3"/>
  <c r="W118" i="3" s="1"/>
  <c r="W122" i="3" s="1"/>
  <c r="O112" i="3"/>
  <c r="O111" i="3"/>
  <c r="O110" i="3"/>
  <c r="O109" i="3"/>
  <c r="W109" i="3" s="1"/>
  <c r="O108" i="3"/>
  <c r="O95" i="3"/>
  <c r="O87" i="3"/>
  <c r="W87" i="3" s="1"/>
  <c r="O86" i="3"/>
  <c r="O85" i="3"/>
  <c r="O80" i="3"/>
  <c r="O74" i="3"/>
  <c r="W74" i="3" s="1"/>
  <c r="O73" i="3"/>
  <c r="O67" i="3"/>
  <c r="O66" i="3"/>
  <c r="W66" i="3" s="1"/>
  <c r="O65" i="3"/>
  <c r="O64" i="3"/>
  <c r="W64" i="3" s="1"/>
  <c r="O63" i="3"/>
  <c r="W63" i="3" s="1"/>
  <c r="O62" i="3"/>
  <c r="W62" i="3" s="1"/>
  <c r="O61" i="3"/>
  <c r="O60" i="3"/>
  <c r="O59" i="3"/>
  <c r="W59" i="3" s="1"/>
  <c r="O58" i="3"/>
  <c r="W58" i="3" s="1"/>
  <c r="O57" i="3"/>
  <c r="W57" i="3" s="1"/>
  <c r="O56" i="3"/>
  <c r="W56" i="3" s="1"/>
  <c r="O55" i="3"/>
  <c r="W55" i="3" s="1"/>
  <c r="O54" i="3"/>
  <c r="W54" i="3" s="1"/>
  <c r="O53" i="3"/>
  <c r="W53" i="3" s="1"/>
  <c r="O52" i="3"/>
  <c r="O47" i="3"/>
  <c r="W47" i="3" s="1"/>
  <c r="O45" i="3"/>
  <c r="O20" i="3"/>
  <c r="W20" i="3" s="1"/>
  <c r="O19" i="3"/>
  <c r="O18" i="3"/>
  <c r="W18" i="3" s="1"/>
  <c r="O14" i="3"/>
  <c r="U156" i="1"/>
  <c r="U171" i="1"/>
  <c r="U170" i="1"/>
  <c r="W170" i="1" s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5" i="1"/>
  <c r="U154" i="1"/>
  <c r="U153" i="1"/>
  <c r="U152" i="1"/>
  <c r="U151" i="1"/>
  <c r="U150" i="1"/>
  <c r="U149" i="1"/>
  <c r="U148" i="1"/>
  <c r="U147" i="1"/>
  <c r="U144" i="1"/>
  <c r="U140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2" i="1"/>
  <c r="U99" i="1"/>
  <c r="U117" i="1"/>
  <c r="U116" i="1"/>
  <c r="U115" i="1"/>
  <c r="U114" i="1"/>
  <c r="U113" i="1"/>
  <c r="U112" i="1"/>
  <c r="U111" i="1"/>
  <c r="W111" i="1" s="1"/>
  <c r="U110" i="1"/>
  <c r="U106" i="1"/>
  <c r="U107" i="1"/>
  <c r="U105" i="1"/>
  <c r="U103" i="1"/>
  <c r="U102" i="1"/>
  <c r="W102" i="1" s="1"/>
  <c r="U101" i="1"/>
  <c r="W101" i="1" s="1"/>
  <c r="U100" i="1"/>
  <c r="U98" i="1"/>
  <c r="W98" i="1" s="1"/>
  <c r="U97" i="1"/>
  <c r="U93" i="1"/>
  <c r="U92" i="1"/>
  <c r="U91" i="1"/>
  <c r="U90" i="1"/>
  <c r="U89" i="1"/>
  <c r="U88" i="1"/>
  <c r="U87" i="1"/>
  <c r="U86" i="1"/>
  <c r="U85" i="1"/>
  <c r="U84" i="1"/>
  <c r="U83" i="1"/>
  <c r="W83" i="1" s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47" i="1"/>
  <c r="U40" i="1"/>
  <c r="U28" i="1"/>
  <c r="W28" i="1" s="1"/>
  <c r="U17" i="1"/>
  <c r="O129" i="1"/>
  <c r="W129" i="1" s="1"/>
  <c r="O130" i="1"/>
  <c r="O131" i="1"/>
  <c r="O132" i="1"/>
  <c r="W132" i="1" s="1"/>
  <c r="O171" i="1"/>
  <c r="W171" i="1" s="1"/>
  <c r="O169" i="1"/>
  <c r="O168" i="1"/>
  <c r="O167" i="1"/>
  <c r="O166" i="1"/>
  <c r="W166" i="1" s="1"/>
  <c r="O165" i="1"/>
  <c r="O164" i="1"/>
  <c r="O163" i="1"/>
  <c r="O162" i="1"/>
  <c r="O161" i="1"/>
  <c r="O160" i="1"/>
  <c r="O159" i="1"/>
  <c r="W159" i="1" s="1"/>
  <c r="O158" i="1"/>
  <c r="O157" i="1"/>
  <c r="W157" i="1" s="1"/>
  <c r="O156" i="1"/>
  <c r="W156" i="1" s="1"/>
  <c r="O155" i="1"/>
  <c r="O154" i="1"/>
  <c r="O153" i="1"/>
  <c r="O152" i="1"/>
  <c r="W152" i="1" s="1"/>
  <c r="O151" i="1"/>
  <c r="O150" i="1"/>
  <c r="W150" i="1"/>
  <c r="O149" i="1"/>
  <c r="W149" i="1" s="1"/>
  <c r="O148" i="1"/>
  <c r="O147" i="1"/>
  <c r="O144" i="1"/>
  <c r="O140" i="1"/>
  <c r="O136" i="1"/>
  <c r="O135" i="1"/>
  <c r="O134" i="1"/>
  <c r="O133" i="1"/>
  <c r="W133" i="1" s="1"/>
  <c r="O128" i="1"/>
  <c r="O127" i="1"/>
  <c r="O126" i="1"/>
  <c r="O125" i="1"/>
  <c r="W125" i="1" s="1"/>
  <c r="O93" i="1"/>
  <c r="O92" i="1"/>
  <c r="W92" i="1" s="1"/>
  <c r="O91" i="1"/>
  <c r="W91" i="1" s="1"/>
  <c r="O90" i="1"/>
  <c r="W90" i="1" s="1"/>
  <c r="O89" i="1"/>
  <c r="O88" i="1"/>
  <c r="W88" i="1" s="1"/>
  <c r="O87" i="1"/>
  <c r="W87" i="1" s="1"/>
  <c r="O86" i="1"/>
  <c r="O85" i="1"/>
  <c r="W85" i="1" s="1"/>
  <c r="O84" i="1"/>
  <c r="W84" i="1"/>
  <c r="O83" i="1"/>
  <c r="O80" i="1"/>
  <c r="O79" i="1"/>
  <c r="W79" i="1"/>
  <c r="O78" i="1"/>
  <c r="O77" i="1"/>
  <c r="O76" i="1"/>
  <c r="O75" i="1"/>
  <c r="W75" i="1" s="1"/>
  <c r="O74" i="1"/>
  <c r="W74" i="1" s="1"/>
  <c r="O73" i="1"/>
  <c r="O72" i="1"/>
  <c r="W72" i="1" s="1"/>
  <c r="O71" i="1"/>
  <c r="W71" i="1" s="1"/>
  <c r="O70" i="1"/>
  <c r="O69" i="1"/>
  <c r="O68" i="1"/>
  <c r="W68" i="1" s="1"/>
  <c r="O67" i="1"/>
  <c r="W67" i="1" s="1"/>
  <c r="O66" i="1"/>
  <c r="O65" i="1"/>
  <c r="O64" i="1"/>
  <c r="O63" i="1"/>
  <c r="W63" i="1" s="1"/>
  <c r="O62" i="1"/>
  <c r="O61" i="1"/>
  <c r="O60" i="1"/>
  <c r="W60" i="1" s="1"/>
  <c r="O59" i="1"/>
  <c r="W59" i="1" s="1"/>
  <c r="O58" i="1"/>
  <c r="O57" i="1"/>
  <c r="O56" i="1"/>
  <c r="W56" i="1" s="1"/>
  <c r="O55" i="1"/>
  <c r="W55" i="1" s="1"/>
  <c r="O40" i="1"/>
  <c r="W40" i="1" s="1"/>
  <c r="W137" i="1"/>
  <c r="W81" i="1"/>
  <c r="W15" i="1"/>
  <c r="U14" i="1"/>
  <c r="U16" i="1" s="1"/>
  <c r="O14" i="1"/>
  <c r="D187" i="3"/>
  <c r="F187" i="3"/>
  <c r="G187" i="3"/>
  <c r="X187" i="3"/>
  <c r="D236" i="4"/>
  <c r="D220" i="4"/>
  <c r="D239" i="4" s="1"/>
  <c r="F180" i="3"/>
  <c r="F190" i="3" s="1"/>
  <c r="N220" i="4"/>
  <c r="E220" i="4"/>
  <c r="E239" i="4" s="1"/>
  <c r="R239" i="4" s="1"/>
  <c r="H441" i="2"/>
  <c r="O220" i="4"/>
  <c r="S173" i="1"/>
  <c r="L138" i="1"/>
  <c r="E138" i="1"/>
  <c r="Y16" i="2"/>
  <c r="M138" i="1"/>
  <c r="I138" i="1"/>
  <c r="J138" i="1"/>
  <c r="G138" i="1"/>
  <c r="F197" i="4"/>
  <c r="O174" i="4"/>
  <c r="O187" i="4" s="1"/>
  <c r="E174" i="4"/>
  <c r="E187" i="4" s="1"/>
  <c r="D174" i="4"/>
  <c r="D187" i="4" s="1"/>
  <c r="W184" i="4"/>
  <c r="V184" i="4"/>
  <c r="Q184" i="4"/>
  <c r="Q187" i="4" s="1"/>
  <c r="P184" i="4"/>
  <c r="K184" i="4"/>
  <c r="J184" i="4"/>
  <c r="J187" i="4" s="1"/>
  <c r="I184" i="4"/>
  <c r="H184" i="4"/>
  <c r="G184" i="4"/>
  <c r="E184" i="4"/>
  <c r="R184" i="4" s="1"/>
  <c r="Y184" i="4" s="1"/>
  <c r="O184" i="4"/>
  <c r="W174" i="4"/>
  <c r="W187" i="4"/>
  <c r="X187" i="4" s="1"/>
  <c r="V174" i="4"/>
  <c r="Q174" i="4"/>
  <c r="P174" i="4"/>
  <c r="P187" i="4"/>
  <c r="N174" i="4"/>
  <c r="M174" i="4"/>
  <c r="L174" i="4"/>
  <c r="K174" i="4"/>
  <c r="K187" i="4" s="1"/>
  <c r="J174" i="4"/>
  <c r="I174" i="4"/>
  <c r="I187" i="4" s="1"/>
  <c r="H174" i="4"/>
  <c r="H187" i="4"/>
  <c r="X142" i="3"/>
  <c r="X145" i="3" s="1"/>
  <c r="T142" i="3"/>
  <c r="S142" i="3"/>
  <c r="R142" i="3"/>
  <c r="Q142" i="3"/>
  <c r="Q145" i="3" s="1"/>
  <c r="N142" i="3"/>
  <c r="M142" i="3"/>
  <c r="L142" i="3"/>
  <c r="K142" i="3"/>
  <c r="J142" i="3"/>
  <c r="I142" i="3"/>
  <c r="H142" i="3"/>
  <c r="H145" i="3"/>
  <c r="F142" i="3"/>
  <c r="D142" i="3"/>
  <c r="E142" i="3"/>
  <c r="E145" i="3"/>
  <c r="T136" i="3"/>
  <c r="S136" i="3"/>
  <c r="S145" i="3"/>
  <c r="R136" i="3"/>
  <c r="R145" i="3" s="1"/>
  <c r="Q136" i="3"/>
  <c r="N136" i="3"/>
  <c r="N145" i="3" s="1"/>
  <c r="M136" i="3"/>
  <c r="M145" i="3"/>
  <c r="L136" i="3"/>
  <c r="L145" i="3" s="1"/>
  <c r="K136" i="3"/>
  <c r="K145" i="3" s="1"/>
  <c r="J136" i="3"/>
  <c r="J145" i="3"/>
  <c r="I136" i="3"/>
  <c r="I145" i="3" s="1"/>
  <c r="H136" i="3"/>
  <c r="G136" i="3"/>
  <c r="G145" i="3" s="1"/>
  <c r="F136" i="3"/>
  <c r="E136" i="3"/>
  <c r="D136" i="3"/>
  <c r="D145" i="3"/>
  <c r="X122" i="3"/>
  <c r="G122" i="3"/>
  <c r="E122" i="3"/>
  <c r="D122" i="3"/>
  <c r="D125" i="3" s="1"/>
  <c r="D161" i="4"/>
  <c r="D17" i="2"/>
  <c r="D234" i="2"/>
  <c r="E17" i="2"/>
  <c r="E234" i="2"/>
  <c r="F17" i="2"/>
  <c r="F234" i="2"/>
  <c r="G17" i="2"/>
  <c r="G234" i="2"/>
  <c r="H17" i="2"/>
  <c r="H146" i="2"/>
  <c r="H234" i="2"/>
  <c r="I17" i="2"/>
  <c r="I234" i="2"/>
  <c r="J17" i="2"/>
  <c r="J234" i="2"/>
  <c r="K17" i="2"/>
  <c r="K234" i="2"/>
  <c r="L17" i="2"/>
  <c r="L234" i="2"/>
  <c r="M17" i="2"/>
  <c r="M234" i="2"/>
  <c r="N17" i="2"/>
  <c r="N225" i="2"/>
  <c r="N234" i="2"/>
  <c r="O17" i="2"/>
  <c r="O234" i="2"/>
  <c r="P17" i="2"/>
  <c r="P146" i="2"/>
  <c r="P225" i="2"/>
  <c r="P234" i="2"/>
  <c r="P333" i="2"/>
  <c r="Q17" i="2"/>
  <c r="Q146" i="2"/>
  <c r="Q234" i="2"/>
  <c r="T17" i="2"/>
  <c r="T146" i="2"/>
  <c r="T234" i="2"/>
  <c r="W17" i="2"/>
  <c r="W146" i="2"/>
  <c r="W225" i="2"/>
  <c r="W234" i="2"/>
  <c r="W333" i="2"/>
  <c r="Z17" i="2"/>
  <c r="Z146" i="2"/>
  <c r="Z234" i="2"/>
  <c r="F152" i="4"/>
  <c r="F164" i="4" s="1"/>
  <c r="F115" i="3"/>
  <c r="O161" i="4"/>
  <c r="Q17" i="4"/>
  <c r="Q30" i="4"/>
  <c r="Q48" i="4" s="1"/>
  <c r="Q69" i="4"/>
  <c r="Q92" i="4"/>
  <c r="Q114" i="4"/>
  <c r="Q110" i="4"/>
  <c r="Q127" i="4"/>
  <c r="Q140" i="4"/>
  <c r="Q142" i="4"/>
  <c r="Q152" i="4"/>
  <c r="Q161" i="4"/>
  <c r="Q164" i="4"/>
  <c r="Q197" i="4"/>
  <c r="V17" i="4"/>
  <c r="V30" i="4"/>
  <c r="V48" i="4" s="1"/>
  <c r="V52" i="4" s="1"/>
  <c r="V69" i="4"/>
  <c r="V92" i="4"/>
  <c r="V110" i="4"/>
  <c r="V114" i="4" s="1"/>
  <c r="V127" i="4"/>
  <c r="X127" i="4" s="1"/>
  <c r="V140" i="4"/>
  <c r="V152" i="4"/>
  <c r="V164" i="4" s="1"/>
  <c r="V161" i="4"/>
  <c r="X161" i="4" s="1"/>
  <c r="V197" i="4"/>
  <c r="W17" i="4"/>
  <c r="W30" i="4"/>
  <c r="W48" i="4" s="1"/>
  <c r="W69" i="4"/>
  <c r="W92" i="4"/>
  <c r="W114" i="4"/>
  <c r="W110" i="4"/>
  <c r="W127" i="4"/>
  <c r="W140" i="4"/>
  <c r="X140" i="4" s="1"/>
  <c r="W142" i="4"/>
  <c r="W152" i="4"/>
  <c r="W161" i="4"/>
  <c r="W164" i="4" s="1"/>
  <c r="W197" i="4"/>
  <c r="X197" i="4" s="1"/>
  <c r="D17" i="4"/>
  <c r="E17" i="4"/>
  <c r="F17" i="4"/>
  <c r="G17" i="4"/>
  <c r="G30" i="4"/>
  <c r="G48" i="4" s="1"/>
  <c r="G69" i="4"/>
  <c r="G92" i="4"/>
  <c r="G114" i="4" s="1"/>
  <c r="G110" i="4"/>
  <c r="H17" i="4"/>
  <c r="H30" i="4"/>
  <c r="H48" i="4" s="1"/>
  <c r="H52" i="4" s="1"/>
  <c r="H69" i="4"/>
  <c r="H92" i="4"/>
  <c r="H114" i="4" s="1"/>
  <c r="H110" i="4"/>
  <c r="I17" i="4"/>
  <c r="I30" i="4"/>
  <c r="I48" i="4" s="1"/>
  <c r="I69" i="4"/>
  <c r="I92" i="4"/>
  <c r="I114" i="4" s="1"/>
  <c r="J17" i="4"/>
  <c r="J52" i="4" s="1"/>
  <c r="J71" i="4" s="1"/>
  <c r="J72" i="4" s="1"/>
  <c r="J115" i="4" s="1"/>
  <c r="J116" i="4" s="1"/>
  <c r="J143" i="4" s="1"/>
  <c r="J144" i="4" s="1"/>
  <c r="J48" i="4"/>
  <c r="J92" i="4"/>
  <c r="J114" i="4" s="1"/>
  <c r="K17" i="4"/>
  <c r="K30" i="4"/>
  <c r="K69" i="4"/>
  <c r="K92" i="4"/>
  <c r="K114" i="4" s="1"/>
  <c r="K110" i="4"/>
  <c r="L17" i="4"/>
  <c r="L30" i="4"/>
  <c r="L92" i="4"/>
  <c r="M17" i="4"/>
  <c r="M30" i="4"/>
  <c r="M48" i="4" s="1"/>
  <c r="M92" i="4"/>
  <c r="M114" i="4"/>
  <c r="N17" i="4"/>
  <c r="N30" i="4"/>
  <c r="N69" i="4"/>
  <c r="N92" i="4"/>
  <c r="N110" i="4"/>
  <c r="N114" i="4" s="1"/>
  <c r="O17" i="4"/>
  <c r="O30" i="4"/>
  <c r="O69" i="4"/>
  <c r="O92" i="4"/>
  <c r="O114" i="4" s="1"/>
  <c r="O110" i="4"/>
  <c r="P17" i="4"/>
  <c r="P30" i="4"/>
  <c r="P69" i="4"/>
  <c r="P92" i="4"/>
  <c r="P110" i="4"/>
  <c r="P114" i="4"/>
  <c r="D140" i="4"/>
  <c r="F127" i="4"/>
  <c r="F142" i="4"/>
  <c r="G127" i="4"/>
  <c r="G142" i="4" s="1"/>
  <c r="G140" i="4"/>
  <c r="H127" i="4"/>
  <c r="H140" i="4"/>
  <c r="I127" i="4"/>
  <c r="I140" i="4"/>
  <c r="I142" i="4" s="1"/>
  <c r="J127" i="4"/>
  <c r="J140" i="4"/>
  <c r="K127" i="4"/>
  <c r="K142" i="4"/>
  <c r="K140" i="4"/>
  <c r="L127" i="4"/>
  <c r="L140" i="4"/>
  <c r="M127" i="4"/>
  <c r="M142" i="4" s="1"/>
  <c r="M140" i="4"/>
  <c r="N127" i="4"/>
  <c r="N140" i="4"/>
  <c r="N142" i="4" s="1"/>
  <c r="O127" i="4"/>
  <c r="O140" i="4"/>
  <c r="O142" i="4"/>
  <c r="P127" i="4"/>
  <c r="P142" i="4" s="1"/>
  <c r="P140" i="4"/>
  <c r="G152" i="4"/>
  <c r="H152" i="4"/>
  <c r="H164" i="4" s="1"/>
  <c r="I152" i="4"/>
  <c r="J152" i="4"/>
  <c r="J164" i="4"/>
  <c r="K152" i="4"/>
  <c r="L152" i="4"/>
  <c r="M152" i="4"/>
  <c r="M164" i="4" s="1"/>
  <c r="R164" i="4" s="1"/>
  <c r="N152" i="4"/>
  <c r="O152" i="4"/>
  <c r="O164" i="4" s="1"/>
  <c r="P152" i="4"/>
  <c r="P164" i="4" s="1"/>
  <c r="G161" i="4"/>
  <c r="H161" i="4"/>
  <c r="I161" i="4"/>
  <c r="I164" i="4"/>
  <c r="J161" i="4"/>
  <c r="K161" i="4"/>
  <c r="L161" i="4"/>
  <c r="L164" i="4" s="1"/>
  <c r="M161" i="4"/>
  <c r="P161" i="4"/>
  <c r="K197" i="4"/>
  <c r="L197" i="4"/>
  <c r="M197" i="4"/>
  <c r="N197" i="4"/>
  <c r="O197" i="4"/>
  <c r="P197" i="4"/>
  <c r="E197" i="4"/>
  <c r="G197" i="4"/>
  <c r="H197" i="4"/>
  <c r="I197" i="4"/>
  <c r="J197" i="4"/>
  <c r="D197" i="4"/>
  <c r="E16" i="3"/>
  <c r="E28" i="3"/>
  <c r="E40" i="3"/>
  <c r="E70" i="3"/>
  <c r="E78" i="3"/>
  <c r="E82" i="3"/>
  <c r="E93" i="3"/>
  <c r="E105" i="3" s="1"/>
  <c r="F16" i="3"/>
  <c r="F28" i="3"/>
  <c r="F42" i="3" s="1"/>
  <c r="F43" i="3" s="1"/>
  <c r="F49" i="3" s="1"/>
  <c r="F50" i="3" s="1"/>
  <c r="F70" i="3"/>
  <c r="F82" i="3"/>
  <c r="F93" i="3"/>
  <c r="D16" i="3"/>
  <c r="D28" i="3"/>
  <c r="D42" i="3" s="1"/>
  <c r="D70" i="3"/>
  <c r="D82" i="3" s="1"/>
  <c r="D78" i="3"/>
  <c r="D93" i="3"/>
  <c r="D102" i="3"/>
  <c r="D115" i="3"/>
  <c r="G16" i="3"/>
  <c r="G28" i="3"/>
  <c r="G40" i="3"/>
  <c r="G70" i="3"/>
  <c r="G78" i="3"/>
  <c r="G82" i="3" s="1"/>
  <c r="G93" i="3"/>
  <c r="G105" i="3" s="1"/>
  <c r="G115" i="3"/>
  <c r="G125" i="3"/>
  <c r="H16" i="3"/>
  <c r="H28" i="3"/>
  <c r="H70" i="3"/>
  <c r="H78" i="3"/>
  <c r="H82" i="3" s="1"/>
  <c r="H93" i="3"/>
  <c r="H115" i="3"/>
  <c r="H122" i="3"/>
  <c r="H125" i="3" s="1"/>
  <c r="I16" i="3"/>
  <c r="I28" i="3"/>
  <c r="I40" i="3"/>
  <c r="I70" i="3"/>
  <c r="I78" i="3"/>
  <c r="I93" i="3"/>
  <c r="I105" i="3" s="1"/>
  <c r="I102" i="3"/>
  <c r="I115" i="3"/>
  <c r="I122" i="3"/>
  <c r="I125" i="3" s="1"/>
  <c r="J16" i="3"/>
  <c r="J28" i="3"/>
  <c r="J40" i="3"/>
  <c r="J70" i="3"/>
  <c r="J78" i="3"/>
  <c r="J93" i="3"/>
  <c r="J102" i="3"/>
  <c r="J105" i="3"/>
  <c r="J115" i="3"/>
  <c r="J122" i="3"/>
  <c r="K16" i="3"/>
  <c r="K28" i="3"/>
  <c r="K40" i="3"/>
  <c r="K70" i="3"/>
  <c r="K82" i="3" s="1"/>
  <c r="K78" i="3"/>
  <c r="K93" i="3"/>
  <c r="K102" i="3"/>
  <c r="K105" i="3"/>
  <c r="K115" i="3"/>
  <c r="K122" i="3"/>
  <c r="K125" i="3"/>
  <c r="L16" i="3"/>
  <c r="L28" i="3"/>
  <c r="L40" i="3"/>
  <c r="L70" i="3"/>
  <c r="L82" i="3"/>
  <c r="L78" i="3"/>
  <c r="L93" i="3"/>
  <c r="L102" i="3"/>
  <c r="L115" i="3"/>
  <c r="L125" i="3" s="1"/>
  <c r="L122" i="3"/>
  <c r="M16" i="3"/>
  <c r="M28" i="3"/>
  <c r="M40" i="3"/>
  <c r="M70" i="3"/>
  <c r="M78" i="3"/>
  <c r="M82" i="3" s="1"/>
  <c r="M93" i="3"/>
  <c r="M102" i="3"/>
  <c r="M105" i="3"/>
  <c r="M115" i="3"/>
  <c r="M125" i="3" s="1"/>
  <c r="M122" i="3"/>
  <c r="N16" i="3"/>
  <c r="N28" i="3"/>
  <c r="N40" i="3"/>
  <c r="N42" i="3" s="1"/>
  <c r="N70" i="3"/>
  <c r="N78" i="3"/>
  <c r="N82" i="3"/>
  <c r="N93" i="3"/>
  <c r="N105" i="3" s="1"/>
  <c r="N102" i="3"/>
  <c r="N115" i="3"/>
  <c r="N125" i="3"/>
  <c r="Q42" i="3"/>
  <c r="Q70" i="3"/>
  <c r="Q78" i="3"/>
  <c r="Q82" i="3"/>
  <c r="Q93" i="3"/>
  <c r="Q105" i="3" s="1"/>
  <c r="Q102" i="3"/>
  <c r="Q115" i="3"/>
  <c r="Q125" i="3" s="1"/>
  <c r="Q122" i="3"/>
  <c r="R42" i="3"/>
  <c r="R70" i="3"/>
  <c r="R78" i="3"/>
  <c r="R82" i="3" s="1"/>
  <c r="R93" i="3"/>
  <c r="R102" i="3"/>
  <c r="R105" i="3" s="1"/>
  <c r="R115" i="3"/>
  <c r="R125" i="3" s="1"/>
  <c r="R122" i="3"/>
  <c r="S28" i="3"/>
  <c r="S40" i="3"/>
  <c r="S70" i="3"/>
  <c r="S78" i="3"/>
  <c r="S82" i="3"/>
  <c r="S93" i="3"/>
  <c r="S102" i="3"/>
  <c r="S115" i="3"/>
  <c r="S122" i="3"/>
  <c r="S125" i="3"/>
  <c r="T16" i="3"/>
  <c r="T28" i="3"/>
  <c r="T40" i="3"/>
  <c r="T70" i="3"/>
  <c r="T82" i="3"/>
  <c r="T78" i="3"/>
  <c r="T93" i="3"/>
  <c r="T102" i="3"/>
  <c r="T105" i="3"/>
  <c r="T115" i="3"/>
  <c r="T122" i="3"/>
  <c r="T125" i="3"/>
  <c r="D155" i="3"/>
  <c r="E155" i="3"/>
  <c r="F155" i="3"/>
  <c r="G155" i="3"/>
  <c r="H155" i="3"/>
  <c r="I155" i="3"/>
  <c r="J155" i="3"/>
  <c r="K155" i="3"/>
  <c r="L155" i="3"/>
  <c r="M155" i="3"/>
  <c r="N155" i="3"/>
  <c r="Q155" i="3"/>
  <c r="R155" i="3"/>
  <c r="S155" i="3"/>
  <c r="T155" i="3"/>
  <c r="X16" i="3"/>
  <c r="X40" i="3"/>
  <c r="X78" i="3"/>
  <c r="X102" i="3"/>
  <c r="X155" i="3"/>
  <c r="S120" i="1"/>
  <c r="N120" i="1"/>
  <c r="T120" i="1"/>
  <c r="S16" i="1"/>
  <c r="S42" i="1"/>
  <c r="S82" i="1"/>
  <c r="M16" i="1"/>
  <c r="M42" i="1"/>
  <c r="M82" i="1"/>
  <c r="M94" i="1"/>
  <c r="N16" i="1"/>
  <c r="N42" i="1"/>
  <c r="N94" i="1"/>
  <c r="R120" i="1"/>
  <c r="R16" i="1"/>
  <c r="R43" i="1" s="1"/>
  <c r="R45" i="1" s="1"/>
  <c r="R46" i="1" s="1"/>
  <c r="R82" i="1"/>
  <c r="R94" i="1"/>
  <c r="T16" i="1"/>
  <c r="T42" i="1"/>
  <c r="T82" i="1"/>
  <c r="T94" i="1"/>
  <c r="E16" i="1"/>
  <c r="E42" i="1"/>
  <c r="E82" i="1"/>
  <c r="E94" i="1"/>
  <c r="F16" i="1"/>
  <c r="F42" i="1"/>
  <c r="F82" i="1"/>
  <c r="F94" i="1"/>
  <c r="L16" i="1"/>
  <c r="L42" i="1"/>
  <c r="L82" i="1"/>
  <c r="L94" i="1"/>
  <c r="J16" i="1"/>
  <c r="J42" i="1"/>
  <c r="J94" i="1"/>
  <c r="D16" i="1"/>
  <c r="D94" i="1"/>
  <c r="G16" i="1"/>
  <c r="G42" i="1"/>
  <c r="G94" i="1"/>
  <c r="H16" i="1"/>
  <c r="H94" i="1"/>
  <c r="I16" i="1"/>
  <c r="I94" i="1"/>
  <c r="K16" i="1"/>
  <c r="K94" i="1"/>
  <c r="Q16" i="1"/>
  <c r="Q42" i="1"/>
  <c r="Q82" i="1"/>
  <c r="Q94" i="1"/>
  <c r="Q120" i="1"/>
  <c r="W92" i="3"/>
  <c r="Q180" i="3"/>
  <c r="Q187" i="3"/>
  <c r="R180" i="3"/>
  <c r="R190" i="3" s="1"/>
  <c r="R187" i="3"/>
  <c r="Y16" i="4"/>
  <c r="I173" i="1"/>
  <c r="D180" i="3"/>
  <c r="D190" i="3"/>
  <c r="G180" i="3"/>
  <c r="G190" i="3" s="1"/>
  <c r="L187" i="3"/>
  <c r="G220" i="4"/>
  <c r="G236" i="4"/>
  <c r="H220" i="4"/>
  <c r="H239" i="4" s="1"/>
  <c r="H236" i="4"/>
  <c r="I236" i="4"/>
  <c r="K220" i="4"/>
  <c r="K239" i="4" s="1"/>
  <c r="K236" i="4"/>
  <c r="L220" i="4"/>
  <c r="L236" i="4"/>
  <c r="L239" i="4" s="1"/>
  <c r="M220" i="4"/>
  <c r="M236" i="4"/>
  <c r="N236" i="4"/>
  <c r="N239" i="4"/>
  <c r="O236" i="4"/>
  <c r="P220" i="4"/>
  <c r="P236" i="4"/>
  <c r="P239" i="4" s="1"/>
  <c r="Q220" i="4"/>
  <c r="Q236" i="4"/>
  <c r="Q239" i="4" s="1"/>
  <c r="V220" i="4"/>
  <c r="V236" i="4"/>
  <c r="W220" i="4"/>
  <c r="W239" i="4"/>
  <c r="W236" i="4"/>
  <c r="L180" i="3"/>
  <c r="L190" i="3"/>
  <c r="H180" i="3"/>
  <c r="H190" i="3" s="1"/>
  <c r="H187" i="3"/>
  <c r="I180" i="3"/>
  <c r="I187" i="3"/>
  <c r="I190" i="3"/>
  <c r="J180" i="3"/>
  <c r="J187" i="3"/>
  <c r="K180" i="3"/>
  <c r="K190" i="3" s="1"/>
  <c r="K187" i="3"/>
  <c r="M180" i="3"/>
  <c r="M187" i="3"/>
  <c r="M190" i="3"/>
  <c r="N180" i="3"/>
  <c r="N190" i="3" s="1"/>
  <c r="S180" i="3"/>
  <c r="S187" i="3"/>
  <c r="T180" i="3"/>
  <c r="T187" i="3"/>
  <c r="G173" i="1"/>
  <c r="H173" i="1"/>
  <c r="J173" i="1"/>
  <c r="K138" i="1"/>
  <c r="K173" i="1"/>
  <c r="N138" i="1"/>
  <c r="Q173" i="1"/>
  <c r="R138" i="1"/>
  <c r="R173" i="1"/>
  <c r="T138" i="1"/>
  <c r="T173" i="1"/>
  <c r="P441" i="2"/>
  <c r="W441" i="2"/>
  <c r="W103" i="3"/>
  <c r="I489" i="3"/>
  <c r="I505" i="1"/>
  <c r="E152" i="4"/>
  <c r="E164" i="4"/>
  <c r="F173" i="1"/>
  <c r="O225" i="2"/>
  <c r="N184" i="4"/>
  <c r="D152" i="4"/>
  <c r="D164" i="4" s="1"/>
  <c r="F236" i="4"/>
  <c r="N161" i="4"/>
  <c r="N164" i="4"/>
  <c r="E236" i="4"/>
  <c r="D127" i="4"/>
  <c r="O333" i="2"/>
  <c r="N146" i="2"/>
  <c r="T333" i="2"/>
  <c r="T225" i="2"/>
  <c r="O146" i="2"/>
  <c r="N441" i="2"/>
  <c r="I441" i="2"/>
  <c r="M120" i="1"/>
  <c r="E115" i="3"/>
  <c r="N122" i="3"/>
  <c r="X180" i="3"/>
  <c r="X190" i="3"/>
  <c r="N187" i="3"/>
  <c r="E102" i="3"/>
  <c r="E187" i="3"/>
  <c r="E190" i="3" s="1"/>
  <c r="X70" i="3"/>
  <c r="E180" i="3"/>
  <c r="Q138" i="1"/>
  <c r="N173" i="1"/>
  <c r="F138" i="1"/>
  <c r="M173" i="1"/>
  <c r="E120" i="1"/>
  <c r="L173" i="1"/>
  <c r="E173" i="1"/>
  <c r="S138" i="1"/>
  <c r="I220" i="4"/>
  <c r="I239" i="4"/>
  <c r="F220" i="4"/>
  <c r="F239" i="4" s="1"/>
  <c r="T441" i="2"/>
  <c r="M441" i="2"/>
  <c r="G441" i="2"/>
  <c r="V225" i="2"/>
  <c r="X172" i="2"/>
  <c r="L110" i="4"/>
  <c r="D110" i="4"/>
  <c r="D114" i="4" s="1"/>
  <c r="R57" i="4"/>
  <c r="D69" i="4"/>
  <c r="E110" i="4"/>
  <c r="E114" i="4" s="1"/>
  <c r="F78" i="3"/>
  <c r="R95" i="4"/>
  <c r="Y95" i="4" s="1"/>
  <c r="F110" i="4"/>
  <c r="R157" i="2"/>
  <c r="O51" i="1"/>
  <c r="W51" i="1" s="1"/>
  <c r="O103" i="1"/>
  <c r="O122" i="1"/>
  <c r="K82" i="1"/>
  <c r="O112" i="1"/>
  <c r="W112" i="1" s="1"/>
  <c r="O115" i="1"/>
  <c r="W115" i="1" s="1"/>
  <c r="L120" i="1"/>
  <c r="D120" i="1"/>
  <c r="I82" i="1"/>
  <c r="F120" i="1"/>
  <c r="O113" i="1"/>
  <c r="J120" i="1"/>
  <c r="I120" i="1"/>
  <c r="J82" i="1"/>
  <c r="H82" i="1"/>
  <c r="D82" i="1"/>
  <c r="O50" i="1"/>
  <c r="W50" i="1" s="1"/>
  <c r="H120" i="1"/>
  <c r="O100" i="1"/>
  <c r="W100" i="1"/>
  <c r="O97" i="1"/>
  <c r="E127" i="4"/>
  <c r="E142" i="4"/>
  <c r="W153" i="3"/>
  <c r="R277" i="2"/>
  <c r="R327" i="2"/>
  <c r="R165" i="2"/>
  <c r="M333" i="2"/>
  <c r="R135" i="2"/>
  <c r="R248" i="2"/>
  <c r="R268" i="2"/>
  <c r="Y268" i="2" s="1"/>
  <c r="R369" i="2"/>
  <c r="Y369" i="2" s="1"/>
  <c r="R363" i="2"/>
  <c r="R247" i="2"/>
  <c r="Y247" i="2" s="1"/>
  <c r="J333" i="2"/>
  <c r="R282" i="2"/>
  <c r="R299" i="2"/>
  <c r="M225" i="2"/>
  <c r="R151" i="2"/>
  <c r="R273" i="2"/>
  <c r="R328" i="2"/>
  <c r="R315" i="2"/>
  <c r="R317" i="2"/>
  <c r="R164" i="2"/>
  <c r="D146" i="2"/>
  <c r="Z225" i="2"/>
  <c r="R154" i="2"/>
  <c r="R163" i="2"/>
  <c r="R169" i="2"/>
  <c r="Y169" i="2" s="1"/>
  <c r="R266" i="2"/>
  <c r="R305" i="2"/>
  <c r="R307" i="2"/>
  <c r="R318" i="2"/>
  <c r="R370" i="2"/>
  <c r="Y370" i="2" s="1"/>
  <c r="J225" i="2"/>
  <c r="R158" i="2"/>
  <c r="Q225" i="2"/>
  <c r="R161" i="2"/>
  <c r="R267" i="2"/>
  <c r="R335" i="2"/>
  <c r="R361" i="2"/>
  <c r="R168" i="2"/>
  <c r="Y168" i="2" s="1"/>
  <c r="K225" i="2"/>
  <c r="K333" i="2"/>
  <c r="R255" i="2"/>
  <c r="Y255" i="2" s="1"/>
  <c r="R329" i="2"/>
  <c r="R107" i="2"/>
  <c r="Y107" i="2" s="1"/>
  <c r="L441" i="2"/>
  <c r="H225" i="2"/>
  <c r="R186" i="2"/>
  <c r="Y186" i="2" s="1"/>
  <c r="F225" i="2"/>
  <c r="R368" i="2"/>
  <c r="F355" i="2"/>
  <c r="K441" i="2"/>
  <c r="F333" i="2"/>
  <c r="L333" i="2"/>
  <c r="N333" i="2"/>
  <c r="E333" i="2"/>
  <c r="H333" i="2"/>
  <c r="Z333" i="2"/>
  <c r="R379" i="2"/>
  <c r="Y379" i="2" s="1"/>
  <c r="O441" i="2"/>
  <c r="R109" i="2"/>
  <c r="L225" i="2"/>
  <c r="R246" i="2"/>
  <c r="Y246" i="2" s="1"/>
  <c r="R286" i="2"/>
  <c r="R377" i="2"/>
  <c r="O146" i="1"/>
  <c r="W146" i="1" s="1"/>
  <c r="W76" i="1"/>
  <c r="W134" i="1"/>
  <c r="W52" i="1"/>
  <c r="W80" i="1"/>
  <c r="E500" i="2"/>
  <c r="R455" i="2"/>
  <c r="R460" i="2"/>
  <c r="Y460" i="2" s="1"/>
  <c r="R465" i="2"/>
  <c r="O180" i="1"/>
  <c r="W180" i="1" s="1"/>
  <c r="O185" i="1"/>
  <c r="D204" i="1"/>
  <c r="R479" i="2"/>
  <c r="G500" i="2"/>
  <c r="R483" i="2"/>
  <c r="V500" i="2"/>
  <c r="R182" i="4"/>
  <c r="Y182" i="4"/>
  <c r="F102" i="3"/>
  <c r="F105" i="3" s="1"/>
  <c r="H102" i="3"/>
  <c r="H105" i="3" s="1"/>
  <c r="Q83" i="3"/>
  <c r="Q84" i="3" s="1"/>
  <c r="X136" i="3"/>
  <c r="F122" i="3"/>
  <c r="F125" i="3" s="1"/>
  <c r="O117" i="3"/>
  <c r="W112" i="3"/>
  <c r="O139" i="3"/>
  <c r="R488" i="2"/>
  <c r="R493" i="2"/>
  <c r="Y181" i="4"/>
  <c r="M187" i="4"/>
  <c r="Y120" i="4"/>
  <c r="R177" i="4"/>
  <c r="Y177" i="4" s="1"/>
  <c r="G239" i="4"/>
  <c r="R168" i="4"/>
  <c r="Y168" i="4" s="1"/>
  <c r="R180" i="4"/>
  <c r="Y180" i="4"/>
  <c r="E161" i="4"/>
  <c r="Y103" i="4"/>
  <c r="Y158" i="4"/>
  <c r="R176" i="4"/>
  <c r="Y176" i="4" s="1"/>
  <c r="L184" i="4"/>
  <c r="Y159" i="4"/>
  <c r="Y153" i="4"/>
  <c r="Y147" i="4"/>
  <c r="U142" i="3"/>
  <c r="S105" i="3"/>
  <c r="U70" i="3"/>
  <c r="W65" i="3"/>
  <c r="T190" i="3"/>
  <c r="S190" i="3"/>
  <c r="W149" i="3"/>
  <c r="J190" i="3"/>
  <c r="W157" i="3"/>
  <c r="W171" i="3"/>
  <c r="W161" i="3"/>
  <c r="X105" i="3"/>
  <c r="O97" i="3"/>
  <c r="O102" i="3" s="1"/>
  <c r="O105" i="3" s="1"/>
  <c r="W97" i="3"/>
  <c r="W102" i="3" s="1"/>
  <c r="X125" i="3"/>
  <c r="I82" i="3"/>
  <c r="F145" i="3"/>
  <c r="W119" i="3"/>
  <c r="W167" i="3"/>
  <c r="W60" i="3"/>
  <c r="L105" i="3"/>
  <c r="W111" i="3"/>
  <c r="W120" i="3"/>
  <c r="U180" i="3"/>
  <c r="U190" i="3" s="1"/>
  <c r="X82" i="3"/>
  <c r="W80" i="3"/>
  <c r="U102" i="3"/>
  <c r="Y150" i="4"/>
  <c r="W117" i="3"/>
  <c r="J82" i="3"/>
  <c r="O16" i="3"/>
  <c r="W14" i="3"/>
  <c r="W16" i="3" s="1"/>
  <c r="J125" i="3"/>
  <c r="O122" i="3"/>
  <c r="E125" i="3"/>
  <c r="W95" i="3"/>
  <c r="W110" i="3"/>
  <c r="W86" i="3"/>
  <c r="L187" i="4"/>
  <c r="R81" i="2"/>
  <c r="Y81" i="2" s="1"/>
  <c r="D142" i="4"/>
  <c r="V187" i="4"/>
  <c r="X174" i="4"/>
  <c r="D30" i="4"/>
  <c r="Y237" i="4"/>
  <c r="M239" i="4"/>
  <c r="Y196" i="4"/>
  <c r="W168" i="3"/>
  <c r="W165" i="3"/>
  <c r="O180" i="3"/>
  <c r="W85" i="3"/>
  <c r="W93" i="3" s="1"/>
  <c r="W105" i="3" s="1"/>
  <c r="U105" i="3"/>
  <c r="W182" i="3"/>
  <c r="O187" i="3"/>
  <c r="W72" i="3"/>
  <c r="O78" i="3"/>
  <c r="O155" i="3"/>
  <c r="J42" i="3"/>
  <c r="J43" i="3" s="1"/>
  <c r="J49" i="3" s="1"/>
  <c r="J50" i="3" s="1"/>
  <c r="T145" i="3"/>
  <c r="O115" i="3"/>
  <c r="O125" i="3"/>
  <c r="W108" i="3"/>
  <c r="W115" i="3" s="1"/>
  <c r="O136" i="3"/>
  <c r="W96" i="3"/>
  <c r="W52" i="3"/>
  <c r="O93" i="3"/>
  <c r="U122" i="3"/>
  <c r="U125" i="3" s="1"/>
  <c r="W129" i="3"/>
  <c r="U155" i="3"/>
  <c r="U187" i="3"/>
  <c r="Y206" i="2"/>
  <c r="Y446" i="2"/>
  <c r="W155" i="3"/>
  <c r="U30" i="1"/>
  <c r="W30" i="1" s="1"/>
  <c r="O25" i="1"/>
  <c r="W25" i="1" s="1"/>
  <c r="O31" i="3"/>
  <c r="W31" i="3" s="1"/>
  <c r="G187" i="4"/>
  <c r="N48" i="4"/>
  <c r="J239" i="4"/>
  <c r="Y207" i="4"/>
  <c r="R66" i="4"/>
  <c r="K164" i="4"/>
  <c r="Y209" i="4"/>
  <c r="Y217" i="4"/>
  <c r="Y230" i="4"/>
  <c r="Y156" i="4"/>
  <c r="P48" i="4"/>
  <c r="P52" i="4" s="1"/>
  <c r="K48" i="4"/>
  <c r="K52" i="4" s="1"/>
  <c r="T48" i="4"/>
  <c r="T52" i="4" s="1"/>
  <c r="T71" i="4" s="1"/>
  <c r="J142" i="4"/>
  <c r="Y194" i="4"/>
  <c r="X17" i="4"/>
  <c r="X110" i="4"/>
  <c r="U114" i="4"/>
  <c r="X114" i="4" s="1"/>
  <c r="Y112" i="4"/>
  <c r="Y130" i="4"/>
  <c r="Y200" i="4"/>
  <c r="R161" i="4"/>
  <c r="Y161" i="4" s="1"/>
  <c r="T114" i="4"/>
  <c r="X92" i="4"/>
  <c r="T164" i="4"/>
  <c r="R152" i="4"/>
  <c r="Y152" i="4" s="1"/>
  <c r="Y190" i="4"/>
  <c r="L142" i="4"/>
  <c r="N187" i="4"/>
  <c r="O239" i="4"/>
  <c r="X236" i="4"/>
  <c r="Y104" i="4"/>
  <c r="Y155" i="4"/>
  <c r="Y122" i="4"/>
  <c r="R34" i="4"/>
  <c r="Y34" i="4"/>
  <c r="L69" i="4"/>
  <c r="G164" i="4"/>
  <c r="O48" i="4"/>
  <c r="O52" i="4" s="1"/>
  <c r="U164" i="4"/>
  <c r="X152" i="4"/>
  <c r="X184" i="4"/>
  <c r="U239" i="4"/>
  <c r="Y74" i="4"/>
  <c r="Y32" i="4"/>
  <c r="Y80" i="4"/>
  <c r="Y81" i="4"/>
  <c r="Y86" i="4"/>
  <c r="Y83" i="4"/>
  <c r="G96" i="2"/>
  <c r="G100" i="2" s="1"/>
  <c r="R103" i="2"/>
  <c r="R127" i="2"/>
  <c r="Y391" i="2"/>
  <c r="R22" i="2"/>
  <c r="R60" i="2"/>
  <c r="Q106" i="3"/>
  <c r="Q107" i="3" s="1"/>
  <c r="Q126" i="3" s="1"/>
  <c r="W21" i="3"/>
  <c r="W24" i="3"/>
  <c r="W23" i="3"/>
  <c r="W22" i="3"/>
  <c r="U28" i="3"/>
  <c r="W19" i="3"/>
  <c r="O28" i="3"/>
  <c r="W32" i="3"/>
  <c r="Y77" i="4"/>
  <c r="R78" i="2"/>
  <c r="J96" i="2"/>
  <c r="Y74" i="2"/>
  <c r="Y29" i="2"/>
  <c r="W97" i="1"/>
  <c r="W78" i="1"/>
  <c r="W162" i="1"/>
  <c r="O19" i="1"/>
  <c r="D42" i="1"/>
  <c r="D43" i="1" s="1"/>
  <c r="D45" i="1" s="1"/>
  <c r="D46" i="1" s="1"/>
  <c r="W158" i="1"/>
  <c r="W169" i="1"/>
  <c r="W116" i="1"/>
  <c r="Y27" i="2"/>
  <c r="D96" i="2"/>
  <c r="K96" i="2"/>
  <c r="R117" i="2"/>
  <c r="R21" i="2"/>
  <c r="R18" i="2"/>
  <c r="Y363" i="2"/>
  <c r="J146" i="2"/>
  <c r="R76" i="2"/>
  <c r="F96" i="2"/>
  <c r="Y53" i="2"/>
  <c r="R85" i="2"/>
  <c r="F146" i="2"/>
  <c r="Y218" i="2"/>
  <c r="Y399" i="2"/>
  <c r="L96" i="2"/>
  <c r="Z96" i="2"/>
  <c r="P71" i="4" l="1"/>
  <c r="P72" i="4" s="1"/>
  <c r="P115" i="4" s="1"/>
  <c r="P116" i="4" s="1"/>
  <c r="P143" i="4" s="1"/>
  <c r="P144" i="4" s="1"/>
  <c r="P165" i="4" s="1"/>
  <c r="P166" i="4" s="1"/>
  <c r="P188" i="4" s="1"/>
  <c r="P201" i="4" s="1"/>
  <c r="P202" i="4" s="1"/>
  <c r="P240" i="4" s="1"/>
  <c r="P246" i="4" s="1"/>
  <c r="Y114" i="2"/>
  <c r="K100" i="2"/>
  <c r="K147" i="2" s="1"/>
  <c r="K148" i="2" s="1"/>
  <c r="K235" i="2" s="1"/>
  <c r="K236" i="2" s="1"/>
  <c r="K359" i="2" s="1"/>
  <c r="K360" i="2" s="1"/>
  <c r="K442" i="2" s="1"/>
  <c r="K443" i="2" s="1"/>
  <c r="K501" i="2" s="1"/>
  <c r="K505" i="2" s="1"/>
  <c r="Y93" i="2"/>
  <c r="Y65" i="2"/>
  <c r="Y111" i="2"/>
  <c r="Y41" i="2"/>
  <c r="Y116" i="2"/>
  <c r="Y121" i="2"/>
  <c r="Y110" i="2"/>
  <c r="Y140" i="2"/>
  <c r="Y144" i="2"/>
  <c r="Y58" i="4"/>
  <c r="Y66" i="4"/>
  <c r="X69" i="4"/>
  <c r="Y54" i="4"/>
  <c r="O71" i="4"/>
  <c r="O72" i="4" s="1"/>
  <c r="O115" i="4" s="1"/>
  <c r="O116" i="4" s="1"/>
  <c r="O143" i="4" s="1"/>
  <c r="O144" i="4" s="1"/>
  <c r="O165" i="4" s="1"/>
  <c r="O166" i="4" s="1"/>
  <c r="O188" i="4" s="1"/>
  <c r="O201" i="4" s="1"/>
  <c r="O202" i="4" s="1"/>
  <c r="O240" i="4" s="1"/>
  <c r="O246" i="4" s="1"/>
  <c r="K71" i="4"/>
  <c r="K72" i="4" s="1"/>
  <c r="K115" i="4" s="1"/>
  <c r="K116" i="4" s="1"/>
  <c r="Y62" i="4"/>
  <c r="Y115" i="2"/>
  <c r="Y120" i="2"/>
  <c r="Y129" i="2"/>
  <c r="Y84" i="4"/>
  <c r="Y88" i="4"/>
  <c r="Y25" i="4"/>
  <c r="Y38" i="4"/>
  <c r="Y65" i="4"/>
  <c r="Y33" i="4"/>
  <c r="Y87" i="4"/>
  <c r="Y57" i="4"/>
  <c r="Y61" i="4"/>
  <c r="Y19" i="4"/>
  <c r="Y21" i="4"/>
  <c r="Y23" i="4"/>
  <c r="N52" i="4"/>
  <c r="N71" i="4" s="1"/>
  <c r="N72" i="4" s="1"/>
  <c r="N115" i="4" s="1"/>
  <c r="N116" i="4" s="1"/>
  <c r="N143" i="4" s="1"/>
  <c r="N144" i="4" s="1"/>
  <c r="N165" i="4" s="1"/>
  <c r="N166" i="4" s="1"/>
  <c r="W33" i="3"/>
  <c r="K42" i="3"/>
  <c r="W36" i="3"/>
  <c r="M42" i="3"/>
  <c r="I42" i="3"/>
  <c r="I43" i="3" s="1"/>
  <c r="I49" i="3" s="1"/>
  <c r="I50" i="3" s="1"/>
  <c r="T42" i="3"/>
  <c r="T43" i="3" s="1"/>
  <c r="T49" i="3" s="1"/>
  <c r="T50" i="3" s="1"/>
  <c r="T83" i="3" s="1"/>
  <c r="T84" i="3" s="1"/>
  <c r="K43" i="3"/>
  <c r="K49" i="3" s="1"/>
  <c r="K50" i="3" s="1"/>
  <c r="K83" i="3" s="1"/>
  <c r="K84" i="3" s="1"/>
  <c r="W28" i="3"/>
  <c r="S42" i="3"/>
  <c r="S43" i="3" s="1"/>
  <c r="S49" i="3" s="1"/>
  <c r="S50" i="3" s="1"/>
  <c r="G42" i="3"/>
  <c r="E42" i="3"/>
  <c r="E43" i="3" s="1"/>
  <c r="E49" i="3" s="1"/>
  <c r="E50" i="3" s="1"/>
  <c r="E106" i="3" s="1"/>
  <c r="E107" i="3" s="1"/>
  <c r="E126" i="3" s="1"/>
  <c r="L42" i="3"/>
  <c r="L43" i="3" s="1"/>
  <c r="L49" i="3" s="1"/>
  <c r="L50" i="3" s="1"/>
  <c r="L83" i="3" s="1"/>
  <c r="L84" i="3" s="1"/>
  <c r="T100" i="2"/>
  <c r="T147" i="2" s="1"/>
  <c r="T148" i="2" s="1"/>
  <c r="T235" i="2" s="1"/>
  <c r="T236" i="2" s="1"/>
  <c r="T359" i="2" s="1"/>
  <c r="T360" i="2" s="1"/>
  <c r="T442" i="2" s="1"/>
  <c r="T443" i="2" s="1"/>
  <c r="T501" i="2" s="1"/>
  <c r="T505" i="2" s="1"/>
  <c r="Y78" i="2"/>
  <c r="Y136" i="2"/>
  <c r="Y188" i="2"/>
  <c r="Y196" i="2"/>
  <c r="Y375" i="2"/>
  <c r="Y297" i="2"/>
  <c r="Y300" i="2"/>
  <c r="Y364" i="2"/>
  <c r="Y104" i="2"/>
  <c r="Y362" i="2"/>
  <c r="Y378" i="2"/>
  <c r="Y467" i="2"/>
  <c r="Y183" i="2"/>
  <c r="Y191" i="2"/>
  <c r="Y195" i="2"/>
  <c r="Y223" i="2"/>
  <c r="Y228" i="2"/>
  <c r="Y232" i="2"/>
  <c r="Y380" i="2"/>
  <c r="Y387" i="2"/>
  <c r="Y392" i="2"/>
  <c r="Y396" i="2"/>
  <c r="Y404" i="2"/>
  <c r="Y408" i="2"/>
  <c r="Y416" i="2"/>
  <c r="Y150" i="2"/>
  <c r="Y181" i="2"/>
  <c r="Y177" i="2"/>
  <c r="Y310" i="2"/>
  <c r="Y444" i="2"/>
  <c r="W57" i="1"/>
  <c r="W65" i="1"/>
  <c r="W69" i="1"/>
  <c r="W160" i="1"/>
  <c r="W164" i="1"/>
  <c r="W168" i="1"/>
  <c r="W131" i="1"/>
  <c r="W184" i="1"/>
  <c r="W103" i="1"/>
  <c r="W62" i="1"/>
  <c r="W128" i="1"/>
  <c r="W135" i="1"/>
  <c r="W147" i="1"/>
  <c r="W161" i="1"/>
  <c r="W108" i="1"/>
  <c r="W190" i="1"/>
  <c r="W194" i="1"/>
  <c r="W198" i="1"/>
  <c r="W36" i="1"/>
  <c r="W29" i="1"/>
  <c r="W35" i="1"/>
  <c r="J43" i="1"/>
  <c r="J45" i="1" s="1"/>
  <c r="J46" i="1" s="1"/>
  <c r="E43" i="1"/>
  <c r="E45" i="1" s="1"/>
  <c r="E46" i="1" s="1"/>
  <c r="E95" i="1" s="1"/>
  <c r="E96" i="1" s="1"/>
  <c r="E142" i="1" s="1"/>
  <c r="E143" i="1" s="1"/>
  <c r="E174" i="1" s="1"/>
  <c r="E175" i="1" s="1"/>
  <c r="E205" i="1" s="1"/>
  <c r="E209" i="1" s="1"/>
  <c r="T43" i="1"/>
  <c r="T45" i="1" s="1"/>
  <c r="T46" i="1" s="1"/>
  <c r="T95" i="1" s="1"/>
  <c r="T96" i="1" s="1"/>
  <c r="T142" i="1" s="1"/>
  <c r="T143" i="1" s="1"/>
  <c r="T174" i="1" s="1"/>
  <c r="T175" i="1" s="1"/>
  <c r="T205" i="1" s="1"/>
  <c r="T209" i="1" s="1"/>
  <c r="W136" i="1"/>
  <c r="W148" i="1"/>
  <c r="W151" i="1"/>
  <c r="W155" i="1"/>
  <c r="W106" i="1"/>
  <c r="W113" i="1"/>
  <c r="U138" i="1"/>
  <c r="W144" i="1"/>
  <c r="W154" i="1"/>
  <c r="W54" i="1"/>
  <c r="O82" i="1"/>
  <c r="W49" i="1"/>
  <c r="Y483" i="2"/>
  <c r="Y335" i="2"/>
  <c r="Y307" i="2"/>
  <c r="Y163" i="2"/>
  <c r="X225" i="2"/>
  <c r="Y185" i="2"/>
  <c r="Y237" i="2"/>
  <c r="Y155" i="2"/>
  <c r="Y276" i="2"/>
  <c r="Y292" i="2"/>
  <c r="Y296" i="2"/>
  <c r="Y325" i="2"/>
  <c r="Y473" i="2"/>
  <c r="Y476" i="2"/>
  <c r="Y70" i="2"/>
  <c r="Y455" i="2"/>
  <c r="Y377" i="2"/>
  <c r="Y250" i="2"/>
  <c r="Y272" i="2"/>
  <c r="Y311" i="2"/>
  <c r="Y320" i="2"/>
  <c r="Y315" i="2"/>
  <c r="X441" i="2"/>
  <c r="Y243" i="2"/>
  <c r="Y265" i="2"/>
  <c r="Y287" i="2"/>
  <c r="Y324" i="2"/>
  <c r="Y157" i="2"/>
  <c r="Y175" i="2"/>
  <c r="Y372" i="2"/>
  <c r="Y394" i="2"/>
  <c r="Y422" i="2"/>
  <c r="Y156" i="2"/>
  <c r="Y240" i="2"/>
  <c r="Y261" i="2"/>
  <c r="Y291" i="2"/>
  <c r="Y322" i="2"/>
  <c r="Y314" i="2"/>
  <c r="Y317" i="2"/>
  <c r="Y313" i="2"/>
  <c r="Y327" i="2"/>
  <c r="Y456" i="2"/>
  <c r="Y462" i="2"/>
  <c r="Y55" i="2"/>
  <c r="Y72" i="2"/>
  <c r="Y83" i="2"/>
  <c r="Y329" i="2"/>
  <c r="Y161" i="2"/>
  <c r="Y266" i="2"/>
  <c r="Y165" i="2"/>
  <c r="Y192" i="2"/>
  <c r="Y166" i="2"/>
  <c r="Y242" i="2"/>
  <c r="Y288" i="2"/>
  <c r="Y326" i="2"/>
  <c r="Y384" i="2"/>
  <c r="Y488" i="2"/>
  <c r="Y495" i="2"/>
  <c r="Y32" i="2"/>
  <c r="Y61" i="2"/>
  <c r="Y318" i="2"/>
  <c r="Y299" i="2"/>
  <c r="Y248" i="2"/>
  <c r="Y200" i="2"/>
  <c r="Y204" i="2"/>
  <c r="Y208" i="2"/>
  <c r="Y212" i="2"/>
  <c r="Y216" i="2"/>
  <c r="Y220" i="2"/>
  <c r="Y389" i="2"/>
  <c r="Y393" i="2"/>
  <c r="Y405" i="2"/>
  <c r="Y409" i="2"/>
  <c r="Y112" i="2"/>
  <c r="Y167" i="2"/>
  <c r="Y174" i="2"/>
  <c r="Y453" i="2"/>
  <c r="Y448" i="2"/>
  <c r="Y31" i="2"/>
  <c r="Y118" i="2"/>
  <c r="Y34" i="2"/>
  <c r="Y89" i="2"/>
  <c r="Y88" i="2"/>
  <c r="Q43" i="1"/>
  <c r="Q45" i="1" s="1"/>
  <c r="Q46" i="1" s="1"/>
  <c r="Q95" i="1" s="1"/>
  <c r="Q96" i="1" s="1"/>
  <c r="Q142" i="1" s="1"/>
  <c r="Q143" i="1" s="1"/>
  <c r="Q174" i="1" s="1"/>
  <c r="Q175" i="1" s="1"/>
  <c r="Q205" i="1" s="1"/>
  <c r="Q209" i="1" s="1"/>
  <c r="D95" i="1"/>
  <c r="D96" i="1" s="1"/>
  <c r="D142" i="1" s="1"/>
  <c r="D143" i="1" s="1"/>
  <c r="D174" i="1" s="1"/>
  <c r="D175" i="1" s="1"/>
  <c r="D205" i="1" s="1"/>
  <c r="D209" i="1" s="1"/>
  <c r="O120" i="1"/>
  <c r="G43" i="1"/>
  <c r="G45" i="1" s="1"/>
  <c r="G46" i="1" s="1"/>
  <c r="G95" i="1" s="1"/>
  <c r="G96" i="1" s="1"/>
  <c r="G142" i="1" s="1"/>
  <c r="G143" i="1" s="1"/>
  <c r="G174" i="1" s="1"/>
  <c r="G175" i="1" s="1"/>
  <c r="G205" i="1" s="1"/>
  <c r="G209" i="1" s="1"/>
  <c r="J95" i="1"/>
  <c r="J96" i="1" s="1"/>
  <c r="J142" i="1" s="1"/>
  <c r="J143" i="1" s="1"/>
  <c r="J174" i="1" s="1"/>
  <c r="J175" i="1" s="1"/>
  <c r="J205" i="1" s="1"/>
  <c r="J209" i="1" s="1"/>
  <c r="R95" i="1"/>
  <c r="R96" i="1" s="1"/>
  <c r="R142" i="1" s="1"/>
  <c r="R143" i="1" s="1"/>
  <c r="R174" i="1" s="1"/>
  <c r="R175" i="1" s="1"/>
  <c r="R205" i="1" s="1"/>
  <c r="R209" i="1" s="1"/>
  <c r="N43" i="1"/>
  <c r="N45" i="1" s="1"/>
  <c r="N46" i="1" s="1"/>
  <c r="N95" i="1" s="1"/>
  <c r="N96" i="1" s="1"/>
  <c r="N142" i="1" s="1"/>
  <c r="N143" i="1" s="1"/>
  <c r="N174" i="1" s="1"/>
  <c r="N175" i="1" s="1"/>
  <c r="N205" i="1" s="1"/>
  <c r="N209" i="1" s="1"/>
  <c r="W66" i="1"/>
  <c r="W70" i="1"/>
  <c r="W73" i="1"/>
  <c r="W126" i="1"/>
  <c r="W130" i="1"/>
  <c r="W127" i="1"/>
  <c r="U173" i="1"/>
  <c r="W181" i="1"/>
  <c r="W27" i="1"/>
  <c r="W48" i="1"/>
  <c r="K43" i="1"/>
  <c r="K45" i="1" s="1"/>
  <c r="K46" i="1" s="1"/>
  <c r="K95" i="1" s="1"/>
  <c r="K96" i="1" s="1"/>
  <c r="K142" i="1" s="1"/>
  <c r="K143" i="1" s="1"/>
  <c r="K174" i="1" s="1"/>
  <c r="K175" i="1" s="1"/>
  <c r="K205" i="1" s="1"/>
  <c r="K209" i="1" s="1"/>
  <c r="W77" i="1"/>
  <c r="W163" i="1"/>
  <c r="W39" i="1"/>
  <c r="U42" i="1"/>
  <c r="U43" i="1" s="1"/>
  <c r="U45" i="1" s="1"/>
  <c r="U46" i="1" s="1"/>
  <c r="W58" i="1"/>
  <c r="W185" i="1"/>
  <c r="O173" i="1"/>
  <c r="S142" i="1"/>
  <c r="S143" i="1" s="1"/>
  <c r="S174" i="1" s="1"/>
  <c r="S175" i="1" s="1"/>
  <c r="S205" i="1" s="1"/>
  <c r="S209" i="1" s="1"/>
  <c r="O94" i="1"/>
  <c r="W167" i="1"/>
  <c r="U82" i="1"/>
  <c r="U94" i="1"/>
  <c r="W191" i="1"/>
  <c r="W26" i="1"/>
  <c r="W19" i="1"/>
  <c r="W38" i="1"/>
  <c r="W22" i="1"/>
  <c r="W18" i="1"/>
  <c r="Y85" i="2"/>
  <c r="G147" i="2"/>
  <c r="G148" i="2" s="1"/>
  <c r="G235" i="2" s="1"/>
  <c r="G236" i="2" s="1"/>
  <c r="G359" i="2" s="1"/>
  <c r="G360" i="2" s="1"/>
  <c r="G442" i="2" s="1"/>
  <c r="G443" i="2" s="1"/>
  <c r="G501" i="2" s="1"/>
  <c r="G505" i="2" s="1"/>
  <c r="Y328" i="2"/>
  <c r="Y106" i="2"/>
  <c r="Y201" i="2"/>
  <c r="Y209" i="2"/>
  <c r="Y221" i="2"/>
  <c r="Y231" i="2"/>
  <c r="Y471" i="2"/>
  <c r="Y77" i="2"/>
  <c r="Y90" i="2"/>
  <c r="H100" i="2"/>
  <c r="H147" i="2" s="1"/>
  <c r="H148" i="2" s="1"/>
  <c r="H235" i="2" s="1"/>
  <c r="H236" i="2" s="1"/>
  <c r="H359" i="2" s="1"/>
  <c r="H360" i="2" s="1"/>
  <c r="H442" i="2" s="1"/>
  <c r="H443" i="2" s="1"/>
  <c r="H501" i="2" s="1"/>
  <c r="H505" i="2" s="1"/>
  <c r="Y493" i="2"/>
  <c r="Y479" i="2"/>
  <c r="Y286" i="2"/>
  <c r="Y164" i="2"/>
  <c r="Y273" i="2"/>
  <c r="Y282" i="2"/>
  <c r="Z100" i="2"/>
  <c r="Z147" i="2" s="1"/>
  <c r="Z148" i="2" s="1"/>
  <c r="Z235" i="2" s="1"/>
  <c r="Z236" i="2" s="1"/>
  <c r="Z359" i="2" s="1"/>
  <c r="Z360" i="2" s="1"/>
  <c r="Z442" i="2" s="1"/>
  <c r="Z443" i="2" s="1"/>
  <c r="Z501" i="2" s="1"/>
  <c r="Z505" i="2" s="1"/>
  <c r="P100" i="2"/>
  <c r="P147" i="2" s="1"/>
  <c r="P148" i="2" s="1"/>
  <c r="P235" i="2" s="1"/>
  <c r="P236" i="2" s="1"/>
  <c r="P359" i="2" s="1"/>
  <c r="P360" i="2" s="1"/>
  <c r="Y230" i="2"/>
  <c r="Y398" i="2"/>
  <c r="Y402" i="2"/>
  <c r="Y131" i="2"/>
  <c r="Y215" i="2"/>
  <c r="Y293" i="2"/>
  <c r="Y289" i="2"/>
  <c r="Y285" i="2"/>
  <c r="Y295" i="2"/>
  <c r="Y298" i="2"/>
  <c r="Y481" i="2"/>
  <c r="Y447" i="2"/>
  <c r="Y26" i="2"/>
  <c r="F100" i="2"/>
  <c r="F147" i="2" s="1"/>
  <c r="F148" i="2" s="1"/>
  <c r="F235" i="2" s="1"/>
  <c r="F236" i="2" s="1"/>
  <c r="F359" i="2" s="1"/>
  <c r="F360" i="2" s="1"/>
  <c r="F442" i="2" s="1"/>
  <c r="F443" i="2" s="1"/>
  <c r="F501" i="2" s="1"/>
  <c r="F505" i="2" s="1"/>
  <c r="Y465" i="2"/>
  <c r="Y267" i="2"/>
  <c r="Y305" i="2"/>
  <c r="Y154" i="2"/>
  <c r="Y127" i="2"/>
  <c r="Y270" i="2"/>
  <c r="Y251" i="2"/>
  <c r="Y269" i="2"/>
  <c r="Y279" i="2"/>
  <c r="Y301" i="2"/>
  <c r="Y302" i="2"/>
  <c r="Y309" i="2"/>
  <c r="Y454" i="2"/>
  <c r="Y459" i="2"/>
  <c r="Y468" i="2"/>
  <c r="Y470" i="2"/>
  <c r="Y472" i="2"/>
  <c r="Y490" i="2"/>
  <c r="Y492" i="2"/>
  <c r="Y123" i="2"/>
  <c r="Y67" i="2"/>
  <c r="Y361" i="2"/>
  <c r="Y222" i="2"/>
  <c r="Y227" i="2"/>
  <c r="Y406" i="2"/>
  <c r="Y410" i="2"/>
  <c r="Y414" i="2"/>
  <c r="Y418" i="2"/>
  <c r="Y426" i="2"/>
  <c r="Y39" i="2"/>
  <c r="Y132" i="2"/>
  <c r="Y178" i="2"/>
  <c r="Y179" i="2"/>
  <c r="Y274" i="2"/>
  <c r="Y283" i="2"/>
  <c r="Y284" i="2"/>
  <c r="Y303" i="2"/>
  <c r="Y383" i="2"/>
  <c r="Y385" i="2"/>
  <c r="Y487" i="2"/>
  <c r="Y457" i="2"/>
  <c r="Y30" i="2"/>
  <c r="Y368" i="2"/>
  <c r="Y151" i="2"/>
  <c r="O100" i="2"/>
  <c r="O147" i="2" s="1"/>
  <c r="O148" i="2" s="1"/>
  <c r="O235" i="2" s="1"/>
  <c r="O236" i="2" s="1"/>
  <c r="O359" i="2" s="1"/>
  <c r="O360" i="2" s="1"/>
  <c r="O442" i="2" s="1"/>
  <c r="O443" i="2" s="1"/>
  <c r="O501" i="2" s="1"/>
  <c r="O505" i="2" s="1"/>
  <c r="U100" i="2"/>
  <c r="U147" i="2" s="1"/>
  <c r="U148" i="2" s="1"/>
  <c r="U235" i="2" s="1"/>
  <c r="U236" i="2" s="1"/>
  <c r="U359" i="2" s="1"/>
  <c r="U360" i="2" s="1"/>
  <c r="U442" i="2" s="1"/>
  <c r="U443" i="2" s="1"/>
  <c r="U501" i="2" s="1"/>
  <c r="U505" i="2" s="1"/>
  <c r="Y203" i="2"/>
  <c r="Y207" i="2"/>
  <c r="Y211" i="2"/>
  <c r="Y219" i="2"/>
  <c r="Y390" i="2"/>
  <c r="Y430" i="2"/>
  <c r="Y438" i="2"/>
  <c r="Y217" i="2"/>
  <c r="Y224" i="2"/>
  <c r="Y229" i="2"/>
  <c r="Y233" i="2"/>
  <c r="Y258" i="2"/>
  <c r="X355" i="2"/>
  <c r="Y366" i="2"/>
  <c r="Y432" i="2"/>
  <c r="Y153" i="2"/>
  <c r="Y252" i="2"/>
  <c r="Y304" i="2"/>
  <c r="Y312" i="2"/>
  <c r="Y373" i="2"/>
  <c r="Y482" i="2"/>
  <c r="Y497" i="2"/>
  <c r="Y445" i="2"/>
  <c r="R234" i="2"/>
  <c r="Y62" i="2"/>
  <c r="Y21" i="2"/>
  <c r="Y51" i="2"/>
  <c r="Y226" i="2"/>
  <c r="Y263" i="2"/>
  <c r="Y371" i="2"/>
  <c r="Y401" i="2"/>
  <c r="Y152" i="2"/>
  <c r="Y170" i="2"/>
  <c r="Y245" i="2"/>
  <c r="Y254" i="2"/>
  <c r="Y257" i="2"/>
  <c r="Y260" i="2"/>
  <c r="Y294" i="2"/>
  <c r="Y486" i="2"/>
  <c r="Y491" i="2"/>
  <c r="Y496" i="2"/>
  <c r="X146" i="2"/>
  <c r="N100" i="2"/>
  <c r="N147" i="2" s="1"/>
  <c r="N148" i="2" s="1"/>
  <c r="N235" i="2" s="1"/>
  <c r="N236" i="2" s="1"/>
  <c r="N359" i="2" s="1"/>
  <c r="N360" i="2" s="1"/>
  <c r="N442" i="2" s="1"/>
  <c r="N443" i="2" s="1"/>
  <c r="N501" i="2" s="1"/>
  <c r="N505" i="2" s="1"/>
  <c r="V100" i="2"/>
  <c r="V147" i="2" s="1"/>
  <c r="Y113" i="2"/>
  <c r="Y340" i="2"/>
  <c r="Y381" i="2"/>
  <c r="Y412" i="2"/>
  <c r="Y420" i="2"/>
  <c r="Y424" i="2"/>
  <c r="Y103" i="2"/>
  <c r="Y160" i="2"/>
  <c r="Y180" i="2"/>
  <c r="Y306" i="2"/>
  <c r="Y308" i="2"/>
  <c r="Y323" i="2"/>
  <c r="Y68" i="2"/>
  <c r="R500" i="2"/>
  <c r="Y500" i="2" s="1"/>
  <c r="Y109" i="2"/>
  <c r="R333" i="2"/>
  <c r="Y158" i="2"/>
  <c r="X333" i="2"/>
  <c r="Y189" i="2"/>
  <c r="Y193" i="2"/>
  <c r="Y210" i="2"/>
  <c r="Y214" i="2"/>
  <c r="Y344" i="2"/>
  <c r="Y348" i="2"/>
  <c r="Y352" i="2"/>
  <c r="Y382" i="2"/>
  <c r="Y397" i="2"/>
  <c r="Y400" i="2"/>
  <c r="Y413" i="2"/>
  <c r="Y417" i="2"/>
  <c r="Y421" i="2"/>
  <c r="Y425" i="2"/>
  <c r="Y428" i="2"/>
  <c r="Y436" i="2"/>
  <c r="Y141" i="2"/>
  <c r="Y171" i="2"/>
  <c r="Y281" i="2"/>
  <c r="Y330" i="2"/>
  <c r="Y458" i="2"/>
  <c r="Y461" i="2"/>
  <c r="Y466" i="2"/>
  <c r="Y469" i="2"/>
  <c r="Y475" i="2"/>
  <c r="Y489" i="2"/>
  <c r="Y474" i="2"/>
  <c r="Y480" i="2"/>
  <c r="Y91" i="2"/>
  <c r="I100" i="2"/>
  <c r="I147" i="2" s="1"/>
  <c r="I148" i="2" s="1"/>
  <c r="I235" i="2" s="1"/>
  <c r="I236" i="2" s="1"/>
  <c r="I359" i="2" s="1"/>
  <c r="I360" i="2" s="1"/>
  <c r="I442" i="2" s="1"/>
  <c r="I443" i="2" s="1"/>
  <c r="I501" i="2" s="1"/>
  <c r="I505" i="2" s="1"/>
  <c r="W100" i="2"/>
  <c r="W147" i="2" s="1"/>
  <c r="W148" i="2" s="1"/>
  <c r="W235" i="2" s="1"/>
  <c r="W236" i="2" s="1"/>
  <c r="W359" i="2" s="1"/>
  <c r="W360" i="2" s="1"/>
  <c r="W442" i="2" s="1"/>
  <c r="W443" i="2" s="1"/>
  <c r="W501" i="2" s="1"/>
  <c r="W505" i="2" s="1"/>
  <c r="Y36" i="2"/>
  <c r="Y43" i="2"/>
  <c r="P442" i="2"/>
  <c r="P443" i="2" s="1"/>
  <c r="P501" i="2" s="1"/>
  <c r="P505" i="2" s="1"/>
  <c r="Y205" i="2"/>
  <c r="Y290" i="2"/>
  <c r="Y76" i="2"/>
  <c r="Y60" i="2"/>
  <c r="Y277" i="2"/>
  <c r="Y124" i="2"/>
  <c r="Y194" i="2"/>
  <c r="Y197" i="2"/>
  <c r="Y345" i="2"/>
  <c r="Y349" i="2"/>
  <c r="Y429" i="2"/>
  <c r="Y433" i="2"/>
  <c r="Y437" i="2"/>
  <c r="Y22" i="2"/>
  <c r="Y108" i="2"/>
  <c r="Y122" i="2"/>
  <c r="Y343" i="2"/>
  <c r="Y239" i="2"/>
  <c r="Y256" i="2"/>
  <c r="Y321" i="2"/>
  <c r="Y376" i="2"/>
  <c r="R441" i="2"/>
  <c r="Y441" i="2" s="1"/>
  <c r="Y388" i="2"/>
  <c r="Y452" i="2"/>
  <c r="Y464" i="2"/>
  <c r="Y477" i="2"/>
  <c r="Y485" i="2"/>
  <c r="Y494" i="2"/>
  <c r="Y98" i="2"/>
  <c r="Y73" i="2"/>
  <c r="D100" i="2"/>
  <c r="D147" i="2" s="1"/>
  <c r="D148" i="2" s="1"/>
  <c r="D235" i="2" s="1"/>
  <c r="D236" i="2" s="1"/>
  <c r="Y15" i="2"/>
  <c r="Y17" i="2" s="1"/>
  <c r="Y33" i="2"/>
  <c r="Y117" i="2"/>
  <c r="Y18" i="2"/>
  <c r="Y105" i="2"/>
  <c r="Y130" i="2"/>
  <c r="Y79" i="2"/>
  <c r="Y20" i="2"/>
  <c r="W17" i="1"/>
  <c r="S83" i="3"/>
  <c r="S84" i="3" s="1"/>
  <c r="S106" i="3"/>
  <c r="S107" i="3" s="1"/>
  <c r="S126" i="3" s="1"/>
  <c r="K106" i="3"/>
  <c r="K107" i="3" s="1"/>
  <c r="K126" i="3" s="1"/>
  <c r="Q127" i="3"/>
  <c r="Q146" i="3" s="1"/>
  <c r="Q196" i="3" s="1"/>
  <c r="Q159" i="3"/>
  <c r="Q160" i="3" s="1"/>
  <c r="Q191" i="3" s="1"/>
  <c r="X239" i="4"/>
  <c r="Y239" i="4" s="1"/>
  <c r="I83" i="3"/>
  <c r="I84" i="3" s="1"/>
  <c r="I106" i="3"/>
  <c r="I107" i="3" s="1"/>
  <c r="I126" i="3" s="1"/>
  <c r="K143" i="4"/>
  <c r="K144" i="4" s="1"/>
  <c r="K165" i="4" s="1"/>
  <c r="K166" i="4" s="1"/>
  <c r="K188" i="4" s="1"/>
  <c r="K201" i="4" s="1"/>
  <c r="K202" i="4" s="1"/>
  <c r="K240" i="4" s="1"/>
  <c r="K246" i="4" s="1"/>
  <c r="O190" i="3"/>
  <c r="W122" i="1"/>
  <c r="O138" i="1"/>
  <c r="W138" i="1" s="1"/>
  <c r="R236" i="4"/>
  <c r="Y236" i="4" s="1"/>
  <c r="M43" i="1"/>
  <c r="M45" i="1" s="1"/>
  <c r="M46" i="1" s="1"/>
  <c r="M95" i="1" s="1"/>
  <c r="M96" i="1" s="1"/>
  <c r="M142" i="1" s="1"/>
  <c r="M143" i="1" s="1"/>
  <c r="M174" i="1" s="1"/>
  <c r="M175" i="1" s="1"/>
  <c r="M205" i="1" s="1"/>
  <c r="M209" i="1" s="1"/>
  <c r="T106" i="3"/>
  <c r="T107" i="3" s="1"/>
  <c r="T126" i="3" s="1"/>
  <c r="D105" i="3"/>
  <c r="R197" i="4"/>
  <c r="Y197" i="4" s="1"/>
  <c r="R142" i="4"/>
  <c r="N188" i="4"/>
  <c r="N201" i="4" s="1"/>
  <c r="N202" i="4" s="1"/>
  <c r="N240" i="4" s="1"/>
  <c r="N246" i="4" s="1"/>
  <c r="R127" i="4"/>
  <c r="Y127" i="4" s="1"/>
  <c r="W125" i="3"/>
  <c r="R92" i="4"/>
  <c r="Y92" i="4" s="1"/>
  <c r="W173" i="1"/>
  <c r="R110" i="4"/>
  <c r="Y110" i="4" s="1"/>
  <c r="L114" i="4"/>
  <c r="V239" i="4"/>
  <c r="X220" i="4"/>
  <c r="Q190" i="3"/>
  <c r="N43" i="3"/>
  <c r="N49" i="3" s="1"/>
  <c r="N50" i="3" s="1"/>
  <c r="D43" i="3"/>
  <c r="D49" i="3" s="1"/>
  <c r="D50" i="3" s="1"/>
  <c r="R140" i="4"/>
  <c r="Y140" i="4" s="1"/>
  <c r="R17" i="4"/>
  <c r="R187" i="4"/>
  <c r="Y187" i="4" s="1"/>
  <c r="W180" i="3"/>
  <c r="W190" i="3" s="1"/>
  <c r="X164" i="4"/>
  <c r="Y164" i="4" s="1"/>
  <c r="J106" i="3"/>
  <c r="J107" i="3" s="1"/>
  <c r="J126" i="3" s="1"/>
  <c r="J83" i="3"/>
  <c r="J84" i="3" s="1"/>
  <c r="W139" i="3"/>
  <c r="O142" i="3"/>
  <c r="O145" i="3" s="1"/>
  <c r="H142" i="4"/>
  <c r="J165" i="4"/>
  <c r="J166" i="4" s="1"/>
  <c r="J188" i="4" s="1"/>
  <c r="J201" i="4" s="1"/>
  <c r="J202" i="4" s="1"/>
  <c r="J240" i="4" s="1"/>
  <c r="J246" i="4" s="1"/>
  <c r="U120" i="1"/>
  <c r="W120" i="1" s="1"/>
  <c r="R174" i="4"/>
  <c r="Y174" i="4" s="1"/>
  <c r="L43" i="1"/>
  <c r="L45" i="1" s="1"/>
  <c r="L46" i="1" s="1"/>
  <c r="L95" i="1" s="1"/>
  <c r="L96" i="1" s="1"/>
  <c r="L142" i="1" s="1"/>
  <c r="L143" i="1" s="1"/>
  <c r="L174" i="1" s="1"/>
  <c r="L175" i="1" s="1"/>
  <c r="L205" i="1" s="1"/>
  <c r="L209" i="1" s="1"/>
  <c r="F43" i="1"/>
  <c r="F45" i="1" s="1"/>
  <c r="F46" i="1" s="1"/>
  <c r="F95" i="1" s="1"/>
  <c r="F96" i="1" s="1"/>
  <c r="F142" i="1" s="1"/>
  <c r="F143" i="1" s="1"/>
  <c r="F174" i="1" s="1"/>
  <c r="F175" i="1" s="1"/>
  <c r="F205" i="1" s="1"/>
  <c r="F209" i="1" s="1"/>
  <c r="H71" i="4"/>
  <c r="H72" i="4" s="1"/>
  <c r="H115" i="4" s="1"/>
  <c r="H116" i="4" s="1"/>
  <c r="H143" i="4" s="1"/>
  <c r="H144" i="4" s="1"/>
  <c r="H165" i="4" s="1"/>
  <c r="H166" i="4" s="1"/>
  <c r="H188" i="4" s="1"/>
  <c r="H201" i="4" s="1"/>
  <c r="H202" i="4" s="1"/>
  <c r="H240" i="4" s="1"/>
  <c r="H246" i="4" s="1"/>
  <c r="V142" i="4"/>
  <c r="X142" i="4" s="1"/>
  <c r="Y172" i="2"/>
  <c r="F114" i="4"/>
  <c r="R114" i="4" s="1"/>
  <c r="Y114" i="4" s="1"/>
  <c r="W52" i="4"/>
  <c r="W71" i="4" s="1"/>
  <c r="W72" i="4" s="1"/>
  <c r="W115" i="4" s="1"/>
  <c r="W116" i="4" s="1"/>
  <c r="W143" i="4" s="1"/>
  <c r="W144" i="4" s="1"/>
  <c r="W165" i="4" s="1"/>
  <c r="W166" i="4" s="1"/>
  <c r="W188" i="4" s="1"/>
  <c r="W201" i="4" s="1"/>
  <c r="W202" i="4" s="1"/>
  <c r="W240" i="4" s="1"/>
  <c r="W246" i="4" s="1"/>
  <c r="L100" i="2"/>
  <c r="L147" i="2" s="1"/>
  <c r="L148" i="2" s="1"/>
  <c r="L235" i="2" s="1"/>
  <c r="L236" i="2" s="1"/>
  <c r="L359" i="2" s="1"/>
  <c r="L360" i="2" s="1"/>
  <c r="L442" i="2" s="1"/>
  <c r="L443" i="2" s="1"/>
  <c r="L501" i="2" s="1"/>
  <c r="L505" i="2" s="1"/>
  <c r="O204" i="1"/>
  <c r="J100" i="2"/>
  <c r="J147" i="2" s="1"/>
  <c r="J148" i="2" s="1"/>
  <c r="J235" i="2" s="1"/>
  <c r="J236" i="2" s="1"/>
  <c r="J359" i="2" s="1"/>
  <c r="J360" i="2" s="1"/>
  <c r="J442" i="2" s="1"/>
  <c r="J443" i="2" s="1"/>
  <c r="J501" i="2" s="1"/>
  <c r="J505" i="2" s="1"/>
  <c r="R355" i="2"/>
  <c r="R220" i="4"/>
  <c r="Y220" i="4" s="1"/>
  <c r="Y135" i="2"/>
  <c r="M43" i="3"/>
  <c r="M49" i="3" s="1"/>
  <c r="M50" i="3" s="1"/>
  <c r="M106" i="3" s="1"/>
  <c r="M107" i="3" s="1"/>
  <c r="M126" i="3" s="1"/>
  <c r="V71" i="4"/>
  <c r="V72" i="4" s="1"/>
  <c r="V115" i="4" s="1"/>
  <c r="V116" i="4" s="1"/>
  <c r="V143" i="4" s="1"/>
  <c r="V144" i="4" s="1"/>
  <c r="V165" i="4" s="1"/>
  <c r="V166" i="4" s="1"/>
  <c r="V188" i="4" s="1"/>
  <c r="V201" i="4" s="1"/>
  <c r="V202" i="4" s="1"/>
  <c r="V240" i="4" s="1"/>
  <c r="V246" i="4" s="1"/>
  <c r="X234" i="2"/>
  <c r="W64" i="1"/>
  <c r="W89" i="1"/>
  <c r="W140" i="1"/>
  <c r="W153" i="1"/>
  <c r="W165" i="1"/>
  <c r="W61" i="3"/>
  <c r="W148" i="3"/>
  <c r="U115" i="4"/>
  <c r="U116" i="4" s="1"/>
  <c r="U143" i="4" s="1"/>
  <c r="U144" i="4" s="1"/>
  <c r="U165" i="4" s="1"/>
  <c r="U166" i="4" s="1"/>
  <c r="U188" i="4" s="1"/>
  <c r="U201" i="4" s="1"/>
  <c r="U202" i="4" s="1"/>
  <c r="U240" i="4" s="1"/>
  <c r="U246" i="4" s="1"/>
  <c r="Y202" i="2"/>
  <c r="Y213" i="2"/>
  <c r="Y271" i="2"/>
  <c r="Y484" i="2"/>
  <c r="X96" i="2"/>
  <c r="O70" i="3"/>
  <c r="S43" i="1"/>
  <c r="S45" i="1" s="1"/>
  <c r="S46" i="1" s="1"/>
  <c r="S95" i="1" s="1"/>
  <c r="M52" i="4"/>
  <c r="M71" i="4" s="1"/>
  <c r="M72" i="4" s="1"/>
  <c r="M115" i="4" s="1"/>
  <c r="M116" i="4" s="1"/>
  <c r="M143" i="4" s="1"/>
  <c r="M144" i="4" s="1"/>
  <c r="M165" i="4" s="1"/>
  <c r="M166" i="4" s="1"/>
  <c r="M188" i="4" s="1"/>
  <c r="M201" i="4" s="1"/>
  <c r="M202" i="4" s="1"/>
  <c r="M240" i="4" s="1"/>
  <c r="M246" i="4" s="1"/>
  <c r="I52" i="4"/>
  <c r="I71" i="4" s="1"/>
  <c r="I72" i="4" s="1"/>
  <c r="I115" i="4" s="1"/>
  <c r="I116" i="4" s="1"/>
  <c r="I143" i="4" s="1"/>
  <c r="I144" i="4" s="1"/>
  <c r="I165" i="4" s="1"/>
  <c r="I166" i="4" s="1"/>
  <c r="I188" i="4" s="1"/>
  <c r="I201" i="4" s="1"/>
  <c r="I202" i="4" s="1"/>
  <c r="I240" i="4" s="1"/>
  <c r="I246" i="4" s="1"/>
  <c r="Q52" i="4"/>
  <c r="Q71" i="4" s="1"/>
  <c r="Q72" i="4" s="1"/>
  <c r="Q115" i="4" s="1"/>
  <c r="Q116" i="4" s="1"/>
  <c r="Q143" i="4" s="1"/>
  <c r="Q144" i="4" s="1"/>
  <c r="Q165" i="4" s="1"/>
  <c r="Q166" i="4" s="1"/>
  <c r="Q188" i="4" s="1"/>
  <c r="Q201" i="4" s="1"/>
  <c r="Q202" i="4" s="1"/>
  <c r="Q240" i="4" s="1"/>
  <c r="Q246" i="4" s="1"/>
  <c r="W61" i="1"/>
  <c r="W86" i="1"/>
  <c r="W94" i="1" s="1"/>
  <c r="W173" i="3"/>
  <c r="U78" i="3"/>
  <c r="U40" i="3"/>
  <c r="U42" i="3" s="1"/>
  <c r="U43" i="3" s="1"/>
  <c r="Y17" i="4"/>
  <c r="Y129" i="4"/>
  <c r="Y211" i="4"/>
  <c r="W99" i="1"/>
  <c r="Y264" i="2"/>
  <c r="W105" i="1"/>
  <c r="Y316" i="2"/>
  <c r="Y365" i="2"/>
  <c r="Y63" i="4"/>
  <c r="H42" i="3"/>
  <c r="H43" i="3" s="1"/>
  <c r="H49" i="3" s="1"/>
  <c r="H50" i="3" s="1"/>
  <c r="R45" i="4"/>
  <c r="Y45" i="4" s="1"/>
  <c r="Y208" i="4"/>
  <c r="R225" i="2"/>
  <c r="Y182" i="2"/>
  <c r="Y184" i="2"/>
  <c r="Y187" i="2"/>
  <c r="Y249" i="2"/>
  <c r="Y374" i="2"/>
  <c r="U204" i="1"/>
  <c r="Y449" i="2"/>
  <c r="W138" i="3"/>
  <c r="W142" i="3" s="1"/>
  <c r="W145" i="3" s="1"/>
  <c r="Y24" i="4"/>
  <c r="Y35" i="2"/>
  <c r="Y142" i="2"/>
  <c r="W35" i="3"/>
  <c r="R43" i="3"/>
  <c r="R49" i="3" s="1"/>
  <c r="R50" i="3" s="1"/>
  <c r="R106" i="3" s="1"/>
  <c r="R107" i="3" s="1"/>
  <c r="R126" i="3" s="1"/>
  <c r="Y40" i="2"/>
  <c r="Y199" i="4"/>
  <c r="W47" i="1"/>
  <c r="Y162" i="2"/>
  <c r="W53" i="1"/>
  <c r="Y241" i="2"/>
  <c r="Y244" i="2"/>
  <c r="Y259" i="2"/>
  <c r="W110" i="1"/>
  <c r="W114" i="1"/>
  <c r="W117" i="1"/>
  <c r="W195" i="1"/>
  <c r="W199" i="1"/>
  <c r="Y463" i="2"/>
  <c r="Y478" i="2"/>
  <c r="Y498" i="2"/>
  <c r="Y54" i="2"/>
  <c r="R146" i="2"/>
  <c r="Y125" i="2"/>
  <c r="Y137" i="2"/>
  <c r="Y66" i="2"/>
  <c r="Y52" i="2"/>
  <c r="W32" i="1"/>
  <c r="Y28" i="2"/>
  <c r="Y20" i="4"/>
  <c r="E100" i="2"/>
  <c r="E147" i="2" s="1"/>
  <c r="E148" i="2" s="1"/>
  <c r="E235" i="2" s="1"/>
  <c r="E236" i="2" s="1"/>
  <c r="E359" i="2" s="1"/>
  <c r="E360" i="2" s="1"/>
  <c r="E442" i="2" s="1"/>
  <c r="E443" i="2" s="1"/>
  <c r="E501" i="2" s="1"/>
  <c r="E505" i="2" s="1"/>
  <c r="Y126" i="2"/>
  <c r="Y138" i="2"/>
  <c r="Y56" i="2"/>
  <c r="Y57" i="2"/>
  <c r="Y86" i="2"/>
  <c r="Y71" i="2"/>
  <c r="Y87" i="2"/>
  <c r="L48" i="4"/>
  <c r="L52" i="4" s="1"/>
  <c r="L71" i="4" s="1"/>
  <c r="L72" i="4" s="1"/>
  <c r="L115" i="4" s="1"/>
  <c r="L116" i="4" s="1"/>
  <c r="L143" i="4" s="1"/>
  <c r="L144" i="4" s="1"/>
  <c r="L165" i="4" s="1"/>
  <c r="L166" i="4" s="1"/>
  <c r="L188" i="4" s="1"/>
  <c r="L201" i="4" s="1"/>
  <c r="L202" i="4" s="1"/>
  <c r="L240" i="4" s="1"/>
  <c r="L246" i="4" s="1"/>
  <c r="W21" i="1"/>
  <c r="X42" i="3"/>
  <c r="X43" i="3" s="1"/>
  <c r="X49" i="3" s="1"/>
  <c r="X50" i="3" s="1"/>
  <c r="X106" i="3" s="1"/>
  <c r="Y64" i="2"/>
  <c r="Y69" i="2"/>
  <c r="Y40" i="4"/>
  <c r="Y55" i="4"/>
  <c r="Y80" i="2"/>
  <c r="W30" i="3"/>
  <c r="M100" i="2"/>
  <c r="M147" i="2" s="1"/>
  <c r="M148" i="2" s="1"/>
  <c r="M235" i="2" s="1"/>
  <c r="M236" i="2" s="1"/>
  <c r="M359" i="2" s="1"/>
  <c r="M360" i="2" s="1"/>
  <c r="M442" i="2" s="1"/>
  <c r="M443" i="2" s="1"/>
  <c r="M501" i="2" s="1"/>
  <c r="M505" i="2" s="1"/>
  <c r="W24" i="1"/>
  <c r="F52" i="4"/>
  <c r="F71" i="4" s="1"/>
  <c r="F72" i="4" s="1"/>
  <c r="F115" i="4" s="1"/>
  <c r="F116" i="4" s="1"/>
  <c r="F143" i="4" s="1"/>
  <c r="F144" i="4" s="1"/>
  <c r="F165" i="4" s="1"/>
  <c r="F166" i="4" s="1"/>
  <c r="F188" i="4" s="1"/>
  <c r="F201" i="4" s="1"/>
  <c r="F202" i="4" s="1"/>
  <c r="F240" i="4" s="1"/>
  <c r="F246" i="4" s="1"/>
  <c r="W31" i="1"/>
  <c r="R69" i="4"/>
  <c r="Y69" i="4" s="1"/>
  <c r="D48" i="4"/>
  <c r="D52" i="4" s="1"/>
  <c r="D71" i="4" s="1"/>
  <c r="D72" i="4" s="1"/>
  <c r="D115" i="4" s="1"/>
  <c r="T72" i="4"/>
  <c r="X52" i="4"/>
  <c r="X30" i="4"/>
  <c r="X48" i="4"/>
  <c r="R30" i="4"/>
  <c r="E52" i="4"/>
  <c r="E71" i="4" s="1"/>
  <c r="G52" i="4"/>
  <c r="G71" i="4" s="1"/>
  <c r="G72" i="4" s="1"/>
  <c r="G115" i="4" s="1"/>
  <c r="G116" i="4" s="1"/>
  <c r="G143" i="4" s="1"/>
  <c r="G144" i="4" s="1"/>
  <c r="G165" i="4" s="1"/>
  <c r="G166" i="4" s="1"/>
  <c r="G188" i="4" s="1"/>
  <c r="G201" i="4" s="1"/>
  <c r="G202" i="4" s="1"/>
  <c r="G240" i="4" s="1"/>
  <c r="G246" i="4" s="1"/>
  <c r="R83" i="3"/>
  <c r="R84" i="3" s="1"/>
  <c r="G43" i="3"/>
  <c r="G49" i="3" s="1"/>
  <c r="G50" i="3" s="1"/>
  <c r="G83" i="3" s="1"/>
  <c r="G84" i="3" s="1"/>
  <c r="F83" i="3"/>
  <c r="F84" i="3" s="1"/>
  <c r="F106" i="3"/>
  <c r="F107" i="3" s="1"/>
  <c r="F126" i="3" s="1"/>
  <c r="G106" i="3"/>
  <c r="G107" i="3" s="1"/>
  <c r="G126" i="3" s="1"/>
  <c r="O40" i="3"/>
  <c r="Y101" i="2"/>
  <c r="Y102" i="2"/>
  <c r="R96" i="2"/>
  <c r="Q100" i="2"/>
  <c r="Q147" i="2" s="1"/>
  <c r="Q148" i="2" s="1"/>
  <c r="Q235" i="2" s="1"/>
  <c r="Q236" i="2" s="1"/>
  <c r="Q359" i="2" s="1"/>
  <c r="Q360" i="2" s="1"/>
  <c r="Q442" i="2" s="1"/>
  <c r="Q443" i="2" s="1"/>
  <c r="Q501" i="2" s="1"/>
  <c r="Q505" i="2" s="1"/>
  <c r="I43" i="1"/>
  <c r="I45" i="1" s="1"/>
  <c r="I46" i="1" s="1"/>
  <c r="I95" i="1" s="1"/>
  <c r="I96" i="1" s="1"/>
  <c r="I142" i="1" s="1"/>
  <c r="I143" i="1" s="1"/>
  <c r="I174" i="1" s="1"/>
  <c r="I175" i="1" s="1"/>
  <c r="I205" i="1" s="1"/>
  <c r="I209" i="1" s="1"/>
  <c r="O42" i="1"/>
  <c r="H43" i="1"/>
  <c r="H45" i="1" s="1"/>
  <c r="H46" i="1" s="1"/>
  <c r="H95" i="1" s="1"/>
  <c r="H96" i="1" s="1"/>
  <c r="H142" i="1" s="1"/>
  <c r="H143" i="1" s="1"/>
  <c r="H174" i="1" s="1"/>
  <c r="H175" i="1" s="1"/>
  <c r="H205" i="1" s="1"/>
  <c r="H209" i="1" s="1"/>
  <c r="W14" i="1"/>
  <c r="W16" i="1" s="1"/>
  <c r="O16" i="1"/>
  <c r="R127" i="3" l="1"/>
  <c r="R146" i="3" s="1"/>
  <c r="R196" i="3" s="1"/>
  <c r="R159" i="3"/>
  <c r="R160" i="3" s="1"/>
  <c r="R191" i="3" s="1"/>
  <c r="Y146" i="2"/>
  <c r="M83" i="3"/>
  <c r="M84" i="3" s="1"/>
  <c r="E83" i="3"/>
  <c r="E84" i="3" s="1"/>
  <c r="Y225" i="2"/>
  <c r="U95" i="1"/>
  <c r="U96" i="1" s="1"/>
  <c r="U142" i="1" s="1"/>
  <c r="U143" i="1" s="1"/>
  <c r="U174" i="1" s="1"/>
  <c r="U175" i="1" s="1"/>
  <c r="U205" i="1" s="1"/>
  <c r="U209" i="1" s="1"/>
  <c r="Y234" i="2"/>
  <c r="X100" i="2"/>
  <c r="W204" i="1"/>
  <c r="W82" i="1"/>
  <c r="H106" i="3"/>
  <c r="H107" i="3" s="1"/>
  <c r="H126" i="3" s="1"/>
  <c r="H159" i="3" s="1"/>
  <c r="H160" i="3" s="1"/>
  <c r="H191" i="3" s="1"/>
  <c r="H83" i="3"/>
  <c r="H84" i="3" s="1"/>
  <c r="W42" i="1"/>
  <c r="Y355" i="2"/>
  <c r="Y333" i="2"/>
  <c r="Y96" i="2"/>
  <c r="R100" i="2"/>
  <c r="T159" i="3"/>
  <c r="T160" i="3" s="1"/>
  <c r="T191" i="3" s="1"/>
  <c r="T127" i="3"/>
  <c r="T146" i="3" s="1"/>
  <c r="T196" i="3" s="1"/>
  <c r="D106" i="3"/>
  <c r="D107" i="3" s="1"/>
  <c r="D126" i="3" s="1"/>
  <c r="D83" i="3"/>
  <c r="D84" i="3" s="1"/>
  <c r="Y142" i="4"/>
  <c r="U82" i="3"/>
  <c r="W78" i="3"/>
  <c r="O82" i="3"/>
  <c r="W70" i="3"/>
  <c r="N83" i="3"/>
  <c r="N84" i="3" s="1"/>
  <c r="N106" i="3"/>
  <c r="N107" i="3" s="1"/>
  <c r="N126" i="3" s="1"/>
  <c r="I159" i="3"/>
  <c r="I160" i="3" s="1"/>
  <c r="I191" i="3" s="1"/>
  <c r="I127" i="3"/>
  <c r="I146" i="3" s="1"/>
  <c r="I196" i="3" s="1"/>
  <c r="K159" i="3"/>
  <c r="K160" i="3" s="1"/>
  <c r="K191" i="3" s="1"/>
  <c r="K127" i="3"/>
  <c r="K146" i="3" s="1"/>
  <c r="K196" i="3" s="1"/>
  <c r="X83" i="3"/>
  <c r="X84" i="3" s="1"/>
  <c r="R48" i="4"/>
  <c r="Y48" i="4" s="1"/>
  <c r="X71" i="4"/>
  <c r="J127" i="3"/>
  <c r="J146" i="3" s="1"/>
  <c r="J196" i="3" s="1"/>
  <c r="J159" i="3"/>
  <c r="J160" i="3" s="1"/>
  <c r="J191" i="3" s="1"/>
  <c r="S159" i="3"/>
  <c r="S160" i="3" s="1"/>
  <c r="S191" i="3" s="1"/>
  <c r="S127" i="3"/>
  <c r="S146" i="3" s="1"/>
  <c r="S196" i="3" s="1"/>
  <c r="E159" i="3"/>
  <c r="E160" i="3" s="1"/>
  <c r="E191" i="3" s="1"/>
  <c r="E127" i="3"/>
  <c r="E146" i="3" s="1"/>
  <c r="E196" i="3" s="1"/>
  <c r="R52" i="4"/>
  <c r="Y52" i="4" s="1"/>
  <c r="E72" i="4"/>
  <c r="R71" i="4"/>
  <c r="Y30" i="4"/>
  <c r="X72" i="4"/>
  <c r="T115" i="4"/>
  <c r="D116" i="4"/>
  <c r="M127" i="3"/>
  <c r="M146" i="3" s="1"/>
  <c r="M196" i="3" s="1"/>
  <c r="M159" i="3"/>
  <c r="M160" i="3" s="1"/>
  <c r="M191" i="3" s="1"/>
  <c r="L106" i="3"/>
  <c r="L107" i="3" s="1"/>
  <c r="L126" i="3" s="1"/>
  <c r="L127" i="3" s="1"/>
  <c r="L146" i="3" s="1"/>
  <c r="L196" i="3" s="1"/>
  <c r="G127" i="3"/>
  <c r="G146" i="3" s="1"/>
  <c r="G196" i="3" s="1"/>
  <c r="G159" i="3"/>
  <c r="G160" i="3" s="1"/>
  <c r="G191" i="3" s="1"/>
  <c r="W40" i="3"/>
  <c r="W42" i="3" s="1"/>
  <c r="O42" i="3"/>
  <c r="O43" i="3" s="1"/>
  <c r="O49" i="3" s="1"/>
  <c r="O50" i="3" s="1"/>
  <c r="F159" i="3"/>
  <c r="F160" i="3" s="1"/>
  <c r="F191" i="3" s="1"/>
  <c r="F127" i="3"/>
  <c r="F146" i="3" s="1"/>
  <c r="F196" i="3" s="1"/>
  <c r="H127" i="3"/>
  <c r="H146" i="3" s="1"/>
  <c r="H196" i="3" s="1"/>
  <c r="X126" i="3"/>
  <c r="X107" i="3"/>
  <c r="U49" i="3"/>
  <c r="U50" i="3" s="1"/>
  <c r="R235" i="2"/>
  <c r="R148" i="2"/>
  <c r="R147" i="2"/>
  <c r="X147" i="2"/>
  <c r="V148" i="2"/>
  <c r="R236" i="2"/>
  <c r="D359" i="2"/>
  <c r="D360" i="2" s="1"/>
  <c r="O43" i="1"/>
  <c r="O45" i="1" s="1"/>
  <c r="W43" i="3" l="1"/>
  <c r="W49" i="3" s="1"/>
  <c r="Y71" i="4"/>
  <c r="Y100" i="2"/>
  <c r="L159" i="3"/>
  <c r="L160" i="3" s="1"/>
  <c r="L191" i="3" s="1"/>
  <c r="N127" i="3"/>
  <c r="N146" i="3" s="1"/>
  <c r="N196" i="3" s="1"/>
  <c r="N159" i="3"/>
  <c r="N160" i="3" s="1"/>
  <c r="N191" i="3" s="1"/>
  <c r="D159" i="3"/>
  <c r="D160" i="3" s="1"/>
  <c r="D191" i="3" s="1"/>
  <c r="D127" i="3"/>
  <c r="D146" i="3" s="1"/>
  <c r="D196" i="3" s="1"/>
  <c r="Y147" i="2"/>
  <c r="W82" i="3"/>
  <c r="T116" i="4"/>
  <c r="X115" i="4"/>
  <c r="E115" i="4"/>
  <c r="R72" i="4"/>
  <c r="Y72" i="4" s="1"/>
  <c r="D143" i="4"/>
  <c r="O106" i="3"/>
  <c r="O107" i="3" s="1"/>
  <c r="O126" i="3" s="1"/>
  <c r="O83" i="3"/>
  <c r="O84" i="3" s="1"/>
  <c r="X127" i="3"/>
  <c r="X146" i="3"/>
  <c r="W50" i="3"/>
  <c r="U106" i="3"/>
  <c r="U107" i="3" s="1"/>
  <c r="U83" i="3"/>
  <c r="U84" i="3" s="1"/>
  <c r="V235" i="2"/>
  <c r="X148" i="2"/>
  <c r="Y148" i="2" s="1"/>
  <c r="R360" i="2"/>
  <c r="D442" i="2"/>
  <c r="R359" i="2"/>
  <c r="W43" i="1"/>
  <c r="W45" i="1"/>
  <c r="O46" i="1"/>
  <c r="E116" i="4" l="1"/>
  <c r="R115" i="4"/>
  <c r="Y115" i="4" s="1"/>
  <c r="T143" i="4"/>
  <c r="X116" i="4"/>
  <c r="D144" i="4"/>
  <c r="W84" i="3"/>
  <c r="O127" i="3"/>
  <c r="O146" i="3" s="1"/>
  <c r="O196" i="3" s="1"/>
  <c r="O159" i="3"/>
  <c r="O160" i="3" s="1"/>
  <c r="O191" i="3" s="1"/>
  <c r="X196" i="3"/>
  <c r="X159" i="3"/>
  <c r="U126" i="3"/>
  <c r="W107" i="3"/>
  <c r="W106" i="3"/>
  <c r="W83" i="3"/>
  <c r="V236" i="2"/>
  <c r="X235" i="2"/>
  <c r="Y235" i="2" s="1"/>
  <c r="D443" i="2"/>
  <c r="R442" i="2"/>
  <c r="W46" i="1"/>
  <c r="W95" i="1" s="1"/>
  <c r="O95" i="1"/>
  <c r="O96" i="1" s="1"/>
  <c r="T144" i="4" l="1"/>
  <c r="X143" i="4"/>
  <c r="E143" i="4"/>
  <c r="R116" i="4"/>
  <c r="Y116" i="4" s="1"/>
  <c r="D165" i="4"/>
  <c r="X160" i="3"/>
  <c r="X191" i="3"/>
  <c r="U159" i="3"/>
  <c r="U160" i="3" s="1"/>
  <c r="U127" i="3"/>
  <c r="W126" i="3"/>
  <c r="W159" i="3" s="1"/>
  <c r="V359" i="2"/>
  <c r="V360" i="2" s="1"/>
  <c r="X236" i="2"/>
  <c r="D501" i="2"/>
  <c r="R443" i="2"/>
  <c r="O142" i="1"/>
  <c r="O143" i="1" s="1"/>
  <c r="W96" i="1"/>
  <c r="W142" i="1" s="1"/>
  <c r="E144" i="4" l="1"/>
  <c r="R143" i="4"/>
  <c r="Y143" i="4" s="1"/>
  <c r="T165" i="4"/>
  <c r="X144" i="4"/>
  <c r="D166" i="4"/>
  <c r="U146" i="3"/>
  <c r="W127" i="3"/>
  <c r="U191" i="3"/>
  <c r="W191" i="3" s="1"/>
  <c r="W160" i="3"/>
  <c r="X359" i="2"/>
  <c r="Y236" i="2"/>
  <c r="Y359" i="2" s="1"/>
  <c r="V442" i="2"/>
  <c r="X360" i="2"/>
  <c r="Y360" i="2" s="1"/>
  <c r="D505" i="2"/>
  <c r="R501" i="2"/>
  <c r="W143" i="1"/>
  <c r="W174" i="1" s="1"/>
  <c r="O174" i="1"/>
  <c r="O175" i="1" s="1"/>
  <c r="T166" i="4" l="1"/>
  <c r="X165" i="4"/>
  <c r="E165" i="4"/>
  <c r="R144" i="4"/>
  <c r="Y144" i="4" s="1"/>
  <c r="D188" i="4"/>
  <c r="W146" i="3"/>
  <c r="W196" i="3" s="1"/>
  <c r="U196" i="3"/>
  <c r="X442" i="2"/>
  <c r="Y442" i="2" s="1"/>
  <c r="V443" i="2"/>
  <c r="R505" i="2"/>
  <c r="W175" i="1"/>
  <c r="W205" i="1" s="1"/>
  <c r="W209" i="1" s="1"/>
  <c r="O205" i="1"/>
  <c r="O209" i="1" s="1"/>
  <c r="E166" i="4" l="1"/>
  <c r="R165" i="4"/>
  <c r="Y165" i="4" s="1"/>
  <c r="Z165" i="4" s="1"/>
  <c r="T188" i="4"/>
  <c r="X166" i="4"/>
  <c r="D201" i="4"/>
  <c r="X443" i="2"/>
  <c r="Y443" i="2" s="1"/>
  <c r="V501" i="2"/>
  <c r="T201" i="4" l="1"/>
  <c r="X188" i="4"/>
  <c r="E188" i="4"/>
  <c r="R166" i="4"/>
  <c r="Y166" i="4" s="1"/>
  <c r="D202" i="4"/>
  <c r="X501" i="2"/>
  <c r="V505" i="2"/>
  <c r="E201" i="4" l="1"/>
  <c r="R188" i="4"/>
  <c r="Y188" i="4" s="1"/>
  <c r="T202" i="4"/>
  <c r="X201" i="4"/>
  <c r="D240" i="4"/>
  <c r="X505" i="2"/>
  <c r="Y501" i="2"/>
  <c r="T240" i="4" l="1"/>
  <c r="X202" i="4"/>
  <c r="E202" i="4"/>
  <c r="R201" i="4"/>
  <c r="Y201" i="4" s="1"/>
  <c r="D246" i="4"/>
  <c r="Y505" i="2"/>
  <c r="E240" i="4" l="1"/>
  <c r="R202" i="4"/>
  <c r="Y202" i="4" s="1"/>
  <c r="T246" i="4"/>
  <c r="X240" i="4"/>
  <c r="X246" i="4" s="1"/>
  <c r="E246" i="4" l="1"/>
  <c r="R240" i="4"/>
  <c r="Y240" i="4" l="1"/>
  <c r="Y246" i="4" s="1"/>
  <c r="R246" i="4"/>
</calcChain>
</file>

<file path=xl/sharedStrings.xml><?xml version="1.0" encoding="utf-8"?>
<sst xmlns="http://schemas.openxmlformats.org/spreadsheetml/2006/main" count="973" uniqueCount="348">
  <si>
    <t>K I M U T A T Á S</t>
  </si>
  <si>
    <t>ezer Ft-ban</t>
  </si>
  <si>
    <t xml:space="preserve"> </t>
  </si>
  <si>
    <t>Szöveges indoklás a</t>
  </si>
  <si>
    <t>Egyéb</t>
  </si>
  <si>
    <t>Működési</t>
  </si>
  <si>
    <t>Felhalmozási</t>
  </si>
  <si>
    <t>Bevételek</t>
  </si>
  <si>
    <t>Ssz.</t>
  </si>
  <si>
    <t>forrás származására és a kiadás</t>
  </si>
  <si>
    <t>bevételek</t>
  </si>
  <si>
    <t>célú</t>
  </si>
  <si>
    <t>összesen</t>
  </si>
  <si>
    <t>felhasználási  jogcimére</t>
  </si>
  <si>
    <t>visszatérül.</t>
  </si>
  <si>
    <t>működési</t>
  </si>
  <si>
    <t>bevételei</t>
  </si>
  <si>
    <t>pénzeszköz</t>
  </si>
  <si>
    <t>Érvényes előirányzatok:</t>
  </si>
  <si>
    <t>Módosítás</t>
  </si>
  <si>
    <t>Módosított előirányzat</t>
  </si>
  <si>
    <t>Féléves</t>
  </si>
  <si>
    <t>000</t>
  </si>
  <si>
    <t>Felülvizsgálat</t>
  </si>
  <si>
    <t>010</t>
  </si>
  <si>
    <t>030</t>
  </si>
  <si>
    <t>080</t>
  </si>
  <si>
    <t>090</t>
  </si>
  <si>
    <t>120</t>
  </si>
  <si>
    <t>121</t>
  </si>
  <si>
    <t>180</t>
  </si>
  <si>
    <t>Felülvizsgálati módosítások összesen:</t>
  </si>
  <si>
    <t>Módosítások összesen:</t>
  </si>
  <si>
    <t>K I A D Á S O K</t>
  </si>
  <si>
    <t>Ellátottak</t>
  </si>
  <si>
    <t>Intézmény-</t>
  </si>
  <si>
    <t>Kiadások</t>
  </si>
  <si>
    <t>Személyi</t>
  </si>
  <si>
    <t>Munkaadót</t>
  </si>
  <si>
    <t xml:space="preserve">Dologi </t>
  </si>
  <si>
    <t>pénzbeli</t>
  </si>
  <si>
    <t>kiadások</t>
  </si>
  <si>
    <t>kölcsönök</t>
  </si>
  <si>
    <t>Tartalékok</t>
  </si>
  <si>
    <t>finan-</t>
  </si>
  <si>
    <t>juttatás</t>
  </si>
  <si>
    <t>juttatásai</t>
  </si>
  <si>
    <t>nyújtása</t>
  </si>
  <si>
    <t>kiadásai</t>
  </si>
  <si>
    <t>szírozás</t>
  </si>
  <si>
    <t>járulékok</t>
  </si>
  <si>
    <t>támogatás</t>
  </si>
  <si>
    <t>020</t>
  </si>
  <si>
    <t>021</t>
  </si>
  <si>
    <t>025</t>
  </si>
  <si>
    <t>026</t>
  </si>
  <si>
    <t>028</t>
  </si>
  <si>
    <t>032</t>
  </si>
  <si>
    <t>034</t>
  </si>
  <si>
    <t>051</t>
  </si>
  <si>
    <t>052</t>
  </si>
  <si>
    <t>060</t>
  </si>
  <si>
    <t>101</t>
  </si>
  <si>
    <t>Vonal alattiak</t>
  </si>
  <si>
    <t>019</t>
  </si>
  <si>
    <t>1</t>
  </si>
  <si>
    <t>001</t>
  </si>
  <si>
    <t>022</t>
  </si>
  <si>
    <t>Eredeti előirányzatok:</t>
  </si>
  <si>
    <t>Kerekítés miatt</t>
  </si>
  <si>
    <t>002</t>
  </si>
  <si>
    <t>013</t>
  </si>
  <si>
    <t>085</t>
  </si>
  <si>
    <t>102</t>
  </si>
  <si>
    <t>105</t>
  </si>
  <si>
    <t>112</t>
  </si>
  <si>
    <t>150</t>
  </si>
  <si>
    <t>190</t>
  </si>
  <si>
    <t>terhelő</t>
  </si>
  <si>
    <t>Szociális adó</t>
  </si>
  <si>
    <t>támogatások</t>
  </si>
  <si>
    <t>024</t>
  </si>
  <si>
    <t>054</t>
  </si>
  <si>
    <t>1/H-1</t>
  </si>
  <si>
    <t>003</t>
  </si>
  <si>
    <t>H010</t>
  </si>
  <si>
    <t>Előző évi maradvány átvétel</t>
  </si>
  <si>
    <t>FELÜGYELETI HATÁSKÖRŰ MÓDOSÍTÁSOK</t>
  </si>
  <si>
    <t>SAJÁT HATÁSKÖRŰ MÓDOSÍTÁSOK</t>
  </si>
  <si>
    <t>A</t>
  </si>
  <si>
    <t>B</t>
  </si>
  <si>
    <t>Módosítások összesen (A+B)</t>
  </si>
  <si>
    <t>H151</t>
  </si>
  <si>
    <t>Rendelet 4. sz. tábla</t>
  </si>
  <si>
    <t>Eltérés rendelethez:</t>
  </si>
  <si>
    <t>Felülvizs.</t>
  </si>
  <si>
    <t>ő151</t>
  </si>
  <si>
    <t>ő180</t>
  </si>
  <si>
    <t>Rendelet 5. sz. tábla</t>
  </si>
  <si>
    <t>Rendelet 4 sz. tábla</t>
  </si>
  <si>
    <t>belülről</t>
  </si>
  <si>
    <t>átvett</t>
  </si>
  <si>
    <t>Felhal-</t>
  </si>
  <si>
    <t>mozási</t>
  </si>
  <si>
    <t>felhalm.</t>
  </si>
  <si>
    <t>első</t>
  </si>
  <si>
    <t>Csak szöveges módosítás volt</t>
  </si>
  <si>
    <t>Csak szöveges módosítás volt!</t>
  </si>
  <si>
    <t xml:space="preserve">Irányító </t>
  </si>
  <si>
    <t>szervtől</t>
  </si>
  <si>
    <t>kapott</t>
  </si>
  <si>
    <t>H090</t>
  </si>
  <si>
    <t>H105</t>
  </si>
  <si>
    <t>H180</t>
  </si>
  <si>
    <t>…</t>
  </si>
  <si>
    <t>111</t>
  </si>
  <si>
    <t>418</t>
  </si>
  <si>
    <t>419</t>
  </si>
  <si>
    <t>utólag feladásnál</t>
  </si>
  <si>
    <t>nyolcadik</t>
  </si>
  <si>
    <t>Műk. célú támogatások áht-n belülről</t>
  </si>
  <si>
    <t>Önkorm.</t>
  </si>
  <si>
    <t>Elvonások</t>
  </si>
  <si>
    <t>Egyéb műk.c.</t>
  </si>
  <si>
    <t xml:space="preserve">és </t>
  </si>
  <si>
    <t>támogatása</t>
  </si>
  <si>
    <t>befizetések</t>
  </si>
  <si>
    <t>áht-n</t>
  </si>
  <si>
    <t>Felh.c.tám.áht-n belülről</t>
  </si>
  <si>
    <t>Felh.c.átvett pénzeszközök</t>
  </si>
  <si>
    <t>Közhatalmi</t>
  </si>
  <si>
    <t>Egyéb felh.c.</t>
  </si>
  <si>
    <t>Felh.c.</t>
  </si>
  <si>
    <t>támogatások,</t>
  </si>
  <si>
    <t>önk-i</t>
  </si>
  <si>
    <t>célú átvett</t>
  </si>
  <si>
    <t>Költség-</t>
  </si>
  <si>
    <t>vetési</t>
  </si>
  <si>
    <t>Finanszírozási bevételek</t>
  </si>
  <si>
    <t xml:space="preserve">Belföldi </t>
  </si>
  <si>
    <t>Előző év</t>
  </si>
  <si>
    <t>érték-</t>
  </si>
  <si>
    <t>költségv-i</t>
  </si>
  <si>
    <t>papírok</t>
  </si>
  <si>
    <t>maradvány</t>
  </si>
  <si>
    <t>igénybevét.</t>
  </si>
  <si>
    <t>(3+…+13)</t>
  </si>
  <si>
    <t>Finan-</t>
  </si>
  <si>
    <t>szírozási</t>
  </si>
  <si>
    <t>(15+18)</t>
  </si>
  <si>
    <t>(14 + 19)</t>
  </si>
  <si>
    <t>Módosított előirányzatok</t>
  </si>
  <si>
    <t>Módosított előirányzatok:</t>
  </si>
  <si>
    <t>Felh.c.vtérít.</t>
  </si>
  <si>
    <t>Lakás-</t>
  </si>
  <si>
    <t>Hosszú lej.</t>
  </si>
  <si>
    <t>Belföldi</t>
  </si>
  <si>
    <t>Beruházások</t>
  </si>
  <si>
    <t>Felújítások</t>
  </si>
  <si>
    <t>felhalm.célú</t>
  </si>
  <si>
    <t>tám.,kölcsön</t>
  </si>
  <si>
    <t>hitelek,</t>
  </si>
  <si>
    <t xml:space="preserve"> kölcsönök</t>
  </si>
  <si>
    <t>belülre</t>
  </si>
  <si>
    <t>kívülre</t>
  </si>
  <si>
    <t>áht-n belülre</t>
  </si>
  <si>
    <t>áht-n kívülre</t>
  </si>
  <si>
    <t>törlesztése</t>
  </si>
  <si>
    <t>Működési költségvetési kiadások</t>
  </si>
  <si>
    <t>Felhalmozási költségvetési kiadások</t>
  </si>
  <si>
    <t>Finanszírozási kiadások</t>
  </si>
  <si>
    <t>Első</t>
  </si>
  <si>
    <t>(3+16)</t>
  </si>
  <si>
    <t>(18+21)</t>
  </si>
  <si>
    <t>(17+22)</t>
  </si>
  <si>
    <t>Szoc. adó</t>
  </si>
  <si>
    <t>Második</t>
  </si>
  <si>
    <t>Féléves 2.</t>
  </si>
  <si>
    <t>Irányító szervi támogatás</t>
  </si>
  <si>
    <t>harmadik</t>
  </si>
  <si>
    <t>Harmadik</t>
  </si>
  <si>
    <t>Szept. 30.</t>
  </si>
  <si>
    <t>Működtetett intézmények többletbevétele</t>
  </si>
  <si>
    <t>Polgármesteri Kabinet dologi kiadásra</t>
  </si>
  <si>
    <t>Okt.31.</t>
  </si>
  <si>
    <t>negyedik</t>
  </si>
  <si>
    <t>nov.30.</t>
  </si>
  <si>
    <t>Okt. 31.</t>
  </si>
  <si>
    <t>dec.31.</t>
  </si>
  <si>
    <t>ötödik</t>
  </si>
  <si>
    <t>finanszí-</t>
  </si>
  <si>
    <t>rozási</t>
  </si>
  <si>
    <t>035</t>
  </si>
  <si>
    <t>..</t>
  </si>
  <si>
    <t>EIM-2</t>
  </si>
  <si>
    <t>EIM-1</t>
  </si>
  <si>
    <t>K1</t>
  </si>
  <si>
    <t>K2</t>
  </si>
  <si>
    <t>K3</t>
  </si>
  <si>
    <t>K4</t>
  </si>
  <si>
    <t>K502</t>
  </si>
  <si>
    <t>K506</t>
  </si>
  <si>
    <t>K512</t>
  </si>
  <si>
    <t>K513</t>
  </si>
  <si>
    <t>K6</t>
  </si>
  <si>
    <t>K7</t>
  </si>
  <si>
    <t>K84</t>
  </si>
  <si>
    <t>K86</t>
  </si>
  <si>
    <t>K87</t>
  </si>
  <si>
    <t>K89</t>
  </si>
  <si>
    <t>K9111</t>
  </si>
  <si>
    <t>K912</t>
  </si>
  <si>
    <t>K915</t>
  </si>
  <si>
    <t>K916</t>
  </si>
  <si>
    <t>B11</t>
  </si>
  <si>
    <t>B12</t>
  </si>
  <si>
    <t>B16</t>
  </si>
  <si>
    <t>B3</t>
  </si>
  <si>
    <t>B4</t>
  </si>
  <si>
    <t>B6</t>
  </si>
  <si>
    <t>B21</t>
  </si>
  <si>
    <t>B25</t>
  </si>
  <si>
    <t>B5</t>
  </si>
  <si>
    <t>B74</t>
  </si>
  <si>
    <t>B75</t>
  </si>
  <si>
    <t>B812</t>
  </si>
  <si>
    <t>B813</t>
  </si>
  <si>
    <t>B816</t>
  </si>
  <si>
    <t>B817</t>
  </si>
  <si>
    <t>055</t>
  </si>
  <si>
    <t xml:space="preserve">Maradvány </t>
  </si>
  <si>
    <t>Maradvány</t>
  </si>
  <si>
    <t>Maradvánnyal módosított előirányzatok</t>
  </si>
  <si>
    <t>ÁHT-n</t>
  </si>
  <si>
    <t>belüli meg-</t>
  </si>
  <si>
    <t>előlegezések</t>
  </si>
  <si>
    <t>kapott előleg</t>
  </si>
  <si>
    <t>előlegezés</t>
  </si>
  <si>
    <t>visszafiz.</t>
  </si>
  <si>
    <t>EIM-H-1</t>
  </si>
  <si>
    <t>Házipénztár riasztó rendszer</t>
  </si>
  <si>
    <t>Szoc.Iroda működési támogatás átcsop.</t>
  </si>
  <si>
    <t>Hangszer javítás</t>
  </si>
  <si>
    <t>EIM-3</t>
  </si>
  <si>
    <t>Geotechnikai szakértői vélemény készítés</t>
  </si>
  <si>
    <t>EIM-5</t>
  </si>
  <si>
    <t>Diákgyőztesek jutalmazása,Szülők akadémiája progr.</t>
  </si>
  <si>
    <t>EIM-6</t>
  </si>
  <si>
    <t>EIM-7</t>
  </si>
  <si>
    <t>EIM-8</t>
  </si>
  <si>
    <t>Közter.Felügy.elh.tervezési munkáira</t>
  </si>
  <si>
    <t>EIM-9</t>
  </si>
  <si>
    <t>Várakozóhely megváltás</t>
  </si>
  <si>
    <t>Int.fin.-Szászorszép Óvoda</t>
  </si>
  <si>
    <t>Int.fin.-Bölcsődék,Óvodák-2016.XII.havi bérkomp.</t>
  </si>
  <si>
    <t>EIM-7/A</t>
  </si>
  <si>
    <t>Int.fin. - Eü.Szolg. 2016.XII. havi bérkompenzáció</t>
  </si>
  <si>
    <t>EIM-7/PH</t>
  </si>
  <si>
    <t xml:space="preserve"> 2016.XII. havi bérkompenzáció</t>
  </si>
  <si>
    <t>EIM-10</t>
  </si>
  <si>
    <t>Kerületünk az otthonunk Frakciókeret</t>
  </si>
  <si>
    <t>EIM-11</t>
  </si>
  <si>
    <t>KDNP Frakciókeret</t>
  </si>
  <si>
    <t>EIM-12</t>
  </si>
  <si>
    <t>FIDESZ Frakciókeret</t>
  </si>
  <si>
    <t>EIM-13</t>
  </si>
  <si>
    <t>Uszoda - Közlekedés fejlesztése</t>
  </si>
  <si>
    <t>EIM-14</t>
  </si>
  <si>
    <t>EIM-15</t>
  </si>
  <si>
    <t>EIM-19</t>
  </si>
  <si>
    <t>Int.fin.-Bölcsődék,Óvodák, IMK felújítás</t>
  </si>
  <si>
    <t>EIM-H-2
EIM-7</t>
  </si>
  <si>
    <t>2016.XII. havi bérkompenzáció</t>
  </si>
  <si>
    <t>Int.fin.-Bölcsődék,Óvodák,Szoc.Int. Karbantartás</t>
  </si>
  <si>
    <t>EIM-H-4</t>
  </si>
  <si>
    <t>Házasságkötő-terem folyadékhűtő kialakítás</t>
  </si>
  <si>
    <t>Közfoglalkozás támogatása</t>
  </si>
  <si>
    <t xml:space="preserve">Bursa Hungarica - fel nem használt ösztöndíj </t>
  </si>
  <si>
    <t>EIM-20</t>
  </si>
  <si>
    <t>PH. Bérkompenzáció 2017. évi</t>
  </si>
  <si>
    <t>Bérkompenzáció 2017. évi</t>
  </si>
  <si>
    <t>EIM-H-3
EIM-20</t>
  </si>
  <si>
    <t>Int.fin.-Bölcsődék,Óvodák-2017. bérkompenzáció</t>
  </si>
  <si>
    <t>Int.fin. -  Eü. Szolg. 2017. bérkompenzáció</t>
  </si>
  <si>
    <t>EIM-21</t>
  </si>
  <si>
    <t>Int.fin.-Bölcsődék, Szoc. Int. Szoc.ágazati pótlék</t>
  </si>
  <si>
    <t>EIM-22</t>
  </si>
  <si>
    <t>Int.fin.Bölcsődei középfokú végz.dolgozók béremelése</t>
  </si>
  <si>
    <t>EIM-23</t>
  </si>
  <si>
    <t>Polgármesteri Keret felhasználása</t>
  </si>
  <si>
    <t>EIM-H-7</t>
  </si>
  <si>
    <t>Int.fin-Bölcsődei középf. végz.dolgozók béremelése</t>
  </si>
  <si>
    <t>Telefonközpont és készülék beszerzés régi beszámítással</t>
  </si>
  <si>
    <t>EIM-H-8</t>
  </si>
  <si>
    <t>Érmeosztályozó beszerzés régi értékesítésével</t>
  </si>
  <si>
    <t>EIM-29</t>
  </si>
  <si>
    <t>Előző évben adott, fel nem használt támogatások visszafizetése</t>
  </si>
  <si>
    <t>EIM-30</t>
  </si>
  <si>
    <t>EIM-31</t>
  </si>
  <si>
    <t>EIM-32</t>
  </si>
  <si>
    <t>Államkötvény beváltás, kicstárjegy vásárlás</t>
  </si>
  <si>
    <t>EIM-33</t>
  </si>
  <si>
    <t>Áht-n belüli megelőlegezések visszafizetése</t>
  </si>
  <si>
    <t>EIM-45</t>
  </si>
  <si>
    <t>Int.fin. - Törökvész u-i., Kolozsvár u-i Óvodák</t>
  </si>
  <si>
    <t>EIM-35</t>
  </si>
  <si>
    <t>Parkolóban kijelző csere</t>
  </si>
  <si>
    <t>EIM-36</t>
  </si>
  <si>
    <t>EIM-37</t>
  </si>
  <si>
    <t>Völgy u-i Óvodában fűtéskorszerűsítés</t>
  </si>
  <si>
    <t>EIM-38</t>
  </si>
  <si>
    <t>Polg. Hiv. - Illegális hulladék elszállítása</t>
  </si>
  <si>
    <t>Illegális hulladék elszállítása</t>
  </si>
  <si>
    <t>EIM-H-11
EIM-38</t>
  </si>
  <si>
    <t>EIM-39</t>
  </si>
  <si>
    <t>Testvérvárosi kapcsolatok -  Mosbachi látogatás</t>
  </si>
  <si>
    <t>EIM-41</t>
  </si>
  <si>
    <t>TÉR_KÖZ II.pály. Fonódó vill.kapcs.támogatás</t>
  </si>
  <si>
    <t>EIM-43</t>
  </si>
  <si>
    <t>EIM-47</t>
  </si>
  <si>
    <t>Musica Sacra közreműködőinek vendéglátása</t>
  </si>
  <si>
    <t>EIM-48</t>
  </si>
  <si>
    <t>EIM-49</t>
  </si>
  <si>
    <t>Int.fin. -  Eü. Szolg. Személygépkocsi beszerzés</t>
  </si>
  <si>
    <t>EIM-H-13</t>
  </si>
  <si>
    <t>Főv.parkoláshoz adatátviteli c.távk.díj</t>
  </si>
  <si>
    <t>EIM-51</t>
  </si>
  <si>
    <t>EIM-52</t>
  </si>
  <si>
    <t>Alpolgármesteri Keret felhasználása</t>
  </si>
  <si>
    <t>EIM-53</t>
  </si>
  <si>
    <t>Aprónép alapítvány támogatása</t>
  </si>
  <si>
    <t>Uszoda - tájépítészeti koncepcióterv</t>
  </si>
  <si>
    <t>EIM-H-14</t>
  </si>
  <si>
    <t>EIM-55</t>
  </si>
  <si>
    <t>Felhévízi út 19.lakóingatlan bontási kivitelezési terv</t>
  </si>
  <si>
    <t>EIM-56</t>
  </si>
  <si>
    <t>Bíró László József emléktábla készítés</t>
  </si>
  <si>
    <t>EIM-57</t>
  </si>
  <si>
    <t>Nem intézmények által ellátott önkormányzati feladatok kiadási előirányzatain végrehajtott saját hatáskörű változtatások kiemelt előirányzatonként 
2017. március 1 - től   2017. április 30 - ig</t>
  </si>
  <si>
    <t>Nem intézmények által ellátott önkormányzati feladatok bevételi előirányzatain végrehajtott saját hatáskörű változtatások kiemelt előirányzatonként 
2017. március 1 - től   2017. április 30 - ig</t>
  </si>
  <si>
    <t>A Polgármesteri Hivatal által ellátott feladatok bevételi előirányzatain végrehajtott változtatások kiemelt előirányzatonként 
2017. március 1 - től   2017. április 30 - ig</t>
  </si>
  <si>
    <t>A Polgármesteri Hivatal által ellátott feladatok kiadási előirányzatain végrehajtott változtatások kiemelt előirányzatonként 
2017. március 1 - től   2017. április 30 - ig</t>
  </si>
  <si>
    <t>ő101</t>
  </si>
  <si>
    <t>7. sz. melléklet</t>
  </si>
  <si>
    <t>8. sz. melléklet</t>
  </si>
  <si>
    <t>9. sz. melléklet</t>
  </si>
  <si>
    <t>Telefonközpont és készülék beszerzés régi készülékek beszámításával</t>
  </si>
  <si>
    <t>10.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</si>
</sst>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F_t_-;\-* #,##0.00\ _F_t_-;_-* &quot;-&quot;??\ _F_t_-;_-@_-"/>
    <numFmt numFmtId="165" formatCode="#,##0\ _F_t"/>
    <numFmt numFmtId="166" formatCode="#,##0.000"/>
    <numFmt numFmtId="167" formatCode="_-* #,##0.000\ _F_t_-;\-* #,##0.000\ _F_t_-;_-* &quot;-&quot;??\ _F_t_-;_-@_-"/>
    <numFmt numFmtId="168" formatCode="_-* #,##0\ _F_t_-;\-* #,##0\ _F_t_-;_-* &quot;-&quot;??\ _F_t_-;_-@_-"/>
    <numFmt numFmtId="169" formatCode="#,##0.000;[Red]#,##0.000"/>
    <numFmt numFmtId="170" formatCode="0.00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8"/>
      <name val="Arial"/>
      <family val="2"/>
      <charset val="238"/>
    </font>
    <font>
      <sz val="13"/>
      <name val="Times New Roman CE"/>
      <family val="1"/>
      <charset val="238"/>
    </font>
    <font>
      <sz val="10"/>
      <name val="Times New Roman CE"/>
      <family val="1"/>
      <charset val="238"/>
    </font>
    <font>
      <b/>
      <sz val="13"/>
      <name val="Times New Roman CE"/>
      <family val="1"/>
      <charset val="238"/>
    </font>
    <font>
      <sz val="9"/>
      <name val="Times New Roman CE"/>
      <family val="1"/>
      <charset val="238"/>
    </font>
    <font>
      <sz val="13"/>
      <name val="Times New Roman CE"/>
      <charset val="238"/>
    </font>
    <font>
      <i/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b/>
      <i/>
      <sz val="13"/>
      <name val="Times New Roman CE"/>
      <charset val="238"/>
    </font>
    <font>
      <sz val="12"/>
      <name val="Times New Roman CE"/>
      <family val="1"/>
      <charset val="238"/>
    </font>
    <font>
      <i/>
      <sz val="13"/>
      <name val="Times New Roman CE"/>
      <charset val="238"/>
    </font>
    <font>
      <sz val="11"/>
      <name val="Times New Roman CE"/>
      <family val="1"/>
      <charset val="238"/>
    </font>
    <font>
      <i/>
      <sz val="10"/>
      <name val="Times New Roman CE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sz val="12"/>
      <color indexed="10"/>
      <name val="Times New Roman CE"/>
      <charset val="238"/>
    </font>
    <font>
      <b/>
      <i/>
      <sz val="12"/>
      <name val="Times New Roman CE"/>
      <charset val="238"/>
    </font>
    <font>
      <b/>
      <i/>
      <sz val="12"/>
      <name val="Times New Roman CE"/>
      <family val="1"/>
      <charset val="238"/>
    </font>
    <font>
      <sz val="10"/>
      <name val="Times New Roman"/>
      <family val="1"/>
      <charset val="238"/>
    </font>
    <font>
      <sz val="13"/>
      <color indexed="10"/>
      <name val="Times New Roman CE"/>
      <family val="1"/>
      <charset val="238"/>
    </font>
    <font>
      <b/>
      <i/>
      <sz val="10"/>
      <name val="Times New Roman CE"/>
      <charset val="238"/>
    </font>
    <font>
      <sz val="11"/>
      <name val="Times New Roman CE"/>
      <charset val="238"/>
    </font>
    <font>
      <b/>
      <i/>
      <sz val="11"/>
      <name val="Times New Roman CE"/>
      <charset val="238"/>
    </font>
    <font>
      <sz val="14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charset val="238"/>
    </font>
    <font>
      <sz val="12"/>
      <color rgb="FFFF0000"/>
      <name val="Times New Roman CE"/>
      <family val="1"/>
      <charset val="238"/>
    </font>
    <font>
      <b/>
      <sz val="13"/>
      <color rgb="FFFF0000"/>
      <name val="Times New Roman CE"/>
      <charset val="238"/>
    </font>
    <font>
      <sz val="13"/>
      <color theme="1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2" fillId="0" borderId="0"/>
  </cellStyleXfs>
  <cellXfs count="716">
    <xf numFmtId="0" fontId="0" fillId="0" borderId="0" xfId="0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0" fontId="4" fillId="0" borderId="1" xfId="2" applyFont="1" applyBorder="1" applyAlignment="1">
      <alignment horizontal="right" vertical="top"/>
    </xf>
    <xf numFmtId="0" fontId="4" fillId="0" borderId="2" xfId="2" applyFont="1" applyBorder="1"/>
    <xf numFmtId="0" fontId="4" fillId="0" borderId="3" xfId="2" applyFont="1" applyBorder="1"/>
    <xf numFmtId="0" fontId="4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4" fillId="0" borderId="5" xfId="2" applyFont="1" applyBorder="1"/>
    <xf numFmtId="0" fontId="4" fillId="0" borderId="6" xfId="2" applyFont="1" applyBorder="1"/>
    <xf numFmtId="0" fontId="4" fillId="0" borderId="6" xfId="2" applyFont="1" applyBorder="1" applyAlignment="1">
      <alignment horizontal="center"/>
    </xf>
    <xf numFmtId="0" fontId="4" fillId="0" borderId="7" xfId="2" applyFont="1" applyBorder="1" applyAlignment="1"/>
    <xf numFmtId="0" fontId="6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right"/>
    </xf>
    <xf numFmtId="0" fontId="4" fillId="0" borderId="14" xfId="2" applyFont="1" applyBorder="1" applyAlignment="1">
      <alignment horizontal="right"/>
    </xf>
    <xf numFmtId="0" fontId="9" fillId="0" borderId="15" xfId="2" applyFont="1" applyBorder="1" applyAlignment="1">
      <alignment horizontal="right" vertical="center"/>
    </xf>
    <xf numFmtId="3" fontId="9" fillId="0" borderId="15" xfId="2" applyNumberFormat="1" applyFont="1" applyBorder="1" applyAlignment="1">
      <alignment horizontal="right" vertical="center" wrapText="1"/>
    </xf>
    <xf numFmtId="0" fontId="4" fillId="0" borderId="5" xfId="2" applyFont="1" applyBorder="1" applyAlignment="1">
      <alignment horizontal="center" vertical="top"/>
    </xf>
    <xf numFmtId="49" fontId="8" fillId="0" borderId="15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3" fontId="5" fillId="0" borderId="0" xfId="2" applyNumberFormat="1" applyFont="1"/>
    <xf numFmtId="1" fontId="8" fillId="0" borderId="15" xfId="2" applyNumberFormat="1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0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165" fontId="11" fillId="0" borderId="17" xfId="2" applyNumberFormat="1" applyFont="1" applyBorder="1" applyAlignment="1">
      <alignment vertical="center" wrapText="1"/>
    </xf>
    <xf numFmtId="165" fontId="11" fillId="0" borderId="18" xfId="2" applyNumberFormat="1" applyFont="1" applyBorder="1" applyAlignment="1">
      <alignment vertical="center" wrapText="1"/>
    </xf>
    <xf numFmtId="0" fontId="12" fillId="0" borderId="10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vertical="center" wrapText="1"/>
    </xf>
    <xf numFmtId="0" fontId="5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10" fillId="0" borderId="17" xfId="2" applyFont="1" applyBorder="1" applyAlignment="1">
      <alignment vertical="center"/>
    </xf>
    <xf numFmtId="1" fontId="4" fillId="0" borderId="15" xfId="2" applyNumberFormat="1" applyFont="1" applyBorder="1" applyAlignment="1">
      <alignment horizontal="center" vertical="center" wrapText="1"/>
    </xf>
    <xf numFmtId="16" fontId="5" fillId="0" borderId="16" xfId="2" quotePrefix="1" applyNumberFormat="1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/>
    </xf>
    <xf numFmtId="165" fontId="8" fillId="0" borderId="10" xfId="2" applyNumberFormat="1" applyFont="1" applyBorder="1" applyAlignment="1">
      <alignment vertical="center" wrapText="1"/>
    </xf>
    <xf numFmtId="0" fontId="12" fillId="0" borderId="10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/>
    </xf>
    <xf numFmtId="3" fontId="12" fillId="0" borderId="10" xfId="2" applyNumberFormat="1" applyFont="1" applyBorder="1" applyAlignment="1">
      <alignment vertical="center" wrapText="1"/>
    </xf>
    <xf numFmtId="0" fontId="5" fillId="0" borderId="0" xfId="2" applyFont="1" applyBorder="1"/>
    <xf numFmtId="0" fontId="4" fillId="0" borderId="1" xfId="2" applyFont="1" applyBorder="1" applyAlignment="1">
      <alignment vertical="top"/>
    </xf>
    <xf numFmtId="0" fontId="4" fillId="0" borderId="2" xfId="2" applyFont="1" applyBorder="1" applyAlignment="1">
      <alignment vertical="top"/>
    </xf>
    <xf numFmtId="0" fontId="6" fillId="0" borderId="0" xfId="2" applyFont="1" applyBorder="1" applyAlignment="1">
      <alignment horizontal="center"/>
    </xf>
    <xf numFmtId="0" fontId="4" fillId="0" borderId="5" xfId="2" applyFont="1" applyBorder="1" applyAlignment="1">
      <alignment vertical="top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6" xfId="0" applyFont="1" applyFill="1" applyBorder="1" applyAlignment="1">
      <alignment horizontal="center"/>
    </xf>
    <xf numFmtId="0" fontId="13" fillId="0" borderId="13" xfId="2" applyFont="1" applyBorder="1" applyAlignment="1">
      <alignment vertical="top"/>
    </xf>
    <xf numFmtId="0" fontId="13" fillId="0" borderId="15" xfId="2" applyFont="1" applyBorder="1" applyAlignment="1">
      <alignment horizontal="right" vertical="center"/>
    </xf>
    <xf numFmtId="3" fontId="13" fillId="0" borderId="0" xfId="2" applyNumberFormat="1" applyFont="1" applyBorder="1"/>
    <xf numFmtId="3" fontId="11" fillId="0" borderId="0" xfId="2" applyNumberFormat="1" applyFont="1" applyBorder="1"/>
    <xf numFmtId="0" fontId="15" fillId="0" borderId="0" xfId="2" applyFont="1"/>
    <xf numFmtId="0" fontId="8" fillId="0" borderId="5" xfId="2" applyFont="1" applyBorder="1" applyAlignment="1">
      <alignment horizontal="center" vertical="top"/>
    </xf>
    <xf numFmtId="3" fontId="4" fillId="0" borderId="0" xfId="2" applyNumberFormat="1" applyFont="1" applyBorder="1"/>
    <xf numFmtId="3" fontId="6" fillId="0" borderId="0" xfId="2" applyNumberFormat="1" applyFont="1" applyBorder="1"/>
    <xf numFmtId="3" fontId="8" fillId="0" borderId="10" xfId="2" applyNumberFormat="1" applyFont="1" applyFill="1" applyBorder="1" applyAlignment="1">
      <alignment vertical="center" wrapText="1"/>
    </xf>
    <xf numFmtId="3" fontId="8" fillId="0" borderId="10" xfId="2" applyNumberFormat="1" applyFont="1" applyBorder="1" applyAlignment="1">
      <alignment vertical="center" wrapText="1"/>
    </xf>
    <xf numFmtId="3" fontId="8" fillId="0" borderId="19" xfId="2" applyNumberFormat="1" applyFont="1" applyBorder="1" applyAlignment="1">
      <alignment vertical="center" wrapText="1"/>
    </xf>
    <xf numFmtId="49" fontId="12" fillId="0" borderId="15" xfId="2" applyNumberFormat="1" applyFont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0" fontId="9" fillId="0" borderId="20" xfId="2" applyFont="1" applyBorder="1" applyAlignment="1">
      <alignment vertical="center" wrapText="1"/>
    </xf>
    <xf numFmtId="3" fontId="18" fillId="0" borderId="20" xfId="2" applyNumberFormat="1" applyFont="1" applyBorder="1" applyAlignment="1">
      <alignment vertical="center" wrapText="1"/>
    </xf>
    <xf numFmtId="3" fontId="8" fillId="0" borderId="20" xfId="2" applyNumberFormat="1" applyFont="1" applyBorder="1" applyAlignment="1">
      <alignment vertical="center" wrapText="1"/>
    </xf>
    <xf numFmtId="3" fontId="8" fillId="0" borderId="20" xfId="2" applyNumberFormat="1" applyFont="1" applyFill="1" applyBorder="1" applyAlignment="1">
      <alignment vertical="center" wrapText="1"/>
    </xf>
    <xf numFmtId="3" fontId="10" fillId="0" borderId="21" xfId="2" applyNumberFormat="1" applyFont="1" applyBorder="1" applyAlignment="1">
      <alignment vertical="center"/>
    </xf>
    <xf numFmtId="0" fontId="5" fillId="0" borderId="17" xfId="2" applyFont="1" applyBorder="1"/>
    <xf numFmtId="0" fontId="8" fillId="0" borderId="5" xfId="2" applyFont="1" applyBorder="1" applyAlignment="1">
      <alignment horizontal="center" vertical="center"/>
    </xf>
    <xf numFmtId="3" fontId="16" fillId="0" borderId="22" xfId="2" applyNumberFormat="1" applyFont="1" applyBorder="1" applyAlignment="1">
      <alignment vertical="center" wrapText="1"/>
    </xf>
    <xf numFmtId="0" fontId="8" fillId="0" borderId="11" xfId="2" applyFont="1" applyBorder="1" applyAlignment="1">
      <alignment horizontal="center" vertical="center" wrapText="1"/>
    </xf>
    <xf numFmtId="3" fontId="5" fillId="0" borderId="0" xfId="2" applyNumberFormat="1" applyFont="1" applyBorder="1"/>
    <xf numFmtId="3" fontId="10" fillId="0" borderId="17" xfId="2" applyNumberFormat="1" applyFont="1" applyBorder="1" applyAlignment="1">
      <alignment vertical="center"/>
    </xf>
    <xf numFmtId="3" fontId="10" fillId="0" borderId="23" xfId="2" applyNumberFormat="1" applyFont="1" applyBorder="1" applyAlignment="1">
      <alignment vertical="center"/>
    </xf>
    <xf numFmtId="49" fontId="8" fillId="0" borderId="10" xfId="2" applyNumberFormat="1" applyFont="1" applyBorder="1" applyAlignment="1">
      <alignment vertical="center" wrapText="1"/>
    </xf>
    <xf numFmtId="0" fontId="8" fillId="0" borderId="24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/>
    </xf>
    <xf numFmtId="16" fontId="4" fillId="0" borderId="16" xfId="2" applyNumberFormat="1" applyFont="1" applyBorder="1" applyAlignment="1">
      <alignment vertical="center"/>
    </xf>
    <xf numFmtId="0" fontId="4" fillId="0" borderId="0" xfId="2" applyFont="1" applyAlignment="1">
      <alignment vertical="top"/>
    </xf>
    <xf numFmtId="0" fontId="13" fillId="0" borderId="25" xfId="2" applyFont="1" applyBorder="1" applyAlignment="1">
      <alignment vertical="center"/>
    </xf>
    <xf numFmtId="3" fontId="8" fillId="0" borderId="25" xfId="2" applyNumberFormat="1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3" fontId="8" fillId="0" borderId="20" xfId="2" applyNumberFormat="1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3" fontId="8" fillId="0" borderId="26" xfId="2" applyNumberFormat="1" applyFont="1" applyBorder="1" applyAlignment="1">
      <alignment vertical="center"/>
    </xf>
    <xf numFmtId="3" fontId="8" fillId="0" borderId="27" xfId="2" applyNumberFormat="1" applyFont="1" applyBorder="1" applyAlignment="1">
      <alignment vertical="center"/>
    </xf>
    <xf numFmtId="0" fontId="6" fillId="0" borderId="28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3" fontId="17" fillId="0" borderId="29" xfId="2" applyNumberFormat="1" applyFont="1" applyBorder="1" applyAlignment="1">
      <alignment vertical="center" wrapText="1"/>
    </xf>
    <xf numFmtId="3" fontId="17" fillId="0" borderId="30" xfId="2" applyNumberFormat="1" applyFont="1" applyBorder="1" applyAlignment="1">
      <alignment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32" xfId="2" applyFont="1" applyBorder="1" applyAlignment="1">
      <alignment vertical="center" wrapText="1"/>
    </xf>
    <xf numFmtId="3" fontId="8" fillId="0" borderId="33" xfId="2" applyNumberFormat="1" applyFont="1" applyBorder="1" applyAlignment="1">
      <alignment vertical="center" wrapText="1"/>
    </xf>
    <xf numFmtId="3" fontId="8" fillId="0" borderId="34" xfId="2" applyNumberFormat="1" applyFont="1" applyBorder="1" applyAlignment="1">
      <alignment vertical="center" wrapText="1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4" fillId="0" borderId="35" xfId="2" applyFont="1" applyBorder="1"/>
    <xf numFmtId="0" fontId="4" fillId="0" borderId="36" xfId="2" applyFont="1" applyBorder="1"/>
    <xf numFmtId="0" fontId="4" fillId="0" borderId="36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36" xfId="2" applyFont="1" applyBorder="1" applyAlignment="1">
      <alignment horizontal="center"/>
    </xf>
    <xf numFmtId="0" fontId="4" fillId="0" borderId="38" xfId="2" applyFont="1" applyBorder="1" applyAlignment="1">
      <alignment horizontal="center"/>
    </xf>
    <xf numFmtId="49" fontId="8" fillId="0" borderId="11" xfId="2" applyNumberFormat="1" applyFont="1" applyBorder="1" applyAlignment="1">
      <alignment horizontal="center" vertical="center" wrapText="1"/>
    </xf>
    <xf numFmtId="0" fontId="4" fillId="0" borderId="35" xfId="2" applyFont="1" applyBorder="1" applyAlignment="1">
      <alignment vertical="top"/>
    </xf>
    <xf numFmtId="0" fontId="4" fillId="0" borderId="9" xfId="2" applyFont="1" applyFill="1" applyBorder="1" applyAlignment="1">
      <alignment horizontal="center"/>
    </xf>
    <xf numFmtId="49" fontId="4" fillId="0" borderId="36" xfId="2" applyNumberFormat="1" applyFont="1" applyBorder="1" applyAlignment="1">
      <alignment horizontal="center"/>
    </xf>
    <xf numFmtId="0" fontId="14" fillId="0" borderId="36" xfId="2" applyFont="1" applyBorder="1" applyAlignment="1">
      <alignment horizontal="center"/>
    </xf>
    <xf numFmtId="0" fontId="6" fillId="0" borderId="38" xfId="2" applyFont="1" applyBorder="1" applyAlignment="1">
      <alignment horizontal="center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4" fillId="0" borderId="17" xfId="2" quotePrefix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/>
    </xf>
    <xf numFmtId="3" fontId="10" fillId="0" borderId="17" xfId="2" applyNumberFormat="1" applyFont="1" applyFill="1" applyBorder="1" applyAlignment="1">
      <alignment vertical="center"/>
    </xf>
    <xf numFmtId="0" fontId="4" fillId="2" borderId="33" xfId="0" applyFont="1" applyFill="1" applyBorder="1" applyAlignment="1">
      <alignment horizontal="center"/>
    </xf>
    <xf numFmtId="3" fontId="8" fillId="0" borderId="40" xfId="2" applyNumberFormat="1" applyFont="1" applyBorder="1" applyAlignment="1">
      <alignment vertical="center"/>
    </xf>
    <xf numFmtId="166" fontId="5" fillId="0" borderId="0" xfId="2" applyNumberFormat="1" applyFont="1" applyBorder="1"/>
    <xf numFmtId="0" fontId="4" fillId="0" borderId="41" xfId="2" applyFont="1" applyBorder="1" applyAlignment="1">
      <alignment horizontal="center"/>
    </xf>
    <xf numFmtId="0" fontId="13" fillId="0" borderId="11" xfId="2" applyFont="1" applyBorder="1" applyAlignment="1">
      <alignment horizontal="right" vertical="center"/>
    </xf>
    <xf numFmtId="0" fontId="10" fillId="0" borderId="16" xfId="2" applyFont="1" applyBorder="1" applyAlignment="1">
      <alignment horizontal="center"/>
    </xf>
    <xf numFmtId="0" fontId="4" fillId="0" borderId="16" xfId="2" applyFont="1" applyBorder="1" applyAlignment="1">
      <alignment horizontal="center" vertical="top"/>
    </xf>
    <xf numFmtId="49" fontId="12" fillId="0" borderId="11" xfId="2" applyNumberFormat="1" applyFont="1" applyBorder="1" applyAlignment="1">
      <alignment horizontal="center" vertical="center" wrapText="1"/>
    </xf>
    <xf numFmtId="49" fontId="8" fillId="0" borderId="10" xfId="2" applyNumberFormat="1" applyFont="1" applyBorder="1" applyAlignment="1">
      <alignment horizontal="center" vertical="center" wrapText="1"/>
    </xf>
    <xf numFmtId="1" fontId="8" fillId="0" borderId="10" xfId="2" applyNumberFormat="1" applyFont="1" applyBorder="1" applyAlignment="1">
      <alignment horizontal="center" vertical="center" wrapText="1"/>
    </xf>
    <xf numFmtId="3" fontId="16" fillId="0" borderId="10" xfId="2" applyNumberFormat="1" applyFont="1" applyBorder="1" applyAlignment="1">
      <alignment vertical="center" wrapText="1"/>
    </xf>
    <xf numFmtId="3" fontId="6" fillId="0" borderId="42" xfId="2" applyNumberFormat="1" applyFont="1" applyBorder="1" applyAlignment="1">
      <alignment horizontal="right" vertical="center" wrapText="1"/>
    </xf>
    <xf numFmtId="3" fontId="9" fillId="0" borderId="43" xfId="2" applyNumberFormat="1" applyFont="1" applyBorder="1" applyAlignment="1">
      <alignment horizontal="right" vertical="center" wrapText="1"/>
    </xf>
    <xf numFmtId="3" fontId="9" fillId="0" borderId="22" xfId="2" applyNumberFormat="1" applyFont="1" applyBorder="1"/>
    <xf numFmtId="3" fontId="9" fillId="0" borderId="44" xfId="2" applyNumberFormat="1" applyFont="1" applyBorder="1"/>
    <xf numFmtId="0" fontId="4" fillId="0" borderId="11" xfId="2" applyFont="1" applyBorder="1" applyAlignment="1">
      <alignment horizontal="center" vertical="center" wrapText="1"/>
    </xf>
    <xf numFmtId="0" fontId="9" fillId="0" borderId="45" xfId="2" applyFont="1" applyBorder="1" applyAlignment="1">
      <alignment vertical="center" wrapText="1"/>
    </xf>
    <xf numFmtId="3" fontId="18" fillId="0" borderId="45" xfId="2" applyNumberFormat="1" applyFont="1" applyFill="1" applyBorder="1" applyAlignment="1">
      <alignment vertical="center" wrapText="1"/>
    </xf>
    <xf numFmtId="3" fontId="8" fillId="0" borderId="45" xfId="2" applyNumberFormat="1" applyFont="1" applyFill="1" applyBorder="1" applyAlignment="1">
      <alignment vertical="center" wrapText="1"/>
    </xf>
    <xf numFmtId="3" fontId="8" fillId="0" borderId="45" xfId="2" applyNumberFormat="1" applyFont="1" applyBorder="1" applyAlignment="1">
      <alignment vertical="center" wrapText="1"/>
    </xf>
    <xf numFmtId="0" fontId="4" fillId="0" borderId="46" xfId="2" applyFont="1" applyBorder="1" applyAlignment="1">
      <alignment horizontal="center" vertical="top"/>
    </xf>
    <xf numFmtId="0" fontId="4" fillId="0" borderId="47" xfId="2" applyFont="1" applyBorder="1" applyAlignment="1">
      <alignment horizontal="center" vertical="top"/>
    </xf>
    <xf numFmtId="0" fontId="13" fillId="0" borderId="14" xfId="2" applyFont="1" applyBorder="1"/>
    <xf numFmtId="3" fontId="13" fillId="0" borderId="15" xfId="2" applyNumberFormat="1" applyFont="1" applyBorder="1" applyAlignment="1">
      <alignment vertical="center" wrapText="1"/>
    </xf>
    <xf numFmtId="3" fontId="13" fillId="0" borderId="48" xfId="2" applyNumberFormat="1" applyFont="1" applyBorder="1" applyAlignment="1">
      <alignment vertical="center" wrapText="1"/>
    </xf>
    <xf numFmtId="3" fontId="11" fillId="0" borderId="43" xfId="2" applyNumberFormat="1" applyFont="1" applyBorder="1" applyAlignment="1">
      <alignment horizontal="right" vertical="center" wrapText="1"/>
    </xf>
    <xf numFmtId="3" fontId="9" fillId="0" borderId="15" xfId="2" applyNumberFormat="1" applyFont="1" applyFill="1" applyBorder="1" applyAlignment="1">
      <alignment horizontal="right" vertical="center" wrapText="1"/>
    </xf>
    <xf numFmtId="166" fontId="8" fillId="0" borderId="10" xfId="2" applyNumberFormat="1" applyFont="1" applyBorder="1" applyAlignment="1">
      <alignment vertical="center" wrapText="1"/>
    </xf>
    <xf numFmtId="0" fontId="8" fillId="0" borderId="13" xfId="2" applyFont="1" applyBorder="1" applyAlignment="1">
      <alignment horizontal="center" vertical="top"/>
    </xf>
    <xf numFmtId="3" fontId="10" fillId="0" borderId="21" xfId="2" applyNumberFormat="1" applyFont="1" applyFill="1" applyBorder="1" applyAlignment="1">
      <alignment vertical="center"/>
    </xf>
    <xf numFmtId="3" fontId="9" fillId="0" borderId="22" xfId="2" applyNumberFormat="1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166" fontId="8" fillId="0" borderId="10" xfId="2" applyNumberFormat="1" applyFont="1" applyFill="1" applyBorder="1" applyAlignment="1">
      <alignment vertical="center" wrapText="1"/>
    </xf>
    <xf numFmtId="166" fontId="8" fillId="0" borderId="19" xfId="2" applyNumberFormat="1" applyFont="1" applyBorder="1" applyAlignment="1">
      <alignment vertical="center" wrapText="1"/>
    </xf>
    <xf numFmtId="166" fontId="10" fillId="0" borderId="17" xfId="2" applyNumberFormat="1" applyFont="1" applyBorder="1" applyAlignment="1">
      <alignment vertical="center"/>
    </xf>
    <xf numFmtId="166" fontId="8" fillId="0" borderId="17" xfId="2" applyNumberFormat="1" applyFont="1" applyBorder="1" applyAlignment="1">
      <alignment vertical="center" wrapText="1"/>
    </xf>
    <xf numFmtId="166" fontId="8" fillId="0" borderId="33" xfId="2" applyNumberFormat="1" applyFont="1" applyBorder="1" applyAlignment="1">
      <alignment vertical="center" wrapText="1"/>
    </xf>
    <xf numFmtId="166" fontId="10" fillId="0" borderId="23" xfId="2" applyNumberFormat="1" applyFont="1" applyBorder="1" applyAlignment="1">
      <alignment vertical="center"/>
    </xf>
    <xf numFmtId="166" fontId="12" fillId="0" borderId="10" xfId="2" applyNumberFormat="1" applyFont="1" applyBorder="1" applyAlignment="1">
      <alignment vertical="center" wrapText="1"/>
    </xf>
    <xf numFmtId="166" fontId="12" fillId="0" borderId="19" xfId="2" applyNumberFormat="1" applyFont="1" applyBorder="1" applyAlignment="1">
      <alignment vertical="center" wrapText="1"/>
    </xf>
    <xf numFmtId="166" fontId="10" fillId="0" borderId="21" xfId="2" applyNumberFormat="1" applyFont="1" applyBorder="1" applyAlignment="1">
      <alignment vertical="center" wrapText="1"/>
    </xf>
    <xf numFmtId="166" fontId="5" fillId="0" borderId="0" xfId="2" applyNumberFormat="1" applyFont="1"/>
    <xf numFmtId="166" fontId="4" fillId="0" borderId="10" xfId="2" applyNumberFormat="1" applyFont="1" applyBorder="1" applyAlignment="1">
      <alignment vertical="center" wrapText="1"/>
    </xf>
    <xf numFmtId="166" fontId="4" fillId="0" borderId="19" xfId="2" applyNumberFormat="1" applyFont="1" applyBorder="1" applyAlignment="1">
      <alignment vertical="center" wrapText="1"/>
    </xf>
    <xf numFmtId="166" fontId="6" fillId="0" borderId="8" xfId="2" applyNumberFormat="1" applyFont="1" applyBorder="1" applyAlignment="1">
      <alignment vertical="center" wrapText="1"/>
    </xf>
    <xf numFmtId="166" fontId="4" fillId="0" borderId="33" xfId="2" applyNumberFormat="1" applyFont="1" applyBorder="1" applyAlignment="1">
      <alignment vertical="center" wrapText="1"/>
    </xf>
    <xf numFmtId="166" fontId="11" fillId="0" borderId="17" xfId="2" applyNumberFormat="1" applyFont="1" applyBorder="1" applyAlignment="1">
      <alignment vertical="center" wrapText="1"/>
    </xf>
    <xf numFmtId="166" fontId="11" fillId="0" borderId="18" xfId="2" applyNumberFormat="1" applyFont="1" applyBorder="1" applyAlignment="1">
      <alignment vertical="center" wrapText="1"/>
    </xf>
    <xf numFmtId="166" fontId="6" fillId="0" borderId="18" xfId="2" applyNumberFormat="1" applyFont="1" applyBorder="1" applyAlignment="1">
      <alignment vertical="center" wrapText="1"/>
    </xf>
    <xf numFmtId="166" fontId="4" fillId="0" borderId="5" xfId="2" applyNumberFormat="1" applyFont="1" applyBorder="1" applyAlignment="1">
      <alignment vertical="center" wrapText="1"/>
    </xf>
    <xf numFmtId="166" fontId="4" fillId="0" borderId="6" xfId="2" applyNumberFormat="1" applyFont="1" applyBorder="1" applyAlignment="1">
      <alignment vertical="center" wrapText="1"/>
    </xf>
    <xf numFmtId="166" fontId="10" fillId="0" borderId="17" xfId="2" applyNumberFormat="1" applyFont="1" applyBorder="1" applyAlignment="1">
      <alignment vertical="center" wrapText="1"/>
    </xf>
    <xf numFmtId="166" fontId="10" fillId="0" borderId="18" xfId="2" applyNumberFormat="1" applyFont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166" fontId="11" fillId="0" borderId="21" xfId="2" applyNumberFormat="1" applyFont="1" applyBorder="1" applyAlignment="1">
      <alignment vertical="center" wrapText="1"/>
    </xf>
    <xf numFmtId="166" fontId="11" fillId="0" borderId="49" xfId="2" applyNumberFormat="1" applyFont="1" applyBorder="1" applyAlignment="1">
      <alignment vertical="center" wrapText="1"/>
    </xf>
    <xf numFmtId="0" fontId="4" fillId="0" borderId="0" xfId="2" applyFont="1" applyAlignment="1">
      <alignment horizontal="right"/>
    </xf>
    <xf numFmtId="0" fontId="4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 wrapText="1"/>
    </xf>
    <xf numFmtId="0" fontId="10" fillId="0" borderId="51" xfId="2" applyFont="1" applyBorder="1" applyAlignment="1">
      <alignment vertical="center"/>
    </xf>
    <xf numFmtId="166" fontId="10" fillId="0" borderId="52" xfId="2" applyNumberFormat="1" applyFont="1" applyBorder="1" applyAlignment="1">
      <alignment vertical="center"/>
    </xf>
    <xf numFmtId="166" fontId="10" fillId="0" borderId="53" xfId="2" applyNumberFormat="1" applyFont="1" applyBorder="1" applyAlignment="1">
      <alignment vertical="center"/>
    </xf>
    <xf numFmtId="0" fontId="4" fillId="0" borderId="13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 wrapText="1"/>
    </xf>
    <xf numFmtId="166" fontId="10" fillId="0" borderId="48" xfId="2" applyNumberFormat="1" applyFont="1" applyBorder="1" applyAlignment="1">
      <alignment vertical="center"/>
    </xf>
    <xf numFmtId="166" fontId="10" fillId="0" borderId="43" xfId="2" applyNumberFormat="1" applyFont="1" applyBorder="1" applyAlignment="1">
      <alignment vertical="center"/>
    </xf>
    <xf numFmtId="0" fontId="4" fillId="0" borderId="54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 wrapText="1"/>
    </xf>
    <xf numFmtId="0" fontId="10" fillId="0" borderId="24" xfId="2" applyFont="1" applyBorder="1" applyAlignment="1">
      <alignment vertical="center"/>
    </xf>
    <xf numFmtId="166" fontId="10" fillId="0" borderId="55" xfId="2" applyNumberFormat="1" applyFont="1" applyBorder="1" applyAlignment="1">
      <alignment vertical="center"/>
    </xf>
    <xf numFmtId="166" fontId="10" fillId="0" borderId="56" xfId="2" applyNumberFormat="1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20" fillId="0" borderId="10" xfId="2" applyFont="1" applyBorder="1" applyAlignment="1">
      <alignment vertical="center" wrapText="1"/>
    </xf>
    <xf numFmtId="0" fontId="4" fillId="2" borderId="9" xfId="0" applyFont="1" applyFill="1" applyBorder="1" applyAlignment="1">
      <alignment horizontal="center"/>
    </xf>
    <xf numFmtId="3" fontId="16" fillId="0" borderId="19" xfId="2" applyNumberFormat="1" applyFont="1" applyBorder="1" applyAlignment="1">
      <alignment vertical="center" wrapText="1"/>
    </xf>
    <xf numFmtId="3" fontId="11" fillId="0" borderId="17" xfId="2" applyNumberFormat="1" applyFont="1" applyBorder="1" applyAlignment="1">
      <alignment vertical="center" wrapText="1"/>
    </xf>
    <xf numFmtId="166" fontId="21" fillId="0" borderId="17" xfId="2" applyNumberFormat="1" applyFont="1" applyBorder="1" applyAlignment="1">
      <alignment vertical="center" wrapText="1"/>
    </xf>
    <xf numFmtId="1" fontId="8" fillId="3" borderId="10" xfId="2" applyNumberFormat="1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3" fontId="8" fillId="0" borderId="22" xfId="2" applyNumberFormat="1" applyFont="1" applyBorder="1" applyAlignment="1">
      <alignment vertical="center" wrapText="1"/>
    </xf>
    <xf numFmtId="165" fontId="11" fillId="0" borderId="21" xfId="2" applyNumberFormat="1" applyFont="1" applyBorder="1" applyAlignment="1">
      <alignment vertical="center" wrapText="1"/>
    </xf>
    <xf numFmtId="0" fontId="8" fillId="3" borderId="5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vertical="center" wrapText="1"/>
    </xf>
    <xf numFmtId="0" fontId="4" fillId="0" borderId="57" xfId="2" applyFont="1" applyBorder="1" applyAlignment="1">
      <alignment horizontal="center"/>
    </xf>
    <xf numFmtId="0" fontId="4" fillId="0" borderId="58" xfId="2" applyFont="1" applyBorder="1" applyAlignment="1">
      <alignment horizontal="center"/>
    </xf>
    <xf numFmtId="0" fontId="13" fillId="0" borderId="59" xfId="2" applyFont="1" applyBorder="1" applyAlignment="1">
      <alignment horizontal="right" vertical="center"/>
    </xf>
    <xf numFmtId="0" fontId="4" fillId="0" borderId="15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vertical="center"/>
    </xf>
    <xf numFmtId="0" fontId="13" fillId="0" borderId="11" xfId="2" applyFont="1" applyBorder="1" applyAlignment="1">
      <alignment vertical="center"/>
    </xf>
    <xf numFmtId="3" fontId="13" fillId="0" borderId="11" xfId="2" applyNumberFormat="1" applyFont="1" applyBorder="1" applyAlignment="1">
      <alignment vertical="center" wrapText="1"/>
    </xf>
    <xf numFmtId="0" fontId="4" fillId="0" borderId="10" xfId="2" applyFont="1" applyBorder="1" applyAlignment="1">
      <alignment horizontal="center" vertical="center"/>
    </xf>
    <xf numFmtId="0" fontId="10" fillId="0" borderId="10" xfId="2" applyFont="1" applyBorder="1" applyAlignment="1">
      <alignment vertical="center"/>
    </xf>
    <xf numFmtId="0" fontId="5" fillId="0" borderId="17" xfId="2" applyFont="1" applyBorder="1" applyAlignment="1">
      <alignment horizontal="center"/>
    </xf>
    <xf numFmtId="0" fontId="8" fillId="0" borderId="5" xfId="2" applyFont="1" applyFill="1" applyBorder="1" applyAlignment="1">
      <alignment horizontal="center" vertical="center"/>
    </xf>
    <xf numFmtId="1" fontId="8" fillId="0" borderId="10" xfId="2" applyNumberFormat="1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1" fontId="8" fillId="0" borderId="15" xfId="2" applyNumberFormat="1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1" fontId="4" fillId="0" borderId="15" xfId="2" applyNumberFormat="1" applyFont="1" applyFill="1" applyBorder="1" applyAlignment="1">
      <alignment horizontal="center" vertical="center" wrapText="1"/>
    </xf>
    <xf numFmtId="3" fontId="4" fillId="0" borderId="10" xfId="2" applyNumberFormat="1" applyFont="1" applyBorder="1" applyAlignment="1">
      <alignment vertical="center" wrapText="1"/>
    </xf>
    <xf numFmtId="3" fontId="4" fillId="0" borderId="19" xfId="2" applyNumberFormat="1" applyFont="1" applyBorder="1" applyAlignment="1">
      <alignment vertical="center" wrapText="1"/>
    </xf>
    <xf numFmtId="3" fontId="11" fillId="0" borderId="18" xfId="2" applyNumberFormat="1" applyFont="1" applyBorder="1" applyAlignment="1">
      <alignment vertical="center" wrapText="1"/>
    </xf>
    <xf numFmtId="3" fontId="13" fillId="0" borderId="11" xfId="2" applyNumberFormat="1" applyFont="1" applyBorder="1" applyAlignment="1">
      <alignment vertical="center"/>
    </xf>
    <xf numFmtId="3" fontId="16" fillId="0" borderId="60" xfId="2" applyNumberFormat="1" applyFont="1" applyBorder="1"/>
    <xf numFmtId="3" fontId="16" fillId="0" borderId="61" xfId="2" applyNumberFormat="1" applyFont="1" applyBorder="1"/>
    <xf numFmtId="166" fontId="16" fillId="0" borderId="19" xfId="2" applyNumberFormat="1" applyFont="1" applyBorder="1" applyAlignment="1">
      <alignment vertical="center" wrapText="1"/>
    </xf>
    <xf numFmtId="166" fontId="16" fillId="3" borderId="62" xfId="2" applyNumberFormat="1" applyFont="1" applyFill="1" applyBorder="1" applyAlignment="1">
      <alignment vertical="center" wrapText="1"/>
    </xf>
    <xf numFmtId="3" fontId="16" fillId="0" borderId="63" xfId="2" applyNumberFormat="1" applyFont="1" applyBorder="1"/>
    <xf numFmtId="165" fontId="11" fillId="0" borderId="64" xfId="2" applyNumberFormat="1" applyFont="1" applyBorder="1" applyAlignment="1">
      <alignment vertical="center" wrapText="1"/>
    </xf>
    <xf numFmtId="166" fontId="10" fillId="0" borderId="61" xfId="2" applyNumberFormat="1" applyFont="1" applyBorder="1" applyAlignment="1">
      <alignment horizontal="right" vertical="center" wrapText="1"/>
    </xf>
    <xf numFmtId="0" fontId="4" fillId="0" borderId="8" xfId="2" applyFont="1" applyBorder="1" applyAlignment="1">
      <alignment horizontal="center"/>
    </xf>
    <xf numFmtId="0" fontId="4" fillId="0" borderId="65" xfId="2" applyFont="1" applyBorder="1" applyAlignment="1">
      <alignment horizontal="center"/>
    </xf>
    <xf numFmtId="0" fontId="4" fillId="0" borderId="66" xfId="2" applyFont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right" vertical="center" wrapText="1"/>
    </xf>
    <xf numFmtId="3" fontId="8" fillId="0" borderId="8" xfId="2" applyNumberFormat="1" applyFont="1" applyBorder="1" applyAlignment="1">
      <alignment vertical="center" wrapText="1"/>
    </xf>
    <xf numFmtId="3" fontId="13" fillId="0" borderId="66" xfId="2" applyNumberFormat="1" applyFont="1" applyBorder="1" applyAlignment="1">
      <alignment vertical="center" wrapText="1"/>
    </xf>
    <xf numFmtId="3" fontId="9" fillId="0" borderId="66" xfId="2" applyNumberFormat="1" applyFont="1" applyBorder="1" applyAlignment="1">
      <alignment horizontal="right" vertical="center" wrapText="1"/>
    </xf>
    <xf numFmtId="3" fontId="6" fillId="0" borderId="62" xfId="2" applyNumberFormat="1" applyFont="1" applyBorder="1" applyAlignment="1">
      <alignment vertical="center" wrapText="1"/>
    </xf>
    <xf numFmtId="3" fontId="4" fillId="0" borderId="8" xfId="2" applyNumberFormat="1" applyFont="1" applyBorder="1" applyAlignment="1">
      <alignment vertical="center" wrapText="1"/>
    </xf>
    <xf numFmtId="3" fontId="16" fillId="3" borderId="62" xfId="2" applyNumberFormat="1" applyFont="1" applyFill="1" applyBorder="1" applyAlignment="1">
      <alignment vertical="center" wrapText="1"/>
    </xf>
    <xf numFmtId="3" fontId="4" fillId="0" borderId="33" xfId="2" applyNumberFormat="1" applyFont="1" applyBorder="1" applyAlignment="1">
      <alignment vertical="center" wrapText="1"/>
    </xf>
    <xf numFmtId="3" fontId="4" fillId="0" borderId="34" xfId="2" applyNumberFormat="1" applyFont="1" applyBorder="1" applyAlignment="1">
      <alignment vertical="center" wrapText="1"/>
    </xf>
    <xf numFmtId="3" fontId="6" fillId="0" borderId="67" xfId="2" applyNumberFormat="1" applyFont="1" applyBorder="1" applyAlignment="1">
      <alignment vertical="center" wrapText="1"/>
    </xf>
    <xf numFmtId="3" fontId="4" fillId="0" borderId="68" xfId="2" applyNumberFormat="1" applyFont="1" applyBorder="1" applyAlignment="1">
      <alignment vertical="center" wrapText="1"/>
    </xf>
    <xf numFmtId="3" fontId="11" fillId="0" borderId="64" xfId="2" applyNumberFormat="1" applyFont="1" applyBorder="1" applyAlignment="1">
      <alignment vertical="center" wrapText="1"/>
    </xf>
    <xf numFmtId="3" fontId="11" fillId="0" borderId="23" xfId="2" applyNumberFormat="1" applyFont="1" applyBorder="1" applyAlignment="1">
      <alignment vertical="center" wrapText="1"/>
    </xf>
    <xf numFmtId="3" fontId="16" fillId="0" borderId="62" xfId="2" applyNumberFormat="1" applyFont="1" applyBorder="1" applyAlignment="1">
      <alignment vertical="center" wrapText="1"/>
    </xf>
    <xf numFmtId="0" fontId="8" fillId="0" borderId="18" xfId="2" applyFont="1" applyBorder="1" applyAlignment="1">
      <alignment horizontal="center" vertical="center"/>
    </xf>
    <xf numFmtId="3" fontId="11" fillId="0" borderId="10" xfId="2" applyNumberFormat="1" applyFont="1" applyBorder="1" applyAlignment="1">
      <alignment vertical="center" wrapText="1"/>
    </xf>
    <xf numFmtId="3" fontId="11" fillId="0" borderId="19" xfId="2" applyNumberFormat="1" applyFont="1" applyBorder="1" applyAlignment="1">
      <alignment vertical="center" wrapText="1"/>
    </xf>
    <xf numFmtId="16" fontId="14" fillId="0" borderId="17" xfId="2" quotePrefix="1" applyNumberFormat="1" applyFont="1" applyBorder="1" applyAlignment="1">
      <alignment horizontal="center" vertical="center"/>
    </xf>
    <xf numFmtId="166" fontId="6" fillId="3" borderId="8" xfId="2" applyNumberFormat="1" applyFont="1" applyFill="1" applyBorder="1" applyAlignment="1">
      <alignment vertical="center" wrapText="1"/>
    </xf>
    <xf numFmtId="3" fontId="13" fillId="0" borderId="69" xfId="2" applyNumberFormat="1" applyFont="1" applyBorder="1" applyAlignment="1">
      <alignment vertical="center" wrapText="1"/>
    </xf>
    <xf numFmtId="3" fontId="11" fillId="0" borderId="70" xfId="2" applyNumberFormat="1" applyFont="1" applyBorder="1" applyAlignment="1">
      <alignment vertical="center" wrapText="1"/>
    </xf>
    <xf numFmtId="3" fontId="16" fillId="0" borderId="8" xfId="2" applyNumberFormat="1" applyFont="1" applyBorder="1" applyAlignment="1">
      <alignment vertical="center" wrapText="1"/>
    </xf>
    <xf numFmtId="3" fontId="16" fillId="0" borderId="68" xfId="2" applyNumberFormat="1" applyFont="1" applyBorder="1" applyAlignment="1">
      <alignment vertical="center" wrapText="1"/>
    </xf>
    <xf numFmtId="3" fontId="10" fillId="0" borderId="18" xfId="2" applyNumberFormat="1" applyFont="1" applyBorder="1" applyAlignment="1">
      <alignment vertical="center"/>
    </xf>
    <xf numFmtId="166" fontId="16" fillId="0" borderId="8" xfId="2" applyNumberFormat="1" applyFont="1" applyBorder="1" applyAlignment="1">
      <alignment vertical="center" wrapText="1"/>
    </xf>
    <xf numFmtId="166" fontId="10" fillId="0" borderId="18" xfId="2" applyNumberFormat="1" applyFont="1" applyBorder="1" applyAlignment="1">
      <alignment vertical="center"/>
    </xf>
    <xf numFmtId="166" fontId="10" fillId="0" borderId="70" xfId="2" applyNumberFormat="1" applyFont="1" applyBorder="1" applyAlignment="1">
      <alignment vertical="center"/>
    </xf>
    <xf numFmtId="166" fontId="10" fillId="0" borderId="66" xfId="2" applyNumberFormat="1" applyFont="1" applyBorder="1" applyAlignment="1">
      <alignment vertical="center"/>
    </xf>
    <xf numFmtId="166" fontId="10" fillId="0" borderId="71" xfId="2" applyNumberFormat="1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/>
    </xf>
    <xf numFmtId="166" fontId="8" fillId="0" borderId="21" xfId="2" applyNumberFormat="1" applyFont="1" applyBorder="1" applyAlignment="1">
      <alignment vertical="center" wrapText="1"/>
    </xf>
    <xf numFmtId="3" fontId="11" fillId="0" borderId="21" xfId="2" applyNumberFormat="1" applyFont="1" applyBorder="1" applyAlignment="1">
      <alignment vertical="center" wrapText="1"/>
    </xf>
    <xf numFmtId="49" fontId="12" fillId="0" borderId="9" xfId="2" applyNumberFormat="1" applyFont="1" applyBorder="1" applyAlignment="1">
      <alignment horizontal="center" vertical="center" wrapText="1"/>
    </xf>
    <xf numFmtId="3" fontId="4" fillId="0" borderId="5" xfId="2" applyNumberFormat="1" applyFont="1" applyBorder="1" applyAlignment="1">
      <alignment vertical="center" wrapText="1"/>
    </xf>
    <xf numFmtId="3" fontId="8" fillId="0" borderId="5" xfId="2" applyNumberFormat="1" applyFont="1" applyBorder="1" applyAlignment="1">
      <alignment vertical="center" wrapText="1"/>
    </xf>
    <xf numFmtId="166" fontId="11" fillId="0" borderId="16" xfId="2" applyNumberFormat="1" applyFont="1" applyBorder="1" applyAlignment="1">
      <alignment vertical="center" wrapText="1"/>
    </xf>
    <xf numFmtId="166" fontId="6" fillId="0" borderId="16" xfId="2" applyNumberFormat="1" applyFont="1" applyBorder="1" applyAlignment="1">
      <alignment vertical="center" wrapText="1"/>
    </xf>
    <xf numFmtId="166" fontId="10" fillId="0" borderId="50" xfId="2" applyNumberFormat="1" applyFont="1" applyBorder="1" applyAlignment="1">
      <alignment vertical="center"/>
    </xf>
    <xf numFmtId="166" fontId="10" fillId="0" borderId="13" xfId="2" applyNumberFormat="1" applyFont="1" applyBorder="1" applyAlignment="1">
      <alignment vertical="center"/>
    </xf>
    <xf numFmtId="166" fontId="10" fillId="0" borderId="54" xfId="2" applyNumberFormat="1" applyFont="1" applyBorder="1" applyAlignment="1">
      <alignment vertical="center"/>
    </xf>
    <xf numFmtId="166" fontId="21" fillId="0" borderId="16" xfId="2" applyNumberFormat="1" applyFont="1" applyBorder="1" applyAlignment="1">
      <alignment vertical="center" wrapText="1"/>
    </xf>
    <xf numFmtId="3" fontId="9" fillId="0" borderId="13" xfId="2" applyNumberFormat="1" applyFont="1" applyBorder="1" applyAlignment="1">
      <alignment horizontal="right" vertical="center" wrapText="1"/>
    </xf>
    <xf numFmtId="0" fontId="5" fillId="0" borderId="5" xfId="2" applyFont="1" applyBorder="1"/>
    <xf numFmtId="0" fontId="12" fillId="0" borderId="9" xfId="2" applyFont="1" applyBorder="1" applyAlignment="1">
      <alignment vertical="center" wrapText="1"/>
    </xf>
    <xf numFmtId="166" fontId="4" fillId="0" borderId="9" xfId="2" applyNumberFormat="1" applyFont="1" applyBorder="1" applyAlignment="1">
      <alignment vertical="center" wrapText="1"/>
    </xf>
    <xf numFmtId="0" fontId="12" fillId="0" borderId="10" xfId="2" applyFont="1" applyFill="1" applyBorder="1" applyAlignment="1">
      <alignment horizontal="center" vertical="center" wrapText="1"/>
    </xf>
    <xf numFmtId="49" fontId="12" fillId="0" borderId="15" xfId="2" applyNumberFormat="1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3" fontId="5" fillId="0" borderId="72" xfId="2" applyNumberFormat="1" applyFont="1" applyBorder="1"/>
    <xf numFmtId="166" fontId="5" fillId="0" borderId="72" xfId="2" applyNumberFormat="1" applyFont="1" applyBorder="1"/>
    <xf numFmtId="0" fontId="5" fillId="0" borderId="72" xfId="2" applyFont="1" applyBorder="1"/>
    <xf numFmtId="0" fontId="23" fillId="0" borderId="0" xfId="2" applyFont="1"/>
    <xf numFmtId="0" fontId="23" fillId="0" borderId="0" xfId="2" applyFont="1" applyBorder="1"/>
    <xf numFmtId="166" fontId="23" fillId="0" borderId="0" xfId="2" applyNumberFormat="1" applyFont="1"/>
    <xf numFmtId="0" fontId="24" fillId="0" borderId="9" xfId="2" applyFont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/>
    </xf>
    <xf numFmtId="49" fontId="4" fillId="0" borderId="9" xfId="2" applyNumberFormat="1" applyFont="1" applyBorder="1" applyAlignment="1">
      <alignment horizontal="center" vertical="center" wrapText="1"/>
    </xf>
    <xf numFmtId="0" fontId="9" fillId="0" borderId="73" xfId="2" applyFont="1" applyBorder="1" applyAlignment="1">
      <alignment vertical="center"/>
    </xf>
    <xf numFmtId="3" fontId="8" fillId="0" borderId="73" xfId="2" applyNumberFormat="1" applyFont="1" applyBorder="1" applyAlignment="1">
      <alignment vertical="center"/>
    </xf>
    <xf numFmtId="3" fontId="8" fillId="0" borderId="74" xfId="2" applyNumberFormat="1" applyFont="1" applyBorder="1" applyAlignment="1">
      <alignment vertical="center"/>
    </xf>
    <xf numFmtId="3" fontId="17" fillId="0" borderId="75" xfId="2" applyNumberFormat="1" applyFont="1" applyBorder="1" applyAlignment="1">
      <alignment vertical="center" wrapText="1"/>
    </xf>
    <xf numFmtId="0" fontId="4" fillId="0" borderId="17" xfId="2" applyFont="1" applyBorder="1" applyAlignment="1">
      <alignment horizontal="center" vertical="center" wrapText="1"/>
    </xf>
    <xf numFmtId="0" fontId="12" fillId="0" borderId="17" xfId="2" applyFont="1" applyBorder="1" applyAlignment="1">
      <alignment vertical="center" wrapText="1"/>
    </xf>
    <xf numFmtId="3" fontId="12" fillId="0" borderId="17" xfId="2" applyNumberFormat="1" applyFont="1" applyBorder="1" applyAlignment="1">
      <alignment vertical="center" wrapText="1"/>
    </xf>
    <xf numFmtId="0" fontId="4" fillId="0" borderId="8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4" fillId="0" borderId="76" xfId="2" applyFont="1" applyBorder="1" applyAlignment="1">
      <alignment horizontal="center" vertical="center" wrapText="1"/>
    </xf>
    <xf numFmtId="0" fontId="12" fillId="0" borderId="76" xfId="2" applyFont="1" applyBorder="1" applyAlignment="1">
      <alignment vertical="center" wrapText="1"/>
    </xf>
    <xf numFmtId="3" fontId="12" fillId="0" borderId="76" xfId="2" applyNumberFormat="1" applyFont="1" applyBorder="1" applyAlignment="1">
      <alignment vertical="center" wrapText="1"/>
    </xf>
    <xf numFmtId="3" fontId="16" fillId="0" borderId="44" xfId="2" applyNumberFormat="1" applyFont="1" applyBorder="1" applyAlignment="1">
      <alignment vertical="center"/>
    </xf>
    <xf numFmtId="3" fontId="18" fillId="0" borderId="73" xfId="2" applyNumberFormat="1" applyFont="1" applyBorder="1" applyAlignment="1">
      <alignment vertical="center" wrapText="1"/>
    </xf>
    <xf numFmtId="3" fontId="8" fillId="0" borderId="73" xfId="2" applyNumberFormat="1" applyFont="1" applyBorder="1" applyAlignment="1">
      <alignment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76" xfId="2" applyFont="1" applyFill="1" applyBorder="1" applyAlignment="1">
      <alignment horizontal="center" vertical="center" wrapText="1"/>
    </xf>
    <xf numFmtId="0" fontId="4" fillId="0" borderId="77" xfId="2" applyFont="1" applyBorder="1" applyAlignment="1">
      <alignment horizontal="center" vertical="center" wrapText="1"/>
    </xf>
    <xf numFmtId="3" fontId="21" fillId="0" borderId="17" xfId="2" applyNumberFormat="1" applyFont="1" applyBorder="1" applyAlignment="1">
      <alignment vertical="center" wrapText="1"/>
    </xf>
    <xf numFmtId="3" fontId="13" fillId="0" borderId="59" xfId="2" applyNumberFormat="1" applyFont="1" applyBorder="1" applyAlignment="1">
      <alignment vertical="center" wrapText="1"/>
    </xf>
    <xf numFmtId="49" fontId="4" fillId="0" borderId="15" xfId="2" applyNumberFormat="1" applyFont="1" applyFill="1" applyBorder="1" applyAlignment="1">
      <alignment horizontal="center" vertical="center" wrapText="1"/>
    </xf>
    <xf numFmtId="49" fontId="8" fillId="0" borderId="15" xfId="2" applyNumberFormat="1" applyFont="1" applyFill="1" applyBorder="1" applyAlignment="1">
      <alignment horizontal="center" vertical="center" wrapText="1"/>
    </xf>
    <xf numFmtId="3" fontId="9" fillId="0" borderId="10" xfId="2" applyNumberFormat="1" applyFont="1" applyBorder="1" applyAlignment="1">
      <alignment horizontal="right" vertical="center" wrapText="1"/>
    </xf>
    <xf numFmtId="3" fontId="9" fillId="0" borderId="19" xfId="2" applyNumberFormat="1" applyFont="1" applyBorder="1" applyAlignment="1">
      <alignment horizontal="right" vertical="center" wrapText="1"/>
    </xf>
    <xf numFmtId="0" fontId="8" fillId="0" borderId="0" xfId="2" applyFont="1" applyBorder="1" applyAlignment="1">
      <alignment horizontal="left" vertical="center"/>
    </xf>
    <xf numFmtId="3" fontId="5" fillId="0" borderId="72" xfId="2" applyNumberFormat="1" applyFont="1" applyFill="1" applyBorder="1"/>
    <xf numFmtId="16" fontId="5" fillId="0" borderId="17" xfId="2" applyNumberFormat="1" applyFont="1" applyBorder="1" applyAlignment="1">
      <alignment horizontal="center" vertical="center"/>
    </xf>
    <xf numFmtId="3" fontId="11" fillId="0" borderId="66" xfId="2" applyNumberFormat="1" applyFont="1" applyBorder="1" applyAlignment="1">
      <alignment vertical="center" wrapText="1"/>
    </xf>
    <xf numFmtId="49" fontId="18" fillId="0" borderId="11" xfId="2" applyNumberFormat="1" applyFont="1" applyBorder="1" applyAlignment="1">
      <alignment horizontal="center" vertical="center" wrapText="1"/>
    </xf>
    <xf numFmtId="166" fontId="8" fillId="0" borderId="8" xfId="2" applyNumberFormat="1" applyFont="1" applyBorder="1" applyAlignment="1">
      <alignment vertical="center" wrapText="1"/>
    </xf>
    <xf numFmtId="166" fontId="16" fillId="3" borderId="8" xfId="2" applyNumberFormat="1" applyFont="1" applyFill="1" applyBorder="1" applyAlignment="1">
      <alignment vertical="center" wrapText="1"/>
    </xf>
    <xf numFmtId="166" fontId="25" fillId="0" borderId="17" xfId="2" applyNumberFormat="1" applyFont="1" applyBorder="1" applyAlignment="1">
      <alignment vertical="center" wrapText="1"/>
    </xf>
    <xf numFmtId="166" fontId="8" fillId="3" borderId="10" xfId="2" applyNumberFormat="1" applyFont="1" applyFill="1" applyBorder="1" applyAlignment="1">
      <alignment vertical="center" wrapText="1"/>
    </xf>
    <xf numFmtId="166" fontId="8" fillId="3" borderId="8" xfId="2" applyNumberFormat="1" applyFont="1" applyFill="1" applyBorder="1" applyAlignment="1">
      <alignment vertical="center" wrapText="1"/>
    </xf>
    <xf numFmtId="49" fontId="8" fillId="0" borderId="11" xfId="2" applyNumberFormat="1" applyFont="1" applyFill="1" applyBorder="1" applyAlignment="1">
      <alignment horizontal="center" vertical="center" wrapText="1"/>
    </xf>
    <xf numFmtId="3" fontId="11" fillId="0" borderId="8" xfId="2" applyNumberFormat="1" applyFont="1" applyBorder="1" applyAlignment="1">
      <alignment vertical="center" wrapText="1"/>
    </xf>
    <xf numFmtId="166" fontId="4" fillId="0" borderId="0" xfId="2" applyNumberFormat="1" applyFont="1" applyBorder="1" applyAlignment="1">
      <alignment vertical="center" wrapText="1"/>
    </xf>
    <xf numFmtId="166" fontId="11" fillId="0" borderId="8" xfId="2" applyNumberFormat="1" applyFont="1" applyBorder="1" applyAlignment="1">
      <alignment vertical="center" wrapText="1"/>
    </xf>
    <xf numFmtId="166" fontId="11" fillId="0" borderId="5" xfId="2" applyNumberFormat="1" applyFont="1" applyBorder="1" applyAlignment="1">
      <alignment vertical="center" wrapText="1"/>
    </xf>
    <xf numFmtId="166" fontId="10" fillId="0" borderId="10" xfId="2" applyNumberFormat="1" applyFont="1" applyBorder="1" applyAlignment="1">
      <alignment vertical="center"/>
    </xf>
    <xf numFmtId="166" fontId="10" fillId="0" borderId="19" xfId="2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top"/>
    </xf>
    <xf numFmtId="0" fontId="4" fillId="0" borderId="0" xfId="2" applyFont="1" applyBorder="1" applyAlignment="1">
      <alignment horizontal="right" vertical="top"/>
    </xf>
    <xf numFmtId="0" fontId="8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3" fontId="11" fillId="0" borderId="0" xfId="2" applyNumberFormat="1" applyFont="1" applyBorder="1" applyAlignment="1">
      <alignment horizontal="right" vertical="center" wrapText="1"/>
    </xf>
    <xf numFmtId="3" fontId="16" fillId="0" borderId="0" xfId="2" applyNumberFormat="1" applyFont="1" applyBorder="1" applyAlignment="1">
      <alignment vertical="center" wrapText="1"/>
    </xf>
    <xf numFmtId="3" fontId="10" fillId="0" borderId="0" xfId="2" applyNumberFormat="1" applyFont="1" applyBorder="1" applyAlignment="1">
      <alignment vertical="center"/>
    </xf>
    <xf numFmtId="3" fontId="10" fillId="0" borderId="0" xfId="2" applyNumberFormat="1" applyFont="1" applyFill="1" applyBorder="1" applyAlignment="1">
      <alignment vertical="center"/>
    </xf>
    <xf numFmtId="3" fontId="17" fillId="0" borderId="0" xfId="2" applyNumberFormat="1" applyFont="1" applyBorder="1" applyAlignment="1">
      <alignment vertical="center" wrapText="1"/>
    </xf>
    <xf numFmtId="3" fontId="19" fillId="0" borderId="0" xfId="2" applyNumberFormat="1" applyFont="1" applyFill="1" applyBorder="1" applyAlignment="1">
      <alignment vertical="center" wrapText="1"/>
    </xf>
    <xf numFmtId="3" fontId="19" fillId="0" borderId="0" xfId="2" applyNumberFormat="1" applyFont="1" applyBorder="1" applyAlignment="1">
      <alignment vertical="center" wrapText="1"/>
    </xf>
    <xf numFmtId="166" fontId="19" fillId="0" borderId="0" xfId="2" applyNumberFormat="1" applyFont="1" applyBorder="1" applyAlignment="1">
      <alignment vertical="center" wrapText="1"/>
    </xf>
    <xf numFmtId="166" fontId="11" fillId="0" borderId="0" xfId="2" applyNumberFormat="1" applyFont="1" applyBorder="1" applyAlignment="1">
      <alignment vertical="center" wrapText="1"/>
    </xf>
    <xf numFmtId="166" fontId="16" fillId="0" borderId="0" xfId="2" applyNumberFormat="1" applyFont="1" applyBorder="1" applyAlignment="1">
      <alignment vertical="center" wrapText="1"/>
    </xf>
    <xf numFmtId="166" fontId="10" fillId="0" borderId="0" xfId="2" applyNumberFormat="1" applyFont="1" applyBorder="1" applyAlignment="1">
      <alignment vertical="center"/>
    </xf>
    <xf numFmtId="166" fontId="8" fillId="0" borderId="0" xfId="2" applyNumberFormat="1" applyFont="1" applyBorder="1" applyAlignment="1">
      <alignment vertical="center" wrapText="1"/>
    </xf>
    <xf numFmtId="166" fontId="10" fillId="0" borderId="0" xfId="2" applyNumberFormat="1" applyFont="1" applyBorder="1" applyAlignment="1">
      <alignment vertical="center" wrapText="1"/>
    </xf>
    <xf numFmtId="3" fontId="10" fillId="0" borderId="23" xfId="2" applyNumberFormat="1" applyFont="1" applyFill="1" applyBorder="1" applyAlignment="1">
      <alignment vertical="center"/>
    </xf>
    <xf numFmtId="0" fontId="6" fillId="0" borderId="78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6" fillId="0" borderId="79" xfId="2" applyFont="1" applyBorder="1" applyAlignment="1">
      <alignment horizontal="center"/>
    </xf>
    <xf numFmtId="0" fontId="4" fillId="0" borderId="80" xfId="2" applyFont="1" applyBorder="1" applyAlignment="1">
      <alignment horizontal="center" vertical="center"/>
    </xf>
    <xf numFmtId="3" fontId="11" fillId="0" borderId="69" xfId="2" applyNumberFormat="1" applyFont="1" applyBorder="1" applyAlignment="1">
      <alignment horizontal="right" vertical="center" wrapText="1"/>
    </xf>
    <xf numFmtId="3" fontId="11" fillId="0" borderId="48" xfId="2" applyNumberFormat="1" applyFont="1" applyBorder="1" applyAlignment="1">
      <alignment horizontal="right" vertical="center" wrapText="1"/>
    </xf>
    <xf numFmtId="3" fontId="17" fillId="0" borderId="26" xfId="2" applyNumberFormat="1" applyFont="1" applyBorder="1" applyAlignment="1">
      <alignment vertical="center" wrapText="1"/>
    </xf>
    <xf numFmtId="3" fontId="17" fillId="0" borderId="27" xfId="2" applyNumberFormat="1" applyFont="1" applyBorder="1" applyAlignment="1">
      <alignment vertical="center" wrapText="1"/>
    </xf>
    <xf numFmtId="166" fontId="19" fillId="0" borderId="81" xfId="2" applyNumberFormat="1" applyFont="1" applyBorder="1" applyAlignment="1">
      <alignment vertical="center" wrapText="1"/>
    </xf>
    <xf numFmtId="3" fontId="10" fillId="0" borderId="82" xfId="2" applyNumberFormat="1" applyFont="1" applyBorder="1" applyAlignment="1">
      <alignment vertical="center"/>
    </xf>
    <xf numFmtId="166" fontId="11" fillId="0" borderId="83" xfId="2" applyNumberFormat="1" applyFont="1" applyBorder="1" applyAlignment="1">
      <alignment vertical="center" wrapText="1"/>
    </xf>
    <xf numFmtId="166" fontId="16" fillId="0" borderId="34" xfId="2" applyNumberFormat="1" applyFont="1" applyBorder="1" applyAlignment="1">
      <alignment vertical="center" wrapText="1"/>
    </xf>
    <xf numFmtId="3" fontId="16" fillId="0" borderId="34" xfId="2" applyNumberFormat="1" applyFont="1" applyBorder="1" applyAlignment="1">
      <alignment vertical="center" wrapText="1"/>
    </xf>
    <xf numFmtId="3" fontId="10" fillId="0" borderId="34" xfId="2" applyNumberFormat="1" applyFont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166" fontId="10" fillId="0" borderId="23" xfId="2" applyNumberFormat="1" applyFont="1" applyBorder="1" applyAlignment="1">
      <alignment vertical="center" wrapText="1"/>
    </xf>
    <xf numFmtId="166" fontId="10" fillId="0" borderId="64" xfId="2" applyNumberFormat="1" applyFont="1" applyBorder="1" applyAlignment="1">
      <alignment vertical="center" wrapText="1"/>
    </xf>
    <xf numFmtId="0" fontId="4" fillId="0" borderId="84" xfId="2" applyFont="1" applyBorder="1" applyAlignment="1">
      <alignment horizontal="center"/>
    </xf>
    <xf numFmtId="3" fontId="8" fillId="0" borderId="85" xfId="2" applyNumberFormat="1" applyFont="1" applyBorder="1" applyAlignment="1">
      <alignment vertical="center"/>
    </xf>
    <xf numFmtId="3" fontId="8" fillId="0" borderId="86" xfId="2" applyNumberFormat="1" applyFont="1" applyBorder="1" applyAlignment="1">
      <alignment vertical="center"/>
    </xf>
    <xf numFmtId="3" fontId="8" fillId="0" borderId="87" xfId="2" applyNumberFormat="1" applyFont="1" applyBorder="1" applyAlignment="1">
      <alignment vertical="center"/>
    </xf>
    <xf numFmtId="3" fontId="8" fillId="0" borderId="87" xfId="2" applyNumberFormat="1" applyFont="1" applyBorder="1" applyAlignment="1">
      <alignment vertical="center" wrapText="1"/>
    </xf>
    <xf numFmtId="3" fontId="8" fillId="0" borderId="88" xfId="2" applyNumberFormat="1" applyFont="1" applyBorder="1" applyAlignment="1">
      <alignment vertical="center" wrapText="1"/>
    </xf>
    <xf numFmtId="3" fontId="8" fillId="0" borderId="89" xfId="2" applyNumberFormat="1" applyFont="1" applyBorder="1" applyAlignment="1">
      <alignment vertical="center" wrapText="1"/>
    </xf>
    <xf numFmtId="3" fontId="12" fillId="0" borderId="8" xfId="2" applyNumberFormat="1" applyFont="1" applyBorder="1" applyAlignment="1">
      <alignment vertical="center" wrapText="1"/>
    </xf>
    <xf numFmtId="3" fontId="13" fillId="0" borderId="90" xfId="2" applyNumberFormat="1" applyFont="1" applyBorder="1" applyAlignment="1">
      <alignment vertical="center" wrapText="1"/>
    </xf>
    <xf numFmtId="166" fontId="8" fillId="0" borderId="68" xfId="2" applyNumberFormat="1" applyFont="1" applyBorder="1" applyAlignment="1">
      <alignment vertical="center" wrapText="1"/>
    </xf>
    <xf numFmtId="3" fontId="8" fillId="0" borderId="68" xfId="2" applyNumberFormat="1" applyFont="1" applyBorder="1" applyAlignment="1">
      <alignment vertical="center" wrapText="1"/>
    </xf>
    <xf numFmtId="3" fontId="13" fillId="0" borderId="49" xfId="2" applyNumberFormat="1" applyFont="1" applyBorder="1" applyAlignment="1">
      <alignment vertical="center"/>
    </xf>
    <xf numFmtId="166" fontId="4" fillId="0" borderId="8" xfId="2" applyNumberFormat="1" applyFont="1" applyBorder="1" applyAlignment="1">
      <alignment vertical="center" wrapText="1"/>
    </xf>
    <xf numFmtId="166" fontId="12" fillId="0" borderId="8" xfId="2" applyNumberFormat="1" applyFont="1" applyBorder="1" applyAlignment="1">
      <alignment vertical="center" wrapText="1"/>
    </xf>
    <xf numFmtId="166" fontId="10" fillId="0" borderId="18" xfId="2" applyNumberFormat="1" applyFont="1" applyFill="1" applyBorder="1" applyAlignment="1">
      <alignment vertical="center" wrapText="1"/>
    </xf>
    <xf numFmtId="49" fontId="31" fillId="0" borderId="11" xfId="2" applyNumberFormat="1" applyFont="1" applyBorder="1" applyAlignment="1">
      <alignment horizontal="center" vertical="center" wrapText="1"/>
    </xf>
    <xf numFmtId="0" fontId="31" fillId="0" borderId="0" xfId="2" applyFont="1" applyBorder="1" applyAlignment="1">
      <alignment vertical="center" wrapText="1"/>
    </xf>
    <xf numFmtId="166" fontId="31" fillId="0" borderId="10" xfId="2" applyNumberFormat="1" applyFont="1" applyBorder="1" applyAlignment="1">
      <alignment vertical="center" wrapText="1"/>
    </xf>
    <xf numFmtId="3" fontId="11" fillId="0" borderId="17" xfId="2" applyNumberFormat="1" applyFont="1" applyFill="1" applyBorder="1" applyAlignment="1">
      <alignment vertical="center" wrapText="1"/>
    </xf>
    <xf numFmtId="166" fontId="12" fillId="0" borderId="0" xfId="2" applyNumberFormat="1" applyFont="1"/>
    <xf numFmtId="166" fontId="32" fillId="0" borderId="19" xfId="2" applyNumberFormat="1" applyFont="1" applyBorder="1" applyAlignment="1">
      <alignment vertical="center" wrapText="1"/>
    </xf>
    <xf numFmtId="0" fontId="13" fillId="0" borderId="17" xfId="2" applyFont="1" applyBorder="1" applyAlignment="1">
      <alignment horizontal="right" vertical="center"/>
    </xf>
    <xf numFmtId="166" fontId="13" fillId="0" borderId="17" xfId="2" applyNumberFormat="1" applyFont="1" applyBorder="1" applyAlignment="1">
      <alignment vertical="center"/>
    </xf>
    <xf numFmtId="49" fontId="8" fillId="4" borderId="11" xfId="2" applyNumberFormat="1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49" fontId="12" fillId="4" borderId="10" xfId="2" applyNumberFormat="1" applyFont="1" applyFill="1" applyBorder="1" applyAlignment="1">
      <alignment horizontal="center" vertical="center" wrapText="1"/>
    </xf>
    <xf numFmtId="166" fontId="12" fillId="4" borderId="8" xfId="2" applyNumberFormat="1" applyFont="1" applyFill="1" applyBorder="1" applyAlignment="1">
      <alignment vertical="center" wrapText="1"/>
    </xf>
    <xf numFmtId="49" fontId="12" fillId="4" borderId="15" xfId="2" applyNumberFormat="1" applyFont="1" applyFill="1" applyBorder="1" applyAlignment="1">
      <alignment horizontal="center" vertical="center" wrapText="1"/>
    </xf>
    <xf numFmtId="49" fontId="12" fillId="0" borderId="9" xfId="2" applyNumberFormat="1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166" fontId="22" fillId="0" borderId="17" xfId="2" applyNumberFormat="1" applyFont="1" applyBorder="1" applyAlignment="1">
      <alignment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4" fillId="0" borderId="6" xfId="2" applyFont="1" applyBorder="1" applyAlignment="1"/>
    <xf numFmtId="0" fontId="0" fillId="0" borderId="91" xfId="0" applyBorder="1" applyAlignment="1"/>
    <xf numFmtId="0" fontId="4" fillId="0" borderId="92" xfId="2" applyFont="1" applyBorder="1" applyAlignment="1"/>
    <xf numFmtId="0" fontId="8" fillId="0" borderId="10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10" xfId="2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0" fontId="4" fillId="0" borderId="93" xfId="2" applyFont="1" applyBorder="1" applyAlignment="1"/>
    <xf numFmtId="0" fontId="4" fillId="2" borderId="93" xfId="0" applyFont="1" applyFill="1" applyBorder="1" applyAlignment="1" applyProtection="1">
      <protection hidden="1"/>
    </xf>
    <xf numFmtId="0" fontId="4" fillId="2" borderId="93" xfId="0" applyFont="1" applyFill="1" applyBorder="1" applyAlignment="1" applyProtection="1">
      <alignment horizontal="center"/>
      <protection hidden="1"/>
    </xf>
    <xf numFmtId="0" fontId="4" fillId="0" borderId="94" xfId="2" applyFont="1" applyBorder="1" applyAlignment="1"/>
    <xf numFmtId="0" fontId="4" fillId="0" borderId="95" xfId="2" applyFont="1" applyBorder="1" applyAlignment="1"/>
    <xf numFmtId="0" fontId="16" fillId="0" borderId="96" xfId="2" applyFont="1" applyBorder="1" applyAlignment="1">
      <alignment horizontal="center"/>
    </xf>
    <xf numFmtId="0" fontId="16" fillId="0" borderId="93" xfId="2" applyFont="1" applyBorder="1" applyAlignment="1">
      <alignment horizontal="center"/>
    </xf>
    <xf numFmtId="3" fontId="11" fillId="0" borderId="15" xfId="2" applyNumberFormat="1" applyFont="1" applyBorder="1" applyAlignment="1">
      <alignment horizontal="right" vertical="center" wrapText="1"/>
    </xf>
    <xf numFmtId="0" fontId="6" fillId="0" borderId="97" xfId="2" applyFont="1" applyBorder="1" applyAlignment="1">
      <alignment horizontal="center"/>
    </xf>
    <xf numFmtId="3" fontId="16" fillId="0" borderId="97" xfId="2" applyNumberFormat="1" applyFont="1" applyBorder="1"/>
    <xf numFmtId="3" fontId="16" fillId="0" borderId="42" xfId="2" applyNumberFormat="1" applyFont="1" applyBorder="1"/>
    <xf numFmtId="166" fontId="10" fillId="0" borderId="42" xfId="2" applyNumberFormat="1" applyFont="1" applyBorder="1" applyAlignment="1">
      <alignment horizontal="right" vertical="center" wrapText="1"/>
    </xf>
    <xf numFmtId="166" fontId="6" fillId="0" borderId="92" xfId="2" applyNumberFormat="1" applyFont="1" applyBorder="1" applyAlignment="1">
      <alignment vertical="center" wrapText="1"/>
    </xf>
    <xf numFmtId="166" fontId="6" fillId="0" borderId="98" xfId="2" applyNumberFormat="1" applyFont="1" applyBorder="1" applyAlignment="1">
      <alignment vertical="center" wrapText="1"/>
    </xf>
    <xf numFmtId="166" fontId="11" fillId="0" borderId="99" xfId="2" applyNumberFormat="1" applyFont="1" applyBorder="1" applyAlignment="1">
      <alignment vertical="center" wrapText="1"/>
    </xf>
    <xf numFmtId="3" fontId="11" fillId="0" borderId="100" xfId="2" applyNumberFormat="1" applyFont="1" applyBorder="1" applyAlignment="1">
      <alignment vertical="center" wrapText="1"/>
    </xf>
    <xf numFmtId="3" fontId="11" fillId="0" borderId="92" xfId="2" applyNumberFormat="1" applyFont="1" applyBorder="1" applyAlignment="1">
      <alignment vertical="center" wrapText="1"/>
    </xf>
    <xf numFmtId="166" fontId="6" fillId="0" borderId="99" xfId="2" applyNumberFormat="1" applyFont="1" applyBorder="1" applyAlignment="1">
      <alignment vertical="center" wrapText="1"/>
    </xf>
    <xf numFmtId="166" fontId="10" fillId="0" borderId="101" xfId="2" applyNumberFormat="1" applyFont="1" applyBorder="1" applyAlignment="1">
      <alignment vertical="center"/>
    </xf>
    <xf numFmtId="166" fontId="10" fillId="0" borderId="102" xfId="2" applyNumberFormat="1" applyFont="1" applyBorder="1" applyAlignment="1">
      <alignment vertical="center"/>
    </xf>
    <xf numFmtId="166" fontId="10" fillId="0" borderId="99" xfId="2" applyNumberFormat="1" applyFont="1" applyBorder="1" applyAlignment="1">
      <alignment vertical="center" wrapText="1"/>
    </xf>
    <xf numFmtId="3" fontId="13" fillId="0" borderId="43" xfId="2" applyNumberFormat="1" applyFont="1" applyBorder="1" applyAlignment="1">
      <alignment vertical="center" wrapText="1"/>
    </xf>
    <xf numFmtId="3" fontId="21" fillId="0" borderId="21" xfId="2" applyNumberFormat="1" applyFont="1" applyBorder="1" applyAlignment="1">
      <alignment vertical="center" wrapText="1"/>
    </xf>
    <xf numFmtId="166" fontId="4" fillId="0" borderId="22" xfId="2" applyNumberFormat="1" applyFont="1" applyBorder="1" applyAlignment="1">
      <alignment vertical="center" wrapText="1"/>
    </xf>
    <xf numFmtId="166" fontId="4" fillId="0" borderId="103" xfId="2" applyNumberFormat="1" applyFont="1" applyBorder="1" applyAlignment="1">
      <alignment vertical="center" wrapText="1"/>
    </xf>
    <xf numFmtId="3" fontId="13" fillId="0" borderId="12" xfId="2" applyNumberFormat="1" applyFont="1" applyBorder="1" applyAlignment="1">
      <alignment vertical="center" wrapText="1"/>
    </xf>
    <xf numFmtId="166" fontId="25" fillId="0" borderId="21" xfId="2" applyNumberFormat="1" applyFont="1" applyBorder="1" applyAlignment="1">
      <alignment vertical="center" wrapText="1"/>
    </xf>
    <xf numFmtId="3" fontId="11" fillId="0" borderId="22" xfId="2" applyNumberFormat="1" applyFont="1" applyBorder="1" applyAlignment="1">
      <alignment vertical="center" wrapText="1"/>
    </xf>
    <xf numFmtId="166" fontId="8" fillId="0" borderId="22" xfId="2" applyNumberFormat="1" applyFont="1" applyBorder="1" applyAlignment="1">
      <alignment vertical="center" wrapText="1"/>
    </xf>
    <xf numFmtId="166" fontId="10" fillId="0" borderId="51" xfId="2" applyNumberFormat="1" applyFont="1" applyBorder="1" applyAlignment="1">
      <alignment vertical="center"/>
    </xf>
    <xf numFmtId="166" fontId="10" fillId="0" borderId="15" xfId="2" applyNumberFormat="1" applyFont="1" applyBorder="1" applyAlignment="1">
      <alignment vertical="center"/>
    </xf>
    <xf numFmtId="166" fontId="10" fillId="0" borderId="22" xfId="2" applyNumberFormat="1" applyFont="1" applyBorder="1" applyAlignment="1">
      <alignment vertical="center"/>
    </xf>
    <xf numFmtId="166" fontId="10" fillId="0" borderId="24" xfId="2" applyNumberFormat="1" applyFont="1" applyBorder="1" applyAlignment="1">
      <alignment vertical="center"/>
    </xf>
    <xf numFmtId="0" fontId="5" fillId="0" borderId="10" xfId="2" applyFont="1" applyBorder="1"/>
    <xf numFmtId="0" fontId="5" fillId="0" borderId="22" xfId="2" applyFont="1" applyBorder="1"/>
    <xf numFmtId="3" fontId="11" fillId="0" borderId="21" xfId="2" applyNumberFormat="1" applyFont="1" applyFill="1" applyBorder="1" applyAlignment="1">
      <alignment vertical="center" wrapText="1"/>
    </xf>
    <xf numFmtId="3" fontId="11" fillId="0" borderId="15" xfId="2" applyNumberFormat="1" applyFont="1" applyBorder="1" applyAlignment="1">
      <alignment vertical="center" wrapText="1"/>
    </xf>
    <xf numFmtId="0" fontId="4" fillId="0" borderId="10" xfId="2" applyFont="1" applyFill="1" applyBorder="1" applyAlignment="1">
      <alignment vertical="center" wrapText="1"/>
    </xf>
    <xf numFmtId="166" fontId="4" fillId="0" borderId="10" xfId="2" applyNumberFormat="1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center"/>
    </xf>
    <xf numFmtId="166" fontId="4" fillId="0" borderId="65" xfId="2" applyNumberFormat="1" applyFont="1" applyBorder="1" applyAlignment="1">
      <alignment vertical="center" wrapText="1"/>
    </xf>
    <xf numFmtId="0" fontId="6" fillId="0" borderId="104" xfId="2" applyFont="1" applyBorder="1" applyAlignment="1"/>
    <xf numFmtId="170" fontId="8" fillId="0" borderId="10" xfId="2" applyNumberFormat="1" applyFont="1" applyBorder="1" applyAlignment="1">
      <alignment vertical="center" wrapText="1"/>
    </xf>
    <xf numFmtId="166" fontId="27" fillId="0" borderId="17" xfId="2" applyNumberFormat="1" applyFont="1" applyBorder="1" applyAlignment="1">
      <alignment vertical="center" wrapText="1"/>
    </xf>
    <xf numFmtId="166" fontId="27" fillId="0" borderId="21" xfId="2" applyNumberFormat="1" applyFont="1" applyBorder="1" applyAlignment="1">
      <alignment vertical="center" wrapText="1"/>
    </xf>
    <xf numFmtId="166" fontId="27" fillId="0" borderId="99" xfId="2" applyNumberFormat="1" applyFont="1" applyBorder="1" applyAlignment="1">
      <alignment vertical="center" wrapText="1"/>
    </xf>
    <xf numFmtId="0" fontId="28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top"/>
    </xf>
    <xf numFmtId="0" fontId="28" fillId="0" borderId="0" xfId="2" applyFont="1" applyBorder="1" applyAlignment="1">
      <alignment horizontal="center" vertical="top" wrapText="1"/>
    </xf>
    <xf numFmtId="49" fontId="4" fillId="0" borderId="10" xfId="2" applyNumberFormat="1" applyFont="1" applyBorder="1" applyAlignment="1">
      <alignment horizontal="center" vertical="center" wrapText="1"/>
    </xf>
    <xf numFmtId="0" fontId="9" fillId="0" borderId="10" xfId="2" applyFont="1" applyBorder="1" applyAlignment="1">
      <alignment vertical="center"/>
    </xf>
    <xf numFmtId="3" fontId="8" fillId="0" borderId="10" xfId="2" applyNumberFormat="1" applyFont="1" applyBorder="1" applyAlignment="1">
      <alignment vertical="center"/>
    </xf>
    <xf numFmtId="3" fontId="8" fillId="0" borderId="19" xfId="2" applyNumberFormat="1" applyFont="1" applyBorder="1" applyAlignment="1">
      <alignment vertical="center"/>
    </xf>
    <xf numFmtId="3" fontId="17" fillId="0" borderId="22" xfId="2" applyNumberFormat="1" applyFont="1" applyBorder="1" applyAlignment="1">
      <alignment vertical="center" wrapText="1"/>
    </xf>
    <xf numFmtId="0" fontId="8" fillId="0" borderId="1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/>
    </xf>
    <xf numFmtId="3" fontId="8" fillId="0" borderId="105" xfId="2" applyNumberFormat="1" applyFont="1" applyBorder="1" applyAlignment="1">
      <alignment vertical="center"/>
    </xf>
    <xf numFmtId="3" fontId="8" fillId="0" borderId="27" xfId="2" applyNumberFormat="1" applyFont="1" applyBorder="1" applyAlignment="1">
      <alignment vertical="center" wrapText="1"/>
    </xf>
    <xf numFmtId="3" fontId="8" fillId="0" borderId="74" xfId="2" applyNumberFormat="1" applyFont="1" applyBorder="1" applyAlignment="1">
      <alignment vertical="center" wrapText="1"/>
    </xf>
    <xf numFmtId="3" fontId="8" fillId="0" borderId="81" xfId="2" applyNumberFormat="1" applyFont="1" applyBorder="1" applyAlignment="1">
      <alignment vertical="center" wrapText="1"/>
    </xf>
    <xf numFmtId="3" fontId="12" fillId="0" borderId="19" xfId="2" applyNumberFormat="1" applyFont="1" applyBorder="1" applyAlignment="1">
      <alignment vertical="center" wrapText="1"/>
    </xf>
    <xf numFmtId="3" fontId="13" fillId="0" borderId="83" xfId="2" applyNumberFormat="1" applyFont="1" applyBorder="1" applyAlignment="1">
      <alignment vertical="center" wrapText="1"/>
    </xf>
    <xf numFmtId="166" fontId="8" fillId="0" borderId="34" xfId="2" applyNumberFormat="1" applyFont="1" applyBorder="1" applyAlignment="1">
      <alignment vertical="center" wrapText="1"/>
    </xf>
    <xf numFmtId="166" fontId="10" fillId="0" borderId="106" xfId="2" applyNumberFormat="1" applyFont="1" applyBorder="1" applyAlignment="1">
      <alignment vertical="center" wrapText="1"/>
    </xf>
    <xf numFmtId="0" fontId="16" fillId="2" borderId="96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0" borderId="19" xfId="2" applyFont="1" applyBorder="1" applyAlignment="1">
      <alignment horizontal="center"/>
    </xf>
    <xf numFmtId="0" fontId="4" fillId="0" borderId="31" xfId="2" applyFont="1" applyBorder="1" applyAlignment="1">
      <alignment horizontal="center" vertical="center"/>
    </xf>
    <xf numFmtId="3" fontId="11" fillId="0" borderId="69" xfId="2" applyNumberFormat="1" applyFont="1" applyBorder="1" applyAlignment="1">
      <alignment vertical="center" wrapText="1"/>
    </xf>
    <xf numFmtId="0" fontId="4" fillId="0" borderId="48" xfId="2" applyFont="1" applyBorder="1" applyAlignment="1">
      <alignment horizontal="center" vertical="center"/>
    </xf>
    <xf numFmtId="3" fontId="12" fillId="0" borderId="23" xfId="2" applyNumberFormat="1" applyFont="1" applyBorder="1" applyAlignment="1">
      <alignment vertical="center" wrapText="1"/>
    </xf>
    <xf numFmtId="3" fontId="12" fillId="0" borderId="82" xfId="2" applyNumberFormat="1" applyFont="1" applyBorder="1" applyAlignment="1">
      <alignment vertical="center" wrapText="1"/>
    </xf>
    <xf numFmtId="166" fontId="13" fillId="0" borderId="23" xfId="2" applyNumberFormat="1" applyFont="1" applyBorder="1" applyAlignment="1">
      <alignment vertical="center"/>
    </xf>
    <xf numFmtId="0" fontId="4" fillId="0" borderId="96" xfId="2" applyFont="1" applyBorder="1" applyAlignment="1">
      <alignment horizontal="center"/>
    </xf>
    <xf numFmtId="3" fontId="13" fillId="0" borderId="107" xfId="2" applyNumberFormat="1" applyFont="1" applyBorder="1" applyAlignment="1">
      <alignment vertical="center"/>
    </xf>
    <xf numFmtId="1" fontId="8" fillId="0" borderId="15" xfId="2" applyNumberFormat="1" applyFont="1" applyBorder="1" applyAlignment="1">
      <alignment horizontal="left" vertical="center" wrapText="1"/>
    </xf>
    <xf numFmtId="1" fontId="4" fillId="0" borderId="15" xfId="2" applyNumberFormat="1" applyFont="1" applyBorder="1" applyAlignment="1">
      <alignment horizontal="left" vertical="center" wrapText="1"/>
    </xf>
    <xf numFmtId="1" fontId="4" fillId="0" borderId="15" xfId="2" applyNumberFormat="1" applyFont="1" applyFill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166" fontId="29" fillId="0" borderId="17" xfId="2" applyNumberFormat="1" applyFont="1" applyBorder="1" applyAlignment="1">
      <alignment vertical="center"/>
    </xf>
    <xf numFmtId="166" fontId="29" fillId="0" borderId="23" xfId="2" applyNumberFormat="1" applyFont="1" applyBorder="1" applyAlignment="1">
      <alignment vertical="center"/>
    </xf>
    <xf numFmtId="166" fontId="29" fillId="0" borderId="18" xfId="2" applyNumberFormat="1" applyFont="1" applyBorder="1" applyAlignment="1">
      <alignment vertical="center"/>
    </xf>
    <xf numFmtId="166" fontId="16" fillId="0" borderId="19" xfId="2" applyNumberFormat="1" applyFont="1" applyFill="1" applyBorder="1" applyAlignment="1">
      <alignment vertical="center" wrapText="1"/>
    </xf>
    <xf numFmtId="1" fontId="8" fillId="0" borderId="15" xfId="2" applyNumberFormat="1" applyFont="1" applyFill="1" applyBorder="1" applyAlignment="1">
      <alignment horizontal="left" vertical="center" wrapText="1"/>
    </xf>
    <xf numFmtId="49" fontId="8" fillId="0" borderId="11" xfId="2" applyNumberFormat="1" applyFont="1" applyFill="1" applyBorder="1" applyAlignment="1">
      <alignment horizontal="left" vertical="center" wrapText="1"/>
    </xf>
    <xf numFmtId="49" fontId="8" fillId="0" borderId="15" xfId="2" applyNumberFormat="1" applyFont="1" applyFill="1" applyBorder="1" applyAlignment="1">
      <alignment horizontal="left" vertical="center" wrapText="1"/>
    </xf>
    <xf numFmtId="166" fontId="13" fillId="0" borderId="9" xfId="2" applyNumberFormat="1" applyFont="1" applyBorder="1" applyAlignment="1">
      <alignment vertical="center" wrapText="1"/>
    </xf>
    <xf numFmtId="166" fontId="8" fillId="0" borderId="9" xfId="2" applyNumberFormat="1" applyFont="1" applyBorder="1" applyAlignment="1">
      <alignment vertical="center" wrapText="1"/>
    </xf>
    <xf numFmtId="0" fontId="4" fillId="0" borderId="11" xfId="2" applyFont="1" applyBorder="1" applyAlignment="1">
      <alignment horizontal="center" vertical="center"/>
    </xf>
    <xf numFmtId="166" fontId="6" fillId="0" borderId="62" xfId="2" applyNumberFormat="1" applyFont="1" applyBorder="1" applyAlignment="1">
      <alignment vertical="center" wrapText="1"/>
    </xf>
    <xf numFmtId="0" fontId="16" fillId="2" borderId="7" xfId="0" applyFont="1" applyFill="1" applyBorder="1" applyAlignment="1">
      <alignment horizontal="center"/>
    </xf>
    <xf numFmtId="0" fontId="4" fillId="0" borderId="5" xfId="2" applyFont="1" applyBorder="1" applyAlignment="1">
      <alignment horizontal="right"/>
    </xf>
    <xf numFmtId="0" fontId="4" fillId="0" borderId="36" xfId="2" applyFont="1" applyBorder="1" applyAlignment="1">
      <alignment horizontal="right"/>
    </xf>
    <xf numFmtId="0" fontId="9" fillId="0" borderId="10" xfId="2" applyFont="1" applyBorder="1" applyAlignment="1">
      <alignment horizontal="right" vertical="center"/>
    </xf>
    <xf numFmtId="166" fontId="10" fillId="0" borderId="62" xfId="2" applyNumberFormat="1" applyFont="1" applyBorder="1" applyAlignment="1">
      <alignment horizontal="right" vertical="center" wrapText="1"/>
    </xf>
    <xf numFmtId="3" fontId="9" fillId="0" borderId="8" xfId="2" applyNumberFormat="1" applyFont="1" applyBorder="1" applyAlignment="1">
      <alignment horizontal="right" vertical="center" wrapText="1"/>
    </xf>
    <xf numFmtId="3" fontId="8" fillId="0" borderId="10" xfId="2" applyNumberFormat="1" applyFont="1" applyBorder="1" applyAlignment="1">
      <alignment horizontal="right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66" fontId="13" fillId="0" borderId="10" xfId="2" applyNumberFormat="1" applyFont="1" applyBorder="1" applyAlignment="1">
      <alignment vertical="center" wrapText="1"/>
    </xf>
    <xf numFmtId="166" fontId="13" fillId="0" borderId="22" xfId="2" applyNumberFormat="1" applyFont="1" applyBorder="1" applyAlignment="1">
      <alignment vertical="center" wrapText="1"/>
    </xf>
    <xf numFmtId="3" fontId="8" fillId="0" borderId="103" xfId="2" applyNumberFormat="1" applyFont="1" applyBorder="1" applyAlignment="1">
      <alignment vertical="center" wrapText="1"/>
    </xf>
    <xf numFmtId="3" fontId="22" fillId="0" borderId="17" xfId="2" applyNumberFormat="1" applyFont="1" applyBorder="1" applyAlignment="1">
      <alignment vertical="center"/>
    </xf>
    <xf numFmtId="3" fontId="22" fillId="0" borderId="21" xfId="2" applyNumberFormat="1" applyFont="1" applyBorder="1" applyAlignment="1">
      <alignment vertical="center"/>
    </xf>
    <xf numFmtId="16" fontId="5" fillId="0" borderId="17" xfId="2" quotePrefix="1" applyNumberFormat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166" fontId="13" fillId="0" borderId="79" xfId="2" applyNumberFormat="1" applyFont="1" applyBorder="1" applyAlignment="1">
      <alignment vertical="center" wrapText="1"/>
    </xf>
    <xf numFmtId="166" fontId="13" fillId="0" borderId="19" xfId="2" applyNumberFormat="1" applyFont="1" applyBorder="1" applyAlignment="1">
      <alignment vertical="center" wrapText="1"/>
    </xf>
    <xf numFmtId="166" fontId="8" fillId="3" borderId="19" xfId="2" applyNumberFormat="1" applyFont="1" applyFill="1" applyBorder="1" applyAlignment="1">
      <alignment vertical="center" wrapText="1"/>
    </xf>
    <xf numFmtId="166" fontId="10" fillId="0" borderId="17" xfId="2" applyNumberFormat="1" applyFont="1" applyFill="1" applyBorder="1" applyAlignment="1">
      <alignment vertical="center"/>
    </xf>
    <xf numFmtId="0" fontId="5" fillId="0" borderId="108" xfId="2" applyFont="1" applyBorder="1"/>
    <xf numFmtId="166" fontId="22" fillId="0" borderId="17" xfId="2" applyNumberFormat="1" applyFont="1" applyBorder="1" applyAlignment="1">
      <alignment vertical="center"/>
    </xf>
    <xf numFmtId="166" fontId="22" fillId="0" borderId="23" xfId="2" applyNumberFormat="1" applyFont="1" applyBorder="1" applyAlignment="1">
      <alignment vertical="center"/>
    </xf>
    <xf numFmtId="166" fontId="22" fillId="0" borderId="18" xfId="2" applyNumberFormat="1" applyFont="1" applyBorder="1" applyAlignment="1">
      <alignment vertical="center"/>
    </xf>
    <xf numFmtId="3" fontId="22" fillId="0" borderId="23" xfId="2" applyNumberFormat="1" applyFont="1" applyBorder="1" applyAlignment="1">
      <alignment vertical="center" wrapText="1"/>
    </xf>
    <xf numFmtId="3" fontId="22" fillId="0" borderId="17" xfId="2" applyNumberFormat="1" applyFont="1" applyBorder="1" applyAlignment="1">
      <alignment vertical="center" wrapText="1"/>
    </xf>
    <xf numFmtId="1" fontId="12" fillId="0" borderId="15" xfId="2" applyNumberFormat="1" applyFont="1" applyFill="1" applyBorder="1" applyAlignment="1">
      <alignment horizontal="center" vertical="center" wrapText="1"/>
    </xf>
    <xf numFmtId="1" fontId="33" fillId="0" borderId="15" xfId="2" applyNumberFormat="1" applyFont="1" applyBorder="1" applyAlignment="1">
      <alignment horizontal="center" vertical="center" wrapText="1"/>
    </xf>
    <xf numFmtId="166" fontId="16" fillId="0" borderId="62" xfId="2" applyNumberFormat="1" applyFont="1" applyBorder="1" applyAlignment="1">
      <alignment vertical="center" wrapText="1"/>
    </xf>
    <xf numFmtId="0" fontId="26" fillId="0" borderId="15" xfId="2" applyFont="1" applyBorder="1" applyAlignment="1">
      <alignment horizontal="center" vertical="center" wrapText="1"/>
    </xf>
    <xf numFmtId="0" fontId="26" fillId="0" borderId="15" xfId="2" applyFont="1" applyFill="1" applyBorder="1" applyAlignment="1">
      <alignment horizontal="center" vertical="center" wrapText="1"/>
    </xf>
    <xf numFmtId="3" fontId="22" fillId="0" borderId="23" xfId="2" applyNumberFormat="1" applyFont="1" applyFill="1" applyBorder="1" applyAlignment="1">
      <alignment vertical="center" wrapText="1"/>
    </xf>
    <xf numFmtId="3" fontId="13" fillId="0" borderId="11" xfId="2" applyNumberFormat="1" applyFont="1" applyFill="1" applyBorder="1" applyAlignment="1">
      <alignment vertical="center" wrapText="1"/>
    </xf>
    <xf numFmtId="166" fontId="10" fillId="0" borderId="10" xfId="2" applyNumberFormat="1" applyFont="1" applyFill="1" applyBorder="1" applyAlignment="1">
      <alignment vertical="center"/>
    </xf>
    <xf numFmtId="166" fontId="12" fillId="0" borderId="10" xfId="2" applyNumberFormat="1" applyFont="1" applyFill="1" applyBorder="1" applyAlignment="1">
      <alignment vertical="center" wrapText="1"/>
    </xf>
    <xf numFmtId="166" fontId="10" fillId="0" borderId="52" xfId="2" applyNumberFormat="1" applyFont="1" applyFill="1" applyBorder="1" applyAlignment="1">
      <alignment vertical="center"/>
    </xf>
    <xf numFmtId="166" fontId="10" fillId="0" borderId="48" xfId="2" applyNumberFormat="1" applyFont="1" applyFill="1" applyBorder="1" applyAlignment="1">
      <alignment vertical="center"/>
    </xf>
    <xf numFmtId="166" fontId="10" fillId="0" borderId="55" xfId="2" applyNumberFormat="1" applyFont="1" applyFill="1" applyBorder="1" applyAlignment="1">
      <alignment vertical="center"/>
    </xf>
    <xf numFmtId="166" fontId="10" fillId="0" borderId="21" xfId="2" applyNumberFormat="1" applyFont="1" applyFill="1" applyBorder="1" applyAlignment="1">
      <alignment vertical="center" wrapText="1"/>
    </xf>
    <xf numFmtId="166" fontId="13" fillId="0" borderId="17" xfId="2" applyNumberFormat="1" applyFont="1" applyFill="1" applyBorder="1" applyAlignment="1">
      <alignment vertical="center"/>
    </xf>
    <xf numFmtId="0" fontId="5" fillId="0" borderId="0" xfId="2" applyFont="1" applyFill="1"/>
    <xf numFmtId="3" fontId="22" fillId="0" borderId="18" xfId="2" applyNumberFormat="1" applyFont="1" applyFill="1" applyBorder="1" applyAlignment="1">
      <alignment vertical="center" wrapText="1"/>
    </xf>
    <xf numFmtId="3" fontId="13" fillId="0" borderId="49" xfId="2" applyNumberFormat="1" applyFont="1" applyFill="1" applyBorder="1" applyAlignment="1">
      <alignment vertical="center" wrapText="1"/>
    </xf>
    <xf numFmtId="166" fontId="16" fillId="0" borderId="8" xfId="2" applyNumberFormat="1" applyFont="1" applyFill="1" applyBorder="1" applyAlignment="1">
      <alignment vertical="center" wrapText="1"/>
    </xf>
    <xf numFmtId="166" fontId="10" fillId="0" borderId="18" xfId="2" applyNumberFormat="1" applyFont="1" applyFill="1" applyBorder="1" applyAlignment="1">
      <alignment vertical="center"/>
    </xf>
    <xf numFmtId="166" fontId="10" fillId="0" borderId="8" xfId="2" applyNumberFormat="1" applyFont="1" applyFill="1" applyBorder="1" applyAlignment="1">
      <alignment vertical="center"/>
    </xf>
    <xf numFmtId="166" fontId="10" fillId="0" borderId="70" xfId="2" applyNumberFormat="1" applyFont="1" applyFill="1" applyBorder="1" applyAlignment="1">
      <alignment vertical="center"/>
    </xf>
    <xf numFmtId="166" fontId="10" fillId="0" borderId="66" xfId="2" applyNumberFormat="1" applyFont="1" applyFill="1" applyBorder="1" applyAlignment="1">
      <alignment vertical="center"/>
    </xf>
    <xf numFmtId="166" fontId="10" fillId="0" borderId="71" xfId="2" applyNumberFormat="1" applyFont="1" applyFill="1" applyBorder="1" applyAlignment="1">
      <alignment vertical="center"/>
    </xf>
    <xf numFmtId="166" fontId="16" fillId="0" borderId="21" xfId="2" applyNumberFormat="1" applyFont="1" applyFill="1" applyBorder="1" applyAlignment="1">
      <alignment vertical="center" wrapText="1"/>
    </xf>
    <xf numFmtId="0" fontId="5" fillId="0" borderId="0" xfId="2" applyFont="1" applyFill="1" applyBorder="1"/>
    <xf numFmtId="49" fontId="12" fillId="0" borderId="6" xfId="2" applyNumberFormat="1" applyFont="1" applyBorder="1" applyAlignment="1">
      <alignment horizontal="center" vertical="center" wrapText="1"/>
    </xf>
    <xf numFmtId="3" fontId="10" fillId="0" borderId="21" xfId="2" applyNumberFormat="1" applyFont="1" applyBorder="1" applyAlignment="1">
      <alignment vertical="center" wrapText="1"/>
    </xf>
    <xf numFmtId="3" fontId="10" fillId="0" borderId="23" xfId="2" applyNumberFormat="1" applyFont="1" applyBorder="1" applyAlignment="1">
      <alignment vertical="center" wrapText="1"/>
    </xf>
    <xf numFmtId="3" fontId="10" fillId="0" borderId="18" xfId="2" applyNumberFormat="1" applyFont="1" applyBorder="1" applyAlignment="1">
      <alignment vertical="center" wrapText="1"/>
    </xf>
    <xf numFmtId="0" fontId="10" fillId="0" borderId="7" xfId="2" applyFont="1" applyBorder="1" applyAlignment="1">
      <alignment vertical="center"/>
    </xf>
    <xf numFmtId="3" fontId="11" fillId="0" borderId="7" xfId="2" applyNumberFormat="1" applyFont="1" applyBorder="1" applyAlignment="1">
      <alignment vertical="center" wrapText="1"/>
    </xf>
    <xf numFmtId="0" fontId="5" fillId="0" borderId="50" xfId="2" applyFont="1" applyBorder="1" applyAlignment="1">
      <alignment horizontal="center" vertical="center"/>
    </xf>
    <xf numFmtId="3" fontId="13" fillId="0" borderId="51" xfId="2" applyNumberFormat="1" applyFont="1" applyBorder="1" applyAlignment="1">
      <alignment vertical="center" wrapText="1"/>
    </xf>
    <xf numFmtId="3" fontId="13" fillId="0" borderId="53" xfId="2" applyNumberFormat="1" applyFont="1" applyBorder="1" applyAlignment="1">
      <alignment vertical="center" wrapText="1"/>
    </xf>
    <xf numFmtId="166" fontId="6" fillId="0" borderId="70" xfId="2" applyNumberFormat="1" applyFont="1" applyBorder="1" applyAlignment="1">
      <alignment vertical="center" wrapText="1"/>
    </xf>
    <xf numFmtId="0" fontId="13" fillId="0" borderId="51" xfId="2" applyFont="1" applyBorder="1" applyAlignment="1">
      <alignment horizontal="right" vertical="center"/>
    </xf>
    <xf numFmtId="3" fontId="13" fillId="0" borderId="51" xfId="2" applyNumberFormat="1" applyFont="1" applyBorder="1" applyAlignment="1">
      <alignment vertical="center"/>
    </xf>
    <xf numFmtId="3" fontId="13" fillId="0" borderId="52" xfId="2" applyNumberFormat="1" applyFont="1" applyBorder="1" applyAlignment="1">
      <alignment vertical="center"/>
    </xf>
    <xf numFmtId="3" fontId="10" fillId="0" borderId="52" xfId="2" applyNumberFormat="1" applyFont="1" applyBorder="1" applyAlignment="1">
      <alignment vertical="center"/>
    </xf>
    <xf numFmtId="3" fontId="13" fillId="0" borderId="70" xfId="2" applyNumberFormat="1" applyFont="1" applyBorder="1" applyAlignment="1">
      <alignment vertical="center"/>
    </xf>
    <xf numFmtId="49" fontId="8" fillId="0" borderId="6" xfId="2" applyNumberFormat="1" applyFont="1" applyFill="1" applyBorder="1" applyAlignment="1">
      <alignment horizontal="center"/>
    </xf>
    <xf numFmtId="166" fontId="12" fillId="0" borderId="8" xfId="2" applyNumberFormat="1" applyFont="1" applyFill="1" applyBorder="1" applyAlignment="1">
      <alignment vertical="center" wrapText="1"/>
    </xf>
    <xf numFmtId="166" fontId="16" fillId="0" borderId="0" xfId="2" applyNumberFormat="1" applyFont="1" applyFill="1" applyBorder="1" applyAlignment="1">
      <alignment vertical="center" wrapText="1"/>
    </xf>
    <xf numFmtId="0" fontId="12" fillId="0" borderId="9" xfId="2" applyFont="1" applyBorder="1" applyAlignment="1">
      <alignment horizontal="center" vertical="center" wrapText="1"/>
    </xf>
    <xf numFmtId="0" fontId="13" fillId="0" borderId="107" xfId="2" applyFont="1" applyBorder="1" applyAlignment="1">
      <alignment vertical="center"/>
    </xf>
    <xf numFmtId="0" fontId="13" fillId="0" borderId="51" xfId="2" applyFont="1" applyBorder="1" applyAlignment="1">
      <alignment vertical="center"/>
    </xf>
    <xf numFmtId="166" fontId="4" fillId="0" borderId="38" xfId="2" applyNumberFormat="1" applyFont="1" applyBorder="1" applyAlignment="1">
      <alignment vertical="center" wrapText="1"/>
    </xf>
    <xf numFmtId="166" fontId="4" fillId="0" borderId="76" xfId="2" applyNumberFormat="1" applyFont="1" applyBorder="1" applyAlignment="1">
      <alignment vertical="center" wrapText="1"/>
    </xf>
    <xf numFmtId="166" fontId="4" fillId="0" borderId="44" xfId="2" applyNumberFormat="1" applyFont="1" applyBorder="1" applyAlignment="1">
      <alignment vertical="center" wrapText="1"/>
    </xf>
    <xf numFmtId="166" fontId="8" fillId="0" borderId="92" xfId="2" applyNumberFormat="1" applyFont="1" applyBorder="1" applyAlignment="1">
      <alignment vertical="center" wrapText="1"/>
    </xf>
    <xf numFmtId="0" fontId="4" fillId="0" borderId="46" xfId="2" applyFont="1" applyBorder="1" applyAlignment="1">
      <alignment vertical="top"/>
    </xf>
    <xf numFmtId="0" fontId="4" fillId="0" borderId="76" xfId="2" applyFont="1" applyBorder="1"/>
    <xf numFmtId="0" fontId="5" fillId="0" borderId="76" xfId="2" applyFont="1" applyBorder="1"/>
    <xf numFmtId="0" fontId="5" fillId="0" borderId="44" xfId="2" applyFont="1" applyBorder="1"/>
    <xf numFmtId="0" fontId="5" fillId="0" borderId="109" xfId="2" applyFont="1" applyBorder="1"/>
    <xf numFmtId="3" fontId="10" fillId="0" borderId="18" xfId="2" applyNumberFormat="1" applyFont="1" applyFill="1" applyBorder="1" applyAlignment="1">
      <alignment vertical="center" wrapText="1"/>
    </xf>
    <xf numFmtId="3" fontId="10" fillId="0" borderId="23" xfId="2" applyNumberFormat="1" applyFont="1" applyFill="1" applyBorder="1" applyAlignment="1">
      <alignment vertical="center" wrapText="1"/>
    </xf>
    <xf numFmtId="3" fontId="10" fillId="0" borderId="17" xfId="2" applyNumberFormat="1" applyFont="1" applyBorder="1" applyAlignment="1">
      <alignment vertical="center" wrapText="1"/>
    </xf>
    <xf numFmtId="0" fontId="4" fillId="0" borderId="110" xfId="2" applyFont="1" applyBorder="1" applyAlignment="1">
      <alignment horizontal="center"/>
    </xf>
    <xf numFmtId="0" fontId="4" fillId="0" borderId="7" xfId="2" applyFont="1" applyBorder="1" applyAlignment="1">
      <alignment horizontal="center" vertical="center"/>
    </xf>
    <xf numFmtId="0" fontId="5" fillId="0" borderId="111" xfId="2" applyFont="1" applyBorder="1" applyAlignment="1">
      <alignment horizontal="center" vertical="center"/>
    </xf>
    <xf numFmtId="1" fontId="26" fillId="0" borderId="15" xfId="2" applyNumberFormat="1" applyFont="1" applyFill="1" applyBorder="1" applyAlignment="1">
      <alignment horizontal="center" vertical="center" wrapText="1"/>
    </xf>
    <xf numFmtId="49" fontId="26" fillId="0" borderId="11" xfId="2" applyNumberFormat="1" applyFont="1" applyFill="1" applyBorder="1" applyAlignment="1">
      <alignment horizontal="center" vertical="center" wrapText="1"/>
    </xf>
    <xf numFmtId="0" fontId="5" fillId="0" borderId="112" xfId="2" applyFont="1" applyBorder="1" applyAlignment="1">
      <alignment horizontal="center" vertical="center"/>
    </xf>
    <xf numFmtId="3" fontId="9" fillId="0" borderId="65" xfId="2" applyNumberFormat="1" applyFont="1" applyBorder="1" applyAlignment="1">
      <alignment horizontal="right" vertical="center" wrapText="1"/>
    </xf>
    <xf numFmtId="0" fontId="4" fillId="0" borderId="62" xfId="2" applyFont="1" applyBorder="1" applyAlignment="1">
      <alignment horizontal="center"/>
    </xf>
    <xf numFmtId="0" fontId="13" fillId="0" borderId="10" xfId="2" applyFont="1" applyBorder="1" applyAlignment="1">
      <alignment horizontal="right" vertical="center"/>
    </xf>
    <xf numFmtId="3" fontId="13" fillId="0" borderId="10" xfId="2" applyNumberFormat="1" applyFont="1" applyBorder="1" applyAlignment="1">
      <alignment vertical="center" wrapText="1"/>
    </xf>
    <xf numFmtId="3" fontId="13" fillId="0" borderId="10" xfId="2" applyNumberFormat="1" applyFont="1" applyFill="1" applyBorder="1" applyAlignment="1">
      <alignment vertical="center" wrapText="1"/>
    </xf>
    <xf numFmtId="3" fontId="13" fillId="0" borderId="19" xfId="2" applyNumberFormat="1" applyFont="1" applyBorder="1" applyAlignment="1">
      <alignment vertical="center" wrapText="1"/>
    </xf>
    <xf numFmtId="3" fontId="13" fillId="0" borderId="8" xfId="2" applyNumberFormat="1" applyFont="1" applyFill="1" applyBorder="1" applyAlignment="1">
      <alignment vertical="center" wrapText="1"/>
    </xf>
    <xf numFmtId="0" fontId="7" fillId="0" borderId="17" xfId="2" applyFont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top"/>
    </xf>
    <xf numFmtId="0" fontId="13" fillId="0" borderId="0" xfId="2" applyFont="1" applyBorder="1" applyAlignment="1">
      <alignment horizontal="right" vertical="center"/>
    </xf>
    <xf numFmtId="166" fontId="16" fillId="0" borderId="22" xfId="2" applyNumberFormat="1" applyFont="1" applyBorder="1" applyAlignment="1">
      <alignment vertical="center" wrapText="1"/>
    </xf>
    <xf numFmtId="166" fontId="16" fillId="3" borderId="22" xfId="2" applyNumberFormat="1" applyFont="1" applyFill="1" applyBorder="1" applyAlignment="1">
      <alignment vertical="center" wrapText="1"/>
    </xf>
    <xf numFmtId="49" fontId="8" fillId="0" borderId="10" xfId="2" applyNumberFormat="1" applyFont="1" applyFill="1" applyBorder="1" applyAlignment="1">
      <alignment horizontal="center" vertical="center" wrapText="1"/>
    </xf>
    <xf numFmtId="170" fontId="5" fillId="0" borderId="0" xfId="2" applyNumberFormat="1" applyFont="1"/>
    <xf numFmtId="166" fontId="26" fillId="0" borderId="10" xfId="2" applyNumberFormat="1" applyFont="1" applyBorder="1" applyAlignment="1">
      <alignment vertical="center" wrapText="1"/>
    </xf>
    <xf numFmtId="0" fontId="26" fillId="0" borderId="0" xfId="2" applyFont="1"/>
    <xf numFmtId="166" fontId="26" fillId="0" borderId="19" xfId="2" applyNumberFormat="1" applyFont="1" applyBorder="1" applyAlignment="1">
      <alignment vertical="center" wrapText="1"/>
    </xf>
    <xf numFmtId="3" fontId="30" fillId="0" borderId="19" xfId="2" applyNumberFormat="1" applyFont="1" applyBorder="1" applyAlignment="1">
      <alignment vertical="center" wrapText="1"/>
    </xf>
    <xf numFmtId="166" fontId="26" fillId="0" borderId="8" xfId="2" applyNumberFormat="1" applyFont="1" applyBorder="1" applyAlignment="1">
      <alignment vertical="center" wrapText="1"/>
    </xf>
    <xf numFmtId="3" fontId="26" fillId="0" borderId="10" xfId="2" applyNumberFormat="1" applyFont="1" applyBorder="1" applyAlignment="1">
      <alignment vertical="center" wrapText="1"/>
    </xf>
    <xf numFmtId="3" fontId="26" fillId="0" borderId="19" xfId="2" applyNumberFormat="1" applyFont="1" applyBorder="1" applyAlignment="1">
      <alignment vertical="center" wrapText="1"/>
    </xf>
    <xf numFmtId="3" fontId="26" fillId="0" borderId="8" xfId="2" applyNumberFormat="1" applyFont="1" applyBorder="1" applyAlignment="1">
      <alignment vertical="center" wrapText="1"/>
    </xf>
    <xf numFmtId="170" fontId="26" fillId="0" borderId="10" xfId="2" applyNumberFormat="1" applyFont="1" applyBorder="1" applyAlignment="1">
      <alignment vertical="center" wrapText="1"/>
    </xf>
    <xf numFmtId="3" fontId="30" fillId="0" borderId="10" xfId="2" applyNumberFormat="1" applyFont="1" applyBorder="1" applyAlignment="1">
      <alignment vertical="center" wrapText="1"/>
    </xf>
    <xf numFmtId="3" fontId="30" fillId="0" borderId="22" xfId="2" applyNumberFormat="1" applyFont="1" applyBorder="1" applyAlignment="1">
      <alignment vertical="center" wrapText="1"/>
    </xf>
    <xf numFmtId="166" fontId="30" fillId="0" borderId="92" xfId="2" applyNumberFormat="1" applyFont="1" applyBorder="1" applyAlignment="1">
      <alignment vertical="center" wrapText="1"/>
    </xf>
    <xf numFmtId="3" fontId="30" fillId="0" borderId="76" xfId="2" applyNumberFormat="1" applyFont="1" applyBorder="1" applyAlignment="1">
      <alignment vertical="center" wrapText="1"/>
    </xf>
    <xf numFmtId="3" fontId="30" fillId="0" borderId="44" xfId="2" applyNumberFormat="1" applyFont="1" applyBorder="1" applyAlignment="1">
      <alignment vertical="center" wrapText="1"/>
    </xf>
    <xf numFmtId="3" fontId="30" fillId="0" borderId="113" xfId="2" applyNumberFormat="1" applyFont="1" applyBorder="1"/>
    <xf numFmtId="3" fontId="27" fillId="0" borderId="17" xfId="2" applyNumberFormat="1" applyFont="1" applyBorder="1" applyAlignment="1">
      <alignment vertical="center" wrapText="1"/>
    </xf>
    <xf numFmtId="165" fontId="27" fillId="0" borderId="17" xfId="2" applyNumberFormat="1" applyFont="1" applyBorder="1" applyAlignment="1">
      <alignment vertical="center" wrapText="1"/>
    </xf>
    <xf numFmtId="165" fontId="27" fillId="0" borderId="21" xfId="2" applyNumberFormat="1" applyFont="1" applyBorder="1" applyAlignment="1">
      <alignment vertical="center" wrapText="1"/>
    </xf>
    <xf numFmtId="165" fontId="27" fillId="0" borderId="99" xfId="2" applyNumberFormat="1" applyFont="1" applyBorder="1" applyAlignment="1">
      <alignment vertical="center" wrapText="1"/>
    </xf>
    <xf numFmtId="3" fontId="27" fillId="0" borderId="21" xfId="2" applyNumberFormat="1" applyFont="1" applyBorder="1" applyAlignment="1">
      <alignment vertical="center" wrapText="1"/>
    </xf>
    <xf numFmtId="166" fontId="26" fillId="0" borderId="0" xfId="2" applyNumberFormat="1" applyFont="1" applyBorder="1" applyAlignment="1">
      <alignment vertical="center" wrapText="1"/>
    </xf>
    <xf numFmtId="1" fontId="26" fillId="0" borderId="10" xfId="2" applyNumberFormat="1" applyFont="1" applyBorder="1" applyAlignment="1">
      <alignment horizontal="center" vertical="center" wrapText="1"/>
    </xf>
    <xf numFmtId="166" fontId="30" fillId="0" borderId="19" xfId="2" applyNumberFormat="1" applyFont="1" applyBorder="1" applyAlignment="1">
      <alignment vertical="center" wrapText="1"/>
    </xf>
    <xf numFmtId="165" fontId="8" fillId="0" borderId="17" xfId="2" applyNumberFormat="1" applyFont="1" applyBorder="1" applyAlignment="1">
      <alignment vertical="center" wrapText="1"/>
    </xf>
    <xf numFmtId="0" fontId="4" fillId="0" borderId="50" xfId="2" applyFont="1" applyBorder="1" applyAlignment="1">
      <alignment horizontal="center" vertical="top"/>
    </xf>
    <xf numFmtId="166" fontId="29" fillId="0" borderId="51" xfId="2" applyNumberFormat="1" applyFont="1" applyBorder="1" applyAlignment="1">
      <alignment vertical="center"/>
    </xf>
    <xf numFmtId="166" fontId="29" fillId="0" borderId="52" xfId="2" applyNumberFormat="1" applyFont="1" applyBorder="1" applyAlignment="1">
      <alignment vertical="center"/>
    </xf>
    <xf numFmtId="166" fontId="29" fillId="0" borderId="70" xfId="2" applyNumberFormat="1" applyFont="1" applyBorder="1" applyAlignment="1">
      <alignment vertical="center"/>
    </xf>
    <xf numFmtId="0" fontId="4" fillId="0" borderId="13" xfId="2" applyFont="1" applyBorder="1" applyAlignment="1">
      <alignment horizontal="center" vertical="top"/>
    </xf>
    <xf numFmtId="0" fontId="12" fillId="0" borderId="15" xfId="2" applyFont="1" applyBorder="1" applyAlignment="1">
      <alignment vertical="center" wrapText="1"/>
    </xf>
    <xf numFmtId="166" fontId="26" fillId="0" borderId="15" xfId="2" applyNumberFormat="1" applyFont="1" applyBorder="1" applyAlignment="1">
      <alignment vertical="center" wrapText="1"/>
    </xf>
    <xf numFmtId="166" fontId="26" fillId="0" borderId="48" xfId="2" applyNumberFormat="1" applyFont="1" applyBorder="1" applyAlignment="1">
      <alignment vertical="center" wrapText="1"/>
    </xf>
    <xf numFmtId="166" fontId="30" fillId="0" borderId="48" xfId="2" applyNumberFormat="1" applyFont="1" applyBorder="1" applyAlignment="1">
      <alignment vertical="center" wrapText="1"/>
    </xf>
    <xf numFmtId="166" fontId="26" fillId="0" borderId="66" xfId="2" applyNumberFormat="1" applyFont="1" applyBorder="1" applyAlignment="1">
      <alignment vertical="center" wrapText="1"/>
    </xf>
    <xf numFmtId="0" fontId="4" fillId="0" borderId="54" xfId="2" applyFont="1" applyBorder="1" applyAlignment="1">
      <alignment horizontal="center" vertical="top"/>
    </xf>
    <xf numFmtId="166" fontId="29" fillId="0" borderId="24" xfId="2" applyNumberFormat="1" applyFont="1" applyBorder="1" applyAlignment="1">
      <alignment vertical="center"/>
    </xf>
    <xf numFmtId="166" fontId="29" fillId="0" borderId="55" xfId="2" applyNumberFormat="1" applyFont="1" applyBorder="1" applyAlignment="1">
      <alignment vertical="center"/>
    </xf>
    <xf numFmtId="166" fontId="29" fillId="0" borderId="71" xfId="2" applyNumberFormat="1" applyFont="1" applyBorder="1" applyAlignment="1">
      <alignment vertical="center"/>
    </xf>
    <xf numFmtId="3" fontId="10" fillId="0" borderId="51" xfId="2" applyNumberFormat="1" applyFont="1" applyBorder="1" applyAlignment="1">
      <alignment vertical="center"/>
    </xf>
    <xf numFmtId="3" fontId="10" fillId="0" borderId="53" xfId="2" applyNumberFormat="1" applyFont="1" applyBorder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 wrapText="1"/>
    </xf>
    <xf numFmtId="166" fontId="8" fillId="0" borderId="15" xfId="2" applyNumberFormat="1" applyFont="1" applyBorder="1" applyAlignment="1">
      <alignment vertical="center" wrapText="1"/>
    </xf>
    <xf numFmtId="166" fontId="8" fillId="0" borderId="48" xfId="2" applyNumberFormat="1" applyFont="1" applyBorder="1" applyAlignment="1">
      <alignment vertical="center" wrapText="1"/>
    </xf>
    <xf numFmtId="166" fontId="16" fillId="0" borderId="43" xfId="2" applyNumberFormat="1" applyFont="1" applyBorder="1" applyAlignment="1">
      <alignment vertical="center" wrapText="1"/>
    </xf>
    <xf numFmtId="3" fontId="10" fillId="0" borderId="24" xfId="2" applyNumberFormat="1" applyFont="1" applyBorder="1" applyAlignment="1">
      <alignment vertical="center"/>
    </xf>
    <xf numFmtId="3" fontId="10" fillId="0" borderId="55" xfId="2" applyNumberFormat="1" applyFont="1" applyBorder="1" applyAlignment="1">
      <alignment vertical="center"/>
    </xf>
    <xf numFmtId="3" fontId="10" fillId="0" borderId="56" xfId="2" applyNumberFormat="1" applyFont="1" applyBorder="1" applyAlignment="1">
      <alignment vertical="center"/>
    </xf>
    <xf numFmtId="167" fontId="1" fillId="0" borderId="10" xfId="1" applyNumberFormat="1" applyBorder="1" applyAlignment="1">
      <alignment vertical="center" wrapText="1"/>
    </xf>
    <xf numFmtId="1" fontId="4" fillId="5" borderId="10" xfId="2" applyNumberFormat="1" applyFont="1" applyFill="1" applyBorder="1" applyAlignment="1">
      <alignment horizontal="center" vertical="center" wrapText="1"/>
    </xf>
    <xf numFmtId="49" fontId="8" fillId="5" borderId="10" xfId="2" applyNumberFormat="1" applyFont="1" applyFill="1" applyBorder="1" applyAlignment="1">
      <alignment horizontal="center" vertical="center" wrapText="1"/>
    </xf>
    <xf numFmtId="1" fontId="8" fillId="5" borderId="10" xfId="2" applyNumberFormat="1" applyFont="1" applyFill="1" applyBorder="1" applyAlignment="1">
      <alignment horizontal="center" vertical="center" wrapText="1"/>
    </xf>
    <xf numFmtId="1" fontId="4" fillId="0" borderId="10" xfId="2" applyNumberFormat="1" applyFont="1" applyFill="1" applyBorder="1" applyAlignment="1">
      <alignment horizontal="center" vertical="center" wrapText="1"/>
    </xf>
    <xf numFmtId="49" fontId="8" fillId="6" borderId="10" xfId="2" applyNumberFormat="1" applyFont="1" applyFill="1" applyBorder="1" applyAlignment="1">
      <alignment horizontal="center" vertical="center" wrapText="1"/>
    </xf>
    <xf numFmtId="1" fontId="8" fillId="6" borderId="10" xfId="2" applyNumberFormat="1" applyFont="1" applyFill="1" applyBorder="1" applyAlignment="1">
      <alignment horizontal="center" vertical="center" wrapText="1"/>
    </xf>
    <xf numFmtId="0" fontId="4" fillId="0" borderId="114" xfId="2" applyFont="1" applyBorder="1" applyAlignment="1">
      <alignment horizontal="center"/>
    </xf>
    <xf numFmtId="0" fontId="4" fillId="0" borderId="115" xfId="2" applyFont="1" applyBorder="1" applyAlignment="1">
      <alignment horizontal="center"/>
    </xf>
    <xf numFmtId="0" fontId="4" fillId="0" borderId="116" xfId="2" applyFont="1" applyBorder="1" applyAlignment="1">
      <alignment horizontal="center"/>
    </xf>
    <xf numFmtId="0" fontId="4" fillId="2" borderId="114" xfId="0" applyFont="1" applyFill="1" applyBorder="1" applyAlignment="1" applyProtection="1">
      <alignment horizontal="center"/>
      <protection hidden="1"/>
    </xf>
    <xf numFmtId="0" fontId="4" fillId="2" borderId="116" xfId="0" applyFont="1" applyFill="1" applyBorder="1" applyAlignment="1" applyProtection="1">
      <alignment horizontal="center"/>
      <protection hidden="1"/>
    </xf>
    <xf numFmtId="0" fontId="4" fillId="0" borderId="117" xfId="2" applyFont="1" applyBorder="1" applyAlignment="1">
      <alignment horizontal="center"/>
    </xf>
    <xf numFmtId="0" fontId="4" fillId="0" borderId="94" xfId="2" applyFont="1" applyBorder="1" applyAlignment="1">
      <alignment horizontal="center"/>
    </xf>
    <xf numFmtId="0" fontId="4" fillId="0" borderId="95" xfId="2" applyFont="1" applyBorder="1" applyAlignment="1">
      <alignment horizontal="center"/>
    </xf>
    <xf numFmtId="0" fontId="28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top"/>
    </xf>
    <xf numFmtId="0" fontId="28" fillId="0" borderId="0" xfId="2" applyFont="1" applyBorder="1" applyAlignment="1">
      <alignment horizontal="center" vertical="top" wrapText="1"/>
    </xf>
    <xf numFmtId="0" fontId="6" fillId="0" borderId="104" xfId="2" applyFont="1" applyBorder="1" applyAlignment="1">
      <alignment horizontal="center"/>
    </xf>
    <xf numFmtId="0" fontId="4" fillId="2" borderId="114" xfId="0" applyFont="1" applyFill="1" applyBorder="1" applyAlignment="1">
      <alignment horizontal="center"/>
    </xf>
    <xf numFmtId="0" fontId="4" fillId="2" borderId="11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17" xfId="0" applyFont="1" applyFill="1" applyBorder="1" applyAlignment="1">
      <alignment horizontal="center"/>
    </xf>
    <xf numFmtId="0" fontId="4" fillId="2" borderId="94" xfId="0" applyFont="1" applyFill="1" applyBorder="1" applyAlignment="1">
      <alignment horizontal="center"/>
    </xf>
    <xf numFmtId="0" fontId="4" fillId="2" borderId="95" xfId="0" applyFont="1" applyFill="1" applyBorder="1" applyAlignment="1">
      <alignment horizontal="center"/>
    </xf>
    <xf numFmtId="0" fontId="28" fillId="0" borderId="0" xfId="2" applyFont="1" applyBorder="1" applyAlignment="1">
      <alignment horizontal="center" wrapText="1"/>
    </xf>
    <xf numFmtId="0" fontId="6" fillId="0" borderId="118" xfId="2" applyFont="1" applyBorder="1" applyAlignment="1">
      <alignment horizontal="center"/>
    </xf>
    <xf numFmtId="0" fontId="6" fillId="0" borderId="119" xfId="2" applyFont="1" applyBorder="1" applyAlignment="1">
      <alignment horizontal="center"/>
    </xf>
    <xf numFmtId="166" fontId="8" fillId="0" borderId="20" xfId="2" applyNumberFormat="1" applyFont="1" applyBorder="1" applyAlignment="1">
      <alignment vertical="center"/>
    </xf>
    <xf numFmtId="0" fontId="5" fillId="0" borderId="72" xfId="2" applyFont="1" applyBorder="1" applyAlignment="1">
      <alignment vertical="center"/>
    </xf>
    <xf numFmtId="168" fontId="23" fillId="0" borderId="72" xfId="1" applyNumberFormat="1" applyFont="1" applyBorder="1" applyAlignment="1">
      <alignment vertical="center"/>
    </xf>
    <xf numFmtId="168" fontId="23" fillId="0" borderId="72" xfId="1" applyNumberFormat="1" applyFont="1" applyFill="1" applyBorder="1" applyAlignment="1">
      <alignment horizontal="right" vertical="center"/>
    </xf>
    <xf numFmtId="168" fontId="23" fillId="0" borderId="72" xfId="1" applyNumberFormat="1" applyFont="1" applyBorder="1" applyAlignment="1">
      <alignment horizontal="right" vertical="center"/>
    </xf>
    <xf numFmtId="169" fontId="23" fillId="0" borderId="72" xfId="1" applyNumberFormat="1" applyFont="1" applyFill="1" applyBorder="1" applyAlignment="1">
      <alignment horizontal="right" vertical="center"/>
    </xf>
    <xf numFmtId="3" fontId="10" fillId="0" borderId="18" xfId="2" applyNumberFormat="1" applyFont="1" applyFill="1" applyBorder="1" applyAlignment="1">
      <alignment vertical="center"/>
    </xf>
    <xf numFmtId="166" fontId="18" fillId="0" borderId="10" xfId="2" applyNumberFormat="1" applyFont="1" applyBorder="1" applyAlignment="1">
      <alignment vertical="center" wrapText="1"/>
    </xf>
    <xf numFmtId="0" fontId="18" fillId="0" borderId="0" xfId="2" applyFont="1" applyAlignment="1">
      <alignment vertical="center"/>
    </xf>
    <xf numFmtId="3" fontId="18" fillId="0" borderId="10" xfId="2" applyNumberFormat="1" applyFont="1" applyBorder="1" applyAlignment="1">
      <alignment vertical="center" wrapText="1"/>
    </xf>
    <xf numFmtId="166" fontId="18" fillId="0" borderId="19" xfId="2" applyNumberFormat="1" applyFont="1" applyBorder="1" applyAlignment="1">
      <alignment vertical="center" wrapText="1"/>
    </xf>
    <xf numFmtId="3" fontId="19" fillId="0" borderId="19" xfId="2" applyNumberFormat="1" applyFont="1" applyBorder="1" applyAlignment="1">
      <alignment vertical="center" wrapText="1"/>
    </xf>
    <xf numFmtId="166" fontId="18" fillId="0" borderId="8" xfId="2" applyNumberFormat="1" applyFont="1" applyBorder="1" applyAlignment="1">
      <alignment vertical="center" wrapText="1"/>
    </xf>
    <xf numFmtId="3" fontId="18" fillId="0" borderId="19" xfId="2" applyNumberFormat="1" applyFont="1" applyBorder="1" applyAlignment="1">
      <alignment vertical="center" wrapText="1"/>
    </xf>
  </cellXfs>
  <cellStyles count="3">
    <cellStyle name="Ezres" xfId="1" builtinId="3"/>
    <cellStyle name="Normál" xfId="0" builtinId="0"/>
    <cellStyle name="Normál_SajatHK2005_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5"/>
  <sheetViews>
    <sheetView tabSelected="1" topLeftCell="A26" zoomScale="75" zoomScaleNormal="75" workbookViewId="0">
      <selection activeCell="C44" sqref="C44"/>
    </sheetView>
  </sheetViews>
  <sheetFormatPr defaultRowHeight="16.5" x14ac:dyDescent="0.25"/>
  <cols>
    <col min="1" max="1" width="5.5703125" style="1" customWidth="1"/>
    <col min="2" max="2" width="10.5703125" style="1" hidden="1" customWidth="1"/>
    <col min="3" max="3" width="48.7109375" style="2" customWidth="1"/>
    <col min="4" max="4" width="15" style="2" customWidth="1"/>
    <col min="5" max="5" width="13.28515625" style="2" customWidth="1"/>
    <col min="6" max="6" width="14.7109375" style="2" customWidth="1"/>
    <col min="7" max="7" width="13.28515625" style="2" customWidth="1"/>
    <col min="8" max="8" width="15.42578125" style="2" customWidth="1"/>
    <col min="9" max="11" width="13.7109375" style="2" customWidth="1"/>
    <col min="12" max="12" width="16.7109375" style="2" customWidth="1"/>
    <col min="13" max="13" width="14.42578125" style="2" customWidth="1"/>
    <col min="14" max="14" width="13.7109375" style="2" customWidth="1"/>
    <col min="15" max="15" width="15.7109375" style="2" customWidth="1"/>
    <col min="16" max="16" width="0.85546875" style="2" customWidth="1"/>
    <col min="17" max="17" width="15.85546875" style="2" customWidth="1"/>
    <col min="18" max="20" width="13.7109375" style="2" customWidth="1"/>
    <col min="21" max="21" width="15.7109375" style="2" customWidth="1"/>
    <col min="22" max="22" width="1.85546875" style="2" customWidth="1"/>
    <col min="23" max="23" width="17.7109375" style="2" customWidth="1"/>
    <col min="24" max="29" width="9.140625" style="2"/>
    <col min="30" max="31" width="10.7109375" style="2" customWidth="1"/>
    <col min="32" max="32" width="10.28515625" style="2" customWidth="1"/>
    <col min="33" max="33" width="10" style="2" customWidth="1"/>
    <col min="34" max="34" width="10.28515625" style="2" customWidth="1"/>
    <col min="35" max="35" width="10.7109375" style="2" customWidth="1"/>
    <col min="36" max="36" width="10.5703125" style="2" customWidth="1"/>
    <col min="37" max="40" width="9.140625" style="2"/>
    <col min="41" max="41" width="11" style="2" customWidth="1"/>
    <col min="42" max="16384" width="9.140625" style="2"/>
  </cols>
  <sheetData>
    <row r="1" spans="1:35" ht="20.25" customHeight="1" x14ac:dyDescent="0.25">
      <c r="W1" s="191" t="s">
        <v>343</v>
      </c>
    </row>
    <row r="2" spans="1:35" ht="30" customHeight="1" x14ac:dyDescent="0.3">
      <c r="A2" s="686" t="s">
        <v>0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</row>
    <row r="3" spans="1:35" ht="9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5" ht="50.1" customHeight="1" x14ac:dyDescent="0.2">
      <c r="A4" s="687" t="s">
        <v>339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688"/>
      <c r="W4" s="688"/>
    </row>
    <row r="5" spans="1:35" ht="12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5" ht="17.2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 t="s">
        <v>1</v>
      </c>
    </row>
    <row r="7" spans="1:35" ht="18" customHeight="1" x14ac:dyDescent="0.25">
      <c r="A7" s="7"/>
      <c r="B7" s="8"/>
      <c r="C7" s="9"/>
      <c r="D7" s="678" t="s">
        <v>120</v>
      </c>
      <c r="E7" s="679"/>
      <c r="F7" s="680"/>
      <c r="G7" s="425"/>
      <c r="H7" s="426"/>
      <c r="I7" s="427" t="s">
        <v>4</v>
      </c>
      <c r="J7" s="681" t="s">
        <v>128</v>
      </c>
      <c r="K7" s="682"/>
      <c r="L7" s="425"/>
      <c r="M7" s="428" t="s">
        <v>129</v>
      </c>
      <c r="N7" s="429"/>
      <c r="O7" s="430" t="s">
        <v>136</v>
      </c>
      <c r="P7" s="431"/>
      <c r="Q7" s="683" t="s">
        <v>138</v>
      </c>
      <c r="R7" s="684"/>
      <c r="S7" s="684"/>
      <c r="T7" s="685"/>
      <c r="U7" s="431" t="s">
        <v>147</v>
      </c>
      <c r="V7" s="430"/>
      <c r="W7" s="10" t="s">
        <v>2</v>
      </c>
    </row>
    <row r="8" spans="1:35" x14ac:dyDescent="0.25">
      <c r="A8" s="11"/>
      <c r="B8" s="12"/>
      <c r="C8" s="13" t="s">
        <v>3</v>
      </c>
      <c r="D8" s="16" t="s">
        <v>121</v>
      </c>
      <c r="E8" s="13" t="s">
        <v>122</v>
      </c>
      <c r="F8" s="4" t="s">
        <v>123</v>
      </c>
      <c r="G8" s="17" t="s">
        <v>130</v>
      </c>
      <c r="H8" s="17" t="s">
        <v>5</v>
      </c>
      <c r="I8" s="17" t="s">
        <v>15</v>
      </c>
      <c r="J8" s="13" t="s">
        <v>6</v>
      </c>
      <c r="K8" s="13" t="s">
        <v>131</v>
      </c>
      <c r="L8" s="421" t="s">
        <v>102</v>
      </c>
      <c r="M8" s="13" t="s">
        <v>132</v>
      </c>
      <c r="N8" s="17" t="s">
        <v>4</v>
      </c>
      <c r="O8" s="422" t="s">
        <v>137</v>
      </c>
      <c r="P8" s="423"/>
      <c r="Q8" s="17" t="s">
        <v>139</v>
      </c>
      <c r="R8" s="17" t="s">
        <v>140</v>
      </c>
      <c r="S8" s="17" t="s">
        <v>233</v>
      </c>
      <c r="T8" s="17" t="s">
        <v>4</v>
      </c>
      <c r="U8" s="423" t="s">
        <v>148</v>
      </c>
      <c r="V8" s="422"/>
      <c r="W8" s="15" t="s">
        <v>7</v>
      </c>
    </row>
    <row r="9" spans="1:35" x14ac:dyDescent="0.25">
      <c r="A9" s="18" t="s">
        <v>8</v>
      </c>
      <c r="B9" s="13"/>
      <c r="C9" s="13" t="s">
        <v>9</v>
      </c>
      <c r="D9" s="17" t="s">
        <v>15</v>
      </c>
      <c r="E9" s="13" t="s">
        <v>124</v>
      </c>
      <c r="F9" s="4" t="s">
        <v>80</v>
      </c>
      <c r="G9" s="17" t="s">
        <v>10</v>
      </c>
      <c r="H9" s="13" t="s">
        <v>10</v>
      </c>
      <c r="I9" s="13" t="s">
        <v>11</v>
      </c>
      <c r="J9" s="13" t="s">
        <v>11</v>
      </c>
      <c r="K9" s="13" t="s">
        <v>80</v>
      </c>
      <c r="L9" s="308" t="s">
        <v>103</v>
      </c>
      <c r="M9" s="17" t="s">
        <v>133</v>
      </c>
      <c r="N9" s="17" t="s">
        <v>104</v>
      </c>
      <c r="O9" s="422" t="s">
        <v>10</v>
      </c>
      <c r="P9" s="423"/>
      <c r="Q9" s="17" t="s">
        <v>141</v>
      </c>
      <c r="R9" s="17" t="s">
        <v>142</v>
      </c>
      <c r="S9" s="17" t="s">
        <v>234</v>
      </c>
      <c r="T9" s="17" t="s">
        <v>190</v>
      </c>
      <c r="U9" s="423" t="s">
        <v>10</v>
      </c>
      <c r="V9" s="422"/>
      <c r="W9" s="15" t="s">
        <v>12</v>
      </c>
    </row>
    <row r="10" spans="1:35" x14ac:dyDescent="0.25">
      <c r="A10" s="11"/>
      <c r="B10" s="12"/>
      <c r="C10" s="13" t="s">
        <v>13</v>
      </c>
      <c r="D10" s="17" t="s">
        <v>125</v>
      </c>
      <c r="E10" s="13" t="s">
        <v>126</v>
      </c>
      <c r="F10" s="4" t="s">
        <v>127</v>
      </c>
      <c r="G10" s="17"/>
      <c r="H10" s="13"/>
      <c r="I10" s="13" t="s">
        <v>101</v>
      </c>
      <c r="J10" s="13" t="s">
        <v>134</v>
      </c>
      <c r="K10" s="13" t="s">
        <v>127</v>
      </c>
      <c r="L10" s="13" t="s">
        <v>10</v>
      </c>
      <c r="M10" s="17" t="s">
        <v>42</v>
      </c>
      <c r="N10" s="17" t="s">
        <v>135</v>
      </c>
      <c r="O10" s="422" t="s">
        <v>12</v>
      </c>
      <c r="P10" s="423"/>
      <c r="Q10" s="17" t="s">
        <v>143</v>
      </c>
      <c r="R10" s="17" t="s">
        <v>144</v>
      </c>
      <c r="S10" s="17" t="s">
        <v>235</v>
      </c>
      <c r="T10" s="17" t="s">
        <v>191</v>
      </c>
      <c r="U10" s="423" t="s">
        <v>12</v>
      </c>
      <c r="V10" s="422"/>
      <c r="W10" s="19" t="s">
        <v>150</v>
      </c>
    </row>
    <row r="11" spans="1:35" x14ac:dyDescent="0.25">
      <c r="A11" s="11"/>
      <c r="B11" s="12"/>
      <c r="C11" s="13"/>
      <c r="D11" s="17"/>
      <c r="E11" s="13" t="s">
        <v>16</v>
      </c>
      <c r="F11" s="4" t="s">
        <v>100</v>
      </c>
      <c r="G11" s="17"/>
      <c r="H11" s="13"/>
      <c r="I11" s="13" t="s">
        <v>17</v>
      </c>
      <c r="J11" s="13" t="s">
        <v>51</v>
      </c>
      <c r="K11" s="13" t="s">
        <v>100</v>
      </c>
      <c r="L11" s="13"/>
      <c r="M11" s="20" t="s">
        <v>14</v>
      </c>
      <c r="N11" s="20" t="s">
        <v>17</v>
      </c>
      <c r="O11" s="4" t="s">
        <v>146</v>
      </c>
      <c r="P11" s="424"/>
      <c r="Q11" s="17" t="s">
        <v>16</v>
      </c>
      <c r="R11" s="20" t="s">
        <v>145</v>
      </c>
      <c r="S11" s="20" t="s">
        <v>236</v>
      </c>
      <c r="T11" s="20" t="s">
        <v>10</v>
      </c>
      <c r="U11" s="20" t="s">
        <v>149</v>
      </c>
      <c r="V11" s="4"/>
      <c r="W11" s="15"/>
    </row>
    <row r="12" spans="1:35" hidden="1" x14ac:dyDescent="0.25">
      <c r="A12" s="113"/>
      <c r="B12" s="114"/>
      <c r="C12" s="115"/>
      <c r="D12" s="16" t="s">
        <v>214</v>
      </c>
      <c r="E12" s="115" t="s">
        <v>215</v>
      </c>
      <c r="F12" s="116" t="s">
        <v>216</v>
      </c>
      <c r="G12" s="16" t="s">
        <v>217</v>
      </c>
      <c r="H12" s="115" t="s">
        <v>218</v>
      </c>
      <c r="I12" s="115" t="s">
        <v>219</v>
      </c>
      <c r="J12" s="115" t="s">
        <v>220</v>
      </c>
      <c r="K12" s="124" t="s">
        <v>221</v>
      </c>
      <c r="L12" s="115" t="s">
        <v>222</v>
      </c>
      <c r="M12" s="117" t="s">
        <v>223</v>
      </c>
      <c r="N12" s="118" t="s">
        <v>224</v>
      </c>
      <c r="O12" s="116"/>
      <c r="P12" s="20"/>
      <c r="Q12" s="16" t="s">
        <v>225</v>
      </c>
      <c r="R12" s="118" t="s">
        <v>226</v>
      </c>
      <c r="S12" s="118" t="s">
        <v>227</v>
      </c>
      <c r="T12" s="115" t="s">
        <v>228</v>
      </c>
      <c r="U12" s="16"/>
      <c r="V12" s="119"/>
      <c r="W12" s="433"/>
    </row>
    <row r="13" spans="1:35" ht="20.25" customHeight="1" x14ac:dyDescent="0.2">
      <c r="A13" s="197">
        <v>1</v>
      </c>
      <c r="B13" s="221"/>
      <c r="C13" s="221">
        <v>2</v>
      </c>
      <c r="D13" s="221">
        <v>3</v>
      </c>
      <c r="E13" s="221">
        <v>4</v>
      </c>
      <c r="F13" s="221">
        <v>5</v>
      </c>
      <c r="G13" s="221">
        <v>6</v>
      </c>
      <c r="H13" s="221">
        <v>7</v>
      </c>
      <c r="I13" s="221">
        <v>8</v>
      </c>
      <c r="J13" s="221">
        <v>9</v>
      </c>
      <c r="K13" s="221">
        <v>10</v>
      </c>
      <c r="L13" s="221">
        <v>11</v>
      </c>
      <c r="M13" s="221">
        <v>12</v>
      </c>
      <c r="N13" s="221">
        <v>13</v>
      </c>
      <c r="O13" s="221">
        <v>14</v>
      </c>
      <c r="P13" s="221"/>
      <c r="Q13" s="221">
        <v>15</v>
      </c>
      <c r="R13" s="221">
        <v>16</v>
      </c>
      <c r="S13" s="221">
        <v>17</v>
      </c>
      <c r="T13" s="221">
        <v>18</v>
      </c>
      <c r="U13" s="221">
        <v>19</v>
      </c>
      <c r="V13" s="222"/>
      <c r="W13" s="223">
        <v>20</v>
      </c>
    </row>
    <row r="14" spans="1:35" ht="22.5" customHeight="1" x14ac:dyDescent="0.25">
      <c r="A14" s="22"/>
      <c r="B14" s="23"/>
      <c r="C14" s="24" t="s">
        <v>68</v>
      </c>
      <c r="D14" s="25">
        <v>2201180.682</v>
      </c>
      <c r="E14" s="25">
        <v>0</v>
      </c>
      <c r="F14" s="25">
        <v>52185</v>
      </c>
      <c r="G14" s="25">
        <v>8490006</v>
      </c>
      <c r="H14" s="25">
        <v>2489742.318</v>
      </c>
      <c r="I14" s="158">
        <v>0</v>
      </c>
      <c r="J14" s="25">
        <v>200000</v>
      </c>
      <c r="K14" s="25">
        <v>0</v>
      </c>
      <c r="L14" s="158">
        <v>1355000</v>
      </c>
      <c r="M14" s="25">
        <v>17800</v>
      </c>
      <c r="N14" s="25">
        <v>0</v>
      </c>
      <c r="O14" s="432">
        <f>SUM(D14:N14)</f>
        <v>14805914</v>
      </c>
      <c r="P14" s="25"/>
      <c r="Q14" s="25">
        <v>650000</v>
      </c>
      <c r="R14" s="25">
        <v>1173053</v>
      </c>
      <c r="S14" s="25">
        <v>0</v>
      </c>
      <c r="T14" s="25">
        <v>0</v>
      </c>
      <c r="U14" s="432">
        <f>SUM(Q14:T14)</f>
        <v>1823053</v>
      </c>
      <c r="V14" s="157"/>
      <c r="W14" s="143">
        <f>O14+U14</f>
        <v>16628967</v>
      </c>
    </row>
    <row r="15" spans="1:35" ht="20.100000000000001" hidden="1" customHeight="1" x14ac:dyDescent="0.25">
      <c r="A15" s="160"/>
      <c r="B15" s="27" t="s">
        <v>65</v>
      </c>
      <c r="C15" s="28" t="s">
        <v>106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142"/>
      <c r="V15" s="83"/>
      <c r="W15" s="434">
        <f>O15+U15</f>
        <v>0</v>
      </c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70"/>
    </row>
    <row r="16" spans="1:35" ht="20.100000000000001" hidden="1" customHeight="1" x14ac:dyDescent="0.25">
      <c r="A16" s="160"/>
      <c r="B16" s="27"/>
      <c r="C16" s="24" t="s">
        <v>18</v>
      </c>
      <c r="D16" s="155">
        <f>SUM(D14:D15)</f>
        <v>2201180.682</v>
      </c>
      <c r="E16" s="155">
        <f t="shared" ref="E16:U16" si="0">SUM(E14:E15)</f>
        <v>0</v>
      </c>
      <c r="F16" s="155">
        <f t="shared" si="0"/>
        <v>52185</v>
      </c>
      <c r="G16" s="155">
        <f t="shared" si="0"/>
        <v>8490006</v>
      </c>
      <c r="H16" s="155">
        <f t="shared" si="0"/>
        <v>2489742.318</v>
      </c>
      <c r="I16" s="155">
        <f t="shared" si="0"/>
        <v>0</v>
      </c>
      <c r="J16" s="155">
        <f t="shared" si="0"/>
        <v>200000</v>
      </c>
      <c r="K16" s="155">
        <f t="shared" si="0"/>
        <v>0</v>
      </c>
      <c r="L16" s="155">
        <f t="shared" si="0"/>
        <v>1355000</v>
      </c>
      <c r="M16" s="155">
        <f t="shared" si="0"/>
        <v>17800</v>
      </c>
      <c r="N16" s="155">
        <f t="shared" si="0"/>
        <v>0</v>
      </c>
      <c r="O16" s="155">
        <f t="shared" si="0"/>
        <v>14805914</v>
      </c>
      <c r="P16" s="155"/>
      <c r="Q16" s="155">
        <f t="shared" si="0"/>
        <v>650000</v>
      </c>
      <c r="R16" s="155">
        <f t="shared" si="0"/>
        <v>1173053</v>
      </c>
      <c r="S16" s="155">
        <f t="shared" si="0"/>
        <v>0</v>
      </c>
      <c r="T16" s="155">
        <f t="shared" si="0"/>
        <v>0</v>
      </c>
      <c r="U16" s="155">
        <f t="shared" si="0"/>
        <v>1823053</v>
      </c>
      <c r="V16" s="446"/>
      <c r="W16" s="435">
        <f>SUM(W14:W15)</f>
        <v>16628967</v>
      </c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70"/>
    </row>
    <row r="17" spans="1:35" ht="35.1" customHeight="1" x14ac:dyDescent="0.25">
      <c r="A17" s="82">
        <v>1</v>
      </c>
      <c r="B17" s="140" t="s">
        <v>195</v>
      </c>
      <c r="C17" s="28" t="s">
        <v>241</v>
      </c>
      <c r="D17" s="623">
        <f>-200-500</f>
        <v>-700</v>
      </c>
      <c r="E17" s="623"/>
      <c r="F17" s="623"/>
      <c r="G17" s="623"/>
      <c r="H17" s="623">
        <f>700</f>
        <v>700</v>
      </c>
      <c r="I17" s="623"/>
      <c r="J17" s="624"/>
      <c r="K17" s="623"/>
      <c r="L17" s="623"/>
      <c r="M17" s="623"/>
      <c r="N17" s="623"/>
      <c r="O17" s="623">
        <f t="shared" ref="O17:O28" si="1">SUM(D17:N17)</f>
        <v>0</v>
      </c>
      <c r="P17" s="628"/>
      <c r="Q17" s="631"/>
      <c r="R17" s="631"/>
      <c r="S17" s="631"/>
      <c r="T17" s="631"/>
      <c r="U17" s="632">
        <f t="shared" ref="U17:U28" si="2">SUM(Q17:T17)</f>
        <v>0</v>
      </c>
      <c r="V17" s="633"/>
      <c r="W17" s="634">
        <f t="shared" ref="W17:W28" si="3">O17+U17</f>
        <v>0</v>
      </c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70"/>
    </row>
    <row r="18" spans="1:35" ht="35.1" customHeight="1" x14ac:dyDescent="0.25">
      <c r="A18" s="82">
        <v>2</v>
      </c>
      <c r="B18" s="140" t="s">
        <v>251</v>
      </c>
      <c r="C18" s="28" t="s">
        <v>252</v>
      </c>
      <c r="D18" s="623"/>
      <c r="E18" s="623"/>
      <c r="F18" s="623"/>
      <c r="G18" s="623"/>
      <c r="H18" s="623">
        <f>1200+324</f>
        <v>1524</v>
      </c>
      <c r="I18" s="623"/>
      <c r="J18" s="624"/>
      <c r="K18" s="623"/>
      <c r="L18" s="623"/>
      <c r="M18" s="623"/>
      <c r="N18" s="623"/>
      <c r="O18" s="623">
        <f t="shared" si="1"/>
        <v>1524</v>
      </c>
      <c r="P18" s="628"/>
      <c r="Q18" s="631"/>
      <c r="R18" s="631"/>
      <c r="S18" s="631"/>
      <c r="T18" s="631"/>
      <c r="U18" s="632">
        <f t="shared" si="2"/>
        <v>0</v>
      </c>
      <c r="V18" s="633"/>
      <c r="W18" s="634">
        <f t="shared" si="3"/>
        <v>1524</v>
      </c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70"/>
    </row>
    <row r="19" spans="1:35" ht="35.1" customHeight="1" x14ac:dyDescent="0.25">
      <c r="A19" s="82">
        <v>3</v>
      </c>
      <c r="B19" s="140" t="s">
        <v>268</v>
      </c>
      <c r="C19" s="28" t="s">
        <v>277</v>
      </c>
      <c r="D19" s="623"/>
      <c r="E19" s="623"/>
      <c r="F19" s="643"/>
      <c r="G19" s="623"/>
      <c r="H19" s="623"/>
      <c r="I19" s="623">
        <f>500</f>
        <v>500</v>
      </c>
      <c r="J19" s="624"/>
      <c r="K19" s="623"/>
      <c r="L19" s="623"/>
      <c r="M19" s="623"/>
      <c r="N19" s="623"/>
      <c r="O19" s="623">
        <f t="shared" si="1"/>
        <v>500</v>
      </c>
      <c r="P19" s="628"/>
      <c r="Q19" s="631"/>
      <c r="R19" s="631"/>
      <c r="S19" s="631"/>
      <c r="T19" s="631"/>
      <c r="U19" s="632">
        <f t="shared" si="2"/>
        <v>0</v>
      </c>
      <c r="V19" s="633"/>
      <c r="W19" s="634">
        <f t="shared" si="3"/>
        <v>500</v>
      </c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70"/>
    </row>
    <row r="20" spans="1:35" ht="35.1" customHeight="1" x14ac:dyDescent="0.25">
      <c r="A20" s="82">
        <v>4</v>
      </c>
      <c r="B20" s="140" t="s">
        <v>278</v>
      </c>
      <c r="C20" s="28" t="s">
        <v>279</v>
      </c>
      <c r="D20" s="623">
        <f>1712.309</f>
        <v>1712.309</v>
      </c>
      <c r="E20" s="623"/>
      <c r="F20" s="643"/>
      <c r="G20" s="623"/>
      <c r="H20" s="623"/>
      <c r="I20" s="623"/>
      <c r="J20" s="624"/>
      <c r="K20" s="623"/>
      <c r="L20" s="623"/>
      <c r="M20" s="623"/>
      <c r="N20" s="623"/>
      <c r="O20" s="623">
        <f t="shared" si="1"/>
        <v>1712.309</v>
      </c>
      <c r="P20" s="628"/>
      <c r="Q20" s="631"/>
      <c r="R20" s="631"/>
      <c r="S20" s="631"/>
      <c r="T20" s="631"/>
      <c r="U20" s="632">
        <f t="shared" si="2"/>
        <v>0</v>
      </c>
      <c r="V20" s="633"/>
      <c r="W20" s="634">
        <f t="shared" si="3"/>
        <v>1712.309</v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70"/>
    </row>
    <row r="21" spans="1:35" ht="35.1" customHeight="1" x14ac:dyDescent="0.25">
      <c r="A21" s="82">
        <v>5</v>
      </c>
      <c r="B21" s="140" t="s">
        <v>278</v>
      </c>
      <c r="C21" s="28" t="s">
        <v>282</v>
      </c>
      <c r="D21" s="623">
        <f>4438.98</f>
        <v>4438.9799999999996</v>
      </c>
      <c r="E21" s="623"/>
      <c r="F21" s="643"/>
      <c r="G21" s="623"/>
      <c r="H21" s="623"/>
      <c r="I21" s="623"/>
      <c r="J21" s="624"/>
      <c r="K21" s="623"/>
      <c r="L21" s="623"/>
      <c r="M21" s="623"/>
      <c r="N21" s="623"/>
      <c r="O21" s="623">
        <f t="shared" si="1"/>
        <v>4438.9799999999996</v>
      </c>
      <c r="P21" s="628"/>
      <c r="Q21" s="631"/>
      <c r="R21" s="631"/>
      <c r="S21" s="631"/>
      <c r="T21" s="631"/>
      <c r="U21" s="632">
        <f t="shared" si="2"/>
        <v>0</v>
      </c>
      <c r="V21" s="633"/>
      <c r="W21" s="634">
        <f t="shared" si="3"/>
        <v>4438.9799999999996</v>
      </c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70"/>
    </row>
    <row r="22" spans="1:35" ht="35.1" customHeight="1" x14ac:dyDescent="0.25">
      <c r="A22" s="82">
        <v>6</v>
      </c>
      <c r="B22" s="140" t="s">
        <v>278</v>
      </c>
      <c r="C22" s="28" t="s">
        <v>283</v>
      </c>
      <c r="D22" s="623">
        <v>4156.817</v>
      </c>
      <c r="E22" s="623"/>
      <c r="F22" s="643"/>
      <c r="G22" s="623"/>
      <c r="H22" s="623"/>
      <c r="I22" s="623"/>
      <c r="J22" s="624"/>
      <c r="K22" s="623"/>
      <c r="L22" s="623"/>
      <c r="M22" s="623"/>
      <c r="N22" s="623"/>
      <c r="O22" s="623">
        <f t="shared" si="1"/>
        <v>4156.817</v>
      </c>
      <c r="P22" s="628"/>
      <c r="Q22" s="631"/>
      <c r="R22" s="631"/>
      <c r="S22" s="631"/>
      <c r="T22" s="631"/>
      <c r="U22" s="632">
        <f t="shared" si="2"/>
        <v>0</v>
      </c>
      <c r="V22" s="633"/>
      <c r="W22" s="634">
        <f t="shared" si="3"/>
        <v>4156.817</v>
      </c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</row>
    <row r="23" spans="1:35" ht="35.1" customHeight="1" x14ac:dyDescent="0.25">
      <c r="A23" s="82">
        <v>7</v>
      </c>
      <c r="B23" s="140" t="s">
        <v>284</v>
      </c>
      <c r="C23" s="28" t="s">
        <v>285</v>
      </c>
      <c r="D23" s="623">
        <f>21666.502</f>
        <v>21666.502</v>
      </c>
      <c r="E23" s="623"/>
      <c r="F23" s="643"/>
      <c r="G23" s="623"/>
      <c r="H23" s="623"/>
      <c r="I23" s="623"/>
      <c r="J23" s="624"/>
      <c r="K23" s="623"/>
      <c r="M23" s="623"/>
      <c r="N23" s="623"/>
      <c r="O23" s="623">
        <f t="shared" si="1"/>
        <v>21666.502</v>
      </c>
      <c r="P23" s="628"/>
      <c r="Q23" s="631"/>
      <c r="R23" s="631"/>
      <c r="S23" s="631"/>
      <c r="T23" s="631"/>
      <c r="U23" s="632">
        <f t="shared" si="2"/>
        <v>0</v>
      </c>
      <c r="V23" s="633"/>
      <c r="W23" s="634">
        <f t="shared" si="3"/>
        <v>21666.502</v>
      </c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</row>
    <row r="24" spans="1:35" ht="35.1" customHeight="1" x14ac:dyDescent="0.25">
      <c r="A24" s="82">
        <v>8</v>
      </c>
      <c r="B24" s="621" t="s">
        <v>286</v>
      </c>
      <c r="C24" s="28" t="s">
        <v>287</v>
      </c>
      <c r="D24" s="623">
        <f>4597.889</f>
        <v>4597.8890000000001</v>
      </c>
      <c r="E24" s="623"/>
      <c r="F24" s="624"/>
      <c r="G24" s="623"/>
      <c r="H24" s="623"/>
      <c r="I24" s="623"/>
      <c r="J24" s="624"/>
      <c r="K24" s="623"/>
      <c r="L24" s="623"/>
      <c r="M24" s="623"/>
      <c r="N24" s="623"/>
      <c r="O24" s="623">
        <f t="shared" si="1"/>
        <v>4597.8890000000001</v>
      </c>
      <c r="P24" s="628"/>
      <c r="Q24" s="631"/>
      <c r="R24" s="631"/>
      <c r="S24" s="631"/>
      <c r="T24" s="631"/>
      <c r="U24" s="632">
        <f t="shared" si="2"/>
        <v>0</v>
      </c>
      <c r="V24" s="633"/>
      <c r="W24" s="634">
        <f t="shared" si="3"/>
        <v>4597.8890000000001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70"/>
    </row>
    <row r="25" spans="1:35" ht="35.1" customHeight="1" x14ac:dyDescent="0.25">
      <c r="A25" s="82">
        <v>9</v>
      </c>
      <c r="B25" s="140" t="s">
        <v>295</v>
      </c>
      <c r="C25" s="28" t="s">
        <v>294</v>
      </c>
      <c r="D25" s="623"/>
      <c r="E25" s="623"/>
      <c r="F25" s="624"/>
      <c r="G25" s="623"/>
      <c r="H25" s="623">
        <f>44</f>
        <v>44</v>
      </c>
      <c r="I25" s="623"/>
      <c r="J25" s="624"/>
      <c r="K25" s="623"/>
      <c r="L25" s="623">
        <f>162</f>
        <v>162</v>
      </c>
      <c r="M25" s="623"/>
      <c r="N25" s="623"/>
      <c r="O25" s="623">
        <f t="shared" si="1"/>
        <v>206</v>
      </c>
      <c r="P25" s="628"/>
      <c r="Q25" s="631"/>
      <c r="R25" s="631"/>
      <c r="S25" s="631"/>
      <c r="T25" s="631"/>
      <c r="U25" s="632">
        <f t="shared" si="2"/>
        <v>0</v>
      </c>
      <c r="V25" s="633"/>
      <c r="W25" s="634">
        <f t="shared" si="3"/>
        <v>206</v>
      </c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70"/>
    </row>
    <row r="26" spans="1:35" ht="35.1" customHeight="1" x14ac:dyDescent="0.25">
      <c r="A26" s="82">
        <v>10</v>
      </c>
      <c r="B26" s="621" t="s">
        <v>297</v>
      </c>
      <c r="C26" s="28" t="s">
        <v>296</v>
      </c>
      <c r="D26" s="623"/>
      <c r="E26" s="623"/>
      <c r="F26" s="624">
        <f>136+1051</f>
        <v>1187</v>
      </c>
      <c r="G26" s="623"/>
      <c r="H26" s="623"/>
      <c r="I26" s="623"/>
      <c r="J26" s="624"/>
      <c r="K26" s="623"/>
      <c r="L26" s="623"/>
      <c r="M26" s="623"/>
      <c r="N26" s="623"/>
      <c r="O26" s="623">
        <f t="shared" si="1"/>
        <v>1187</v>
      </c>
      <c r="P26" s="628"/>
      <c r="Q26" s="631"/>
      <c r="R26" s="631"/>
      <c r="S26" s="631"/>
      <c r="T26" s="631"/>
      <c r="U26" s="632">
        <f t="shared" si="2"/>
        <v>0</v>
      </c>
      <c r="V26" s="633"/>
      <c r="W26" s="634">
        <f t="shared" si="3"/>
        <v>1187</v>
      </c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</row>
    <row r="27" spans="1:35" ht="35.1" customHeight="1" x14ac:dyDescent="0.25">
      <c r="A27" s="82">
        <v>11</v>
      </c>
      <c r="B27" s="673" t="s">
        <v>299</v>
      </c>
      <c r="C27" s="28" t="s">
        <v>300</v>
      </c>
      <c r="D27" s="623"/>
      <c r="E27" s="623"/>
      <c r="F27" s="624"/>
      <c r="G27" s="623"/>
      <c r="H27" s="623"/>
      <c r="I27" s="623"/>
      <c r="J27" s="624"/>
      <c r="K27" s="623"/>
      <c r="L27" s="623"/>
      <c r="M27" s="623"/>
      <c r="N27" s="623"/>
      <c r="O27" s="623">
        <f t="shared" si="1"/>
        <v>0</v>
      </c>
      <c r="P27" s="628"/>
      <c r="Q27" s="623">
        <f>2960000+780000</f>
        <v>3740000</v>
      </c>
      <c r="R27" s="631"/>
      <c r="S27" s="631"/>
      <c r="T27" s="631"/>
      <c r="U27" s="632">
        <f t="shared" si="2"/>
        <v>3740000</v>
      </c>
      <c r="V27" s="633"/>
      <c r="W27" s="634">
        <f t="shared" si="3"/>
        <v>3740000</v>
      </c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70"/>
    </row>
    <row r="28" spans="1:35" ht="30" customHeight="1" x14ac:dyDescent="0.25">
      <c r="A28" s="82">
        <v>12</v>
      </c>
      <c r="B28" s="676" t="s">
        <v>316</v>
      </c>
      <c r="C28" s="51" t="s">
        <v>317</v>
      </c>
      <c r="D28" s="623"/>
      <c r="E28" s="623"/>
      <c r="F28" s="623"/>
      <c r="G28" s="623"/>
      <c r="H28" s="623"/>
      <c r="I28" s="623"/>
      <c r="J28" s="623"/>
      <c r="K28" s="623">
        <f>15184.594</f>
        <v>15184.593999999999</v>
      </c>
      <c r="L28" s="623"/>
      <c r="M28" s="623"/>
      <c r="N28" s="623"/>
      <c r="O28" s="623">
        <f t="shared" si="1"/>
        <v>15184.593999999999</v>
      </c>
      <c r="P28" s="628"/>
      <c r="Q28" s="631"/>
      <c r="R28" s="631"/>
      <c r="S28" s="631"/>
      <c r="T28" s="631"/>
      <c r="U28" s="632">
        <f t="shared" si="2"/>
        <v>0</v>
      </c>
      <c r="V28" s="633"/>
      <c r="W28" s="634">
        <f t="shared" si="3"/>
        <v>15184.593999999999</v>
      </c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70"/>
    </row>
    <row r="29" spans="1:35" ht="30" hidden="1" customHeight="1" x14ac:dyDescent="0.25">
      <c r="A29" s="82"/>
      <c r="B29" s="140"/>
      <c r="C29" s="28"/>
      <c r="D29" s="623"/>
      <c r="E29" s="623"/>
      <c r="F29" s="623"/>
      <c r="G29" s="623"/>
      <c r="H29" s="623"/>
      <c r="I29" s="623"/>
      <c r="J29" s="623"/>
      <c r="K29" s="623"/>
      <c r="L29" s="623"/>
      <c r="M29" s="623"/>
      <c r="N29" s="623"/>
      <c r="O29" s="623">
        <f t="shared" ref="O29:O39" si="4">SUM(D29:N29)</f>
        <v>0</v>
      </c>
      <c r="P29" s="628"/>
      <c r="Q29" s="623"/>
      <c r="R29" s="631"/>
      <c r="S29" s="631"/>
      <c r="T29" s="631"/>
      <c r="U29" s="632">
        <f t="shared" ref="U29:U39" si="5">SUM(Q29:T29)</f>
        <v>0</v>
      </c>
      <c r="V29" s="633"/>
      <c r="W29" s="634">
        <f t="shared" ref="W29:W39" si="6">O29+U29</f>
        <v>0</v>
      </c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</row>
    <row r="30" spans="1:35" ht="30" hidden="1" customHeight="1" x14ac:dyDescent="0.25">
      <c r="A30" s="82"/>
      <c r="B30" s="140"/>
      <c r="C30" s="28"/>
      <c r="D30" s="623"/>
      <c r="E30" s="623"/>
      <c r="F30" s="623"/>
      <c r="G30" s="623"/>
      <c r="H30" s="623"/>
      <c r="I30" s="623"/>
      <c r="J30" s="623"/>
      <c r="K30" s="623"/>
      <c r="L30" s="623"/>
      <c r="M30" s="623"/>
      <c r="N30" s="623"/>
      <c r="O30" s="623">
        <f t="shared" si="4"/>
        <v>0</v>
      </c>
      <c r="P30" s="628"/>
      <c r="Q30" s="631"/>
      <c r="R30" s="623"/>
      <c r="S30" s="631"/>
      <c r="T30" s="631"/>
      <c r="U30" s="632">
        <f t="shared" si="5"/>
        <v>0</v>
      </c>
      <c r="V30" s="633"/>
      <c r="W30" s="634">
        <f t="shared" si="6"/>
        <v>0</v>
      </c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</row>
    <row r="31" spans="1:35" ht="30" hidden="1" customHeight="1" x14ac:dyDescent="0.25">
      <c r="A31" s="82"/>
      <c r="B31" s="621"/>
      <c r="C31" s="28"/>
      <c r="D31" s="623"/>
      <c r="E31" s="623"/>
      <c r="F31" s="623"/>
      <c r="G31" s="623"/>
      <c r="H31" s="623"/>
      <c r="I31" s="623"/>
      <c r="J31" s="623"/>
      <c r="K31" s="623"/>
      <c r="L31" s="623"/>
      <c r="M31" s="623"/>
      <c r="N31" s="623"/>
      <c r="O31" s="623">
        <f t="shared" si="4"/>
        <v>0</v>
      </c>
      <c r="P31" s="628"/>
      <c r="Q31" s="631"/>
      <c r="R31" s="631"/>
      <c r="S31" s="631"/>
      <c r="T31" s="631"/>
      <c r="U31" s="632">
        <f t="shared" si="5"/>
        <v>0</v>
      </c>
      <c r="V31" s="633"/>
      <c r="W31" s="634">
        <f t="shared" si="6"/>
        <v>0</v>
      </c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</row>
    <row r="32" spans="1:35" ht="30" hidden="1" customHeight="1" x14ac:dyDescent="0.25">
      <c r="A32" s="82"/>
      <c r="B32" s="140"/>
      <c r="C32" s="28"/>
      <c r="D32" s="623"/>
      <c r="E32" s="623"/>
      <c r="F32" s="623"/>
      <c r="G32" s="623"/>
      <c r="H32" s="623"/>
      <c r="I32" s="623"/>
      <c r="J32" s="623"/>
      <c r="K32" s="623"/>
      <c r="L32" s="623"/>
      <c r="M32" s="623"/>
      <c r="N32" s="623"/>
      <c r="O32" s="623">
        <f t="shared" si="4"/>
        <v>0</v>
      </c>
      <c r="P32" s="628"/>
      <c r="Q32" s="631"/>
      <c r="R32" s="631"/>
      <c r="S32" s="631"/>
      <c r="T32" s="631"/>
      <c r="U32" s="632">
        <f t="shared" si="5"/>
        <v>0</v>
      </c>
      <c r="V32" s="633"/>
      <c r="W32" s="634">
        <f t="shared" si="6"/>
        <v>0</v>
      </c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</row>
    <row r="33" spans="1:35" ht="30" hidden="1" customHeight="1" x14ac:dyDescent="0.25">
      <c r="A33" s="82"/>
      <c r="B33" s="140"/>
      <c r="C33" s="28"/>
      <c r="D33" s="623"/>
      <c r="E33" s="623"/>
      <c r="F33" s="623"/>
      <c r="G33" s="623"/>
      <c r="H33" s="623"/>
      <c r="I33" s="623"/>
      <c r="J33" s="623"/>
      <c r="K33" s="623"/>
      <c r="L33" s="623"/>
      <c r="M33" s="623"/>
      <c r="N33" s="623"/>
      <c r="O33" s="623">
        <f t="shared" si="4"/>
        <v>0</v>
      </c>
      <c r="P33" s="628"/>
      <c r="Q33" s="631"/>
      <c r="R33" s="631"/>
      <c r="S33" s="631"/>
      <c r="T33" s="631"/>
      <c r="U33" s="632">
        <f t="shared" si="5"/>
        <v>0</v>
      </c>
      <c r="V33" s="633"/>
      <c r="W33" s="634">
        <f t="shared" si="6"/>
        <v>0</v>
      </c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5" ht="30" hidden="1" customHeight="1" x14ac:dyDescent="0.25">
      <c r="A34" s="82"/>
      <c r="B34" s="140"/>
      <c r="C34" s="28"/>
      <c r="D34" s="623"/>
      <c r="E34" s="623"/>
      <c r="F34" s="623"/>
      <c r="G34" s="623"/>
      <c r="H34" s="623"/>
      <c r="I34" s="623"/>
      <c r="J34" s="623"/>
      <c r="K34" s="623"/>
      <c r="L34" s="623"/>
      <c r="M34" s="623"/>
      <c r="N34" s="623"/>
      <c r="O34" s="623">
        <f>SUM(D34:N34)</f>
        <v>0</v>
      </c>
      <c r="P34" s="628"/>
      <c r="Q34" s="631"/>
      <c r="R34" s="631"/>
      <c r="S34" s="631"/>
      <c r="T34" s="631"/>
      <c r="U34" s="632">
        <f>SUM(Q34:T34)</f>
        <v>0</v>
      </c>
      <c r="V34" s="633"/>
      <c r="W34" s="634">
        <f>O34+U34</f>
        <v>0</v>
      </c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</row>
    <row r="35" spans="1:35" ht="30" hidden="1" customHeight="1" x14ac:dyDescent="0.25">
      <c r="A35" s="82"/>
      <c r="B35" s="140"/>
      <c r="C35" s="28"/>
      <c r="D35" s="623"/>
      <c r="E35" s="623"/>
      <c r="F35" s="623"/>
      <c r="G35" s="623"/>
      <c r="H35" s="623"/>
      <c r="I35" s="623"/>
      <c r="J35" s="623"/>
      <c r="K35" s="623"/>
      <c r="L35" s="623"/>
      <c r="M35" s="623"/>
      <c r="N35" s="623"/>
      <c r="O35" s="623">
        <f t="shared" si="4"/>
        <v>0</v>
      </c>
      <c r="P35" s="628"/>
      <c r="Q35" s="631"/>
      <c r="R35" s="631"/>
      <c r="S35" s="631"/>
      <c r="T35" s="631"/>
      <c r="U35" s="632">
        <f t="shared" si="5"/>
        <v>0</v>
      </c>
      <c r="V35" s="633"/>
      <c r="W35" s="634">
        <f t="shared" si="6"/>
        <v>0</v>
      </c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70"/>
    </row>
    <row r="36" spans="1:35" ht="30" hidden="1" customHeight="1" x14ac:dyDescent="0.25">
      <c r="A36" s="82"/>
      <c r="B36" s="140"/>
      <c r="C36" s="28"/>
      <c r="D36" s="623"/>
      <c r="E36" s="623"/>
      <c r="F36" s="623"/>
      <c r="G36" s="623"/>
      <c r="H36" s="623"/>
      <c r="I36" s="623"/>
      <c r="J36" s="623"/>
      <c r="K36" s="623"/>
      <c r="L36" s="623"/>
      <c r="M36" s="623"/>
      <c r="N36" s="623"/>
      <c r="O36" s="623">
        <f t="shared" si="4"/>
        <v>0</v>
      </c>
      <c r="P36" s="628"/>
      <c r="Q36" s="631"/>
      <c r="R36" s="631"/>
      <c r="S36" s="631"/>
      <c r="T36" s="631"/>
      <c r="U36" s="632">
        <f t="shared" si="5"/>
        <v>0</v>
      </c>
      <c r="V36" s="633"/>
      <c r="W36" s="634">
        <f t="shared" si="6"/>
        <v>0</v>
      </c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</row>
    <row r="37" spans="1:35" ht="30" hidden="1" customHeight="1" x14ac:dyDescent="0.25">
      <c r="A37" s="82"/>
      <c r="B37" s="140"/>
      <c r="C37" s="28"/>
      <c r="D37" s="623"/>
      <c r="E37" s="623"/>
      <c r="F37" s="623"/>
      <c r="G37" s="623"/>
      <c r="H37" s="623"/>
      <c r="I37" s="623"/>
      <c r="J37" s="623"/>
      <c r="K37" s="623"/>
      <c r="L37" s="623"/>
      <c r="M37" s="623"/>
      <c r="N37" s="623"/>
      <c r="O37" s="623">
        <f t="shared" si="4"/>
        <v>0</v>
      </c>
      <c r="P37" s="628"/>
      <c r="Q37" s="631"/>
      <c r="R37" s="631"/>
      <c r="S37" s="631"/>
      <c r="T37" s="631"/>
      <c r="U37" s="632">
        <f t="shared" si="5"/>
        <v>0</v>
      </c>
      <c r="V37" s="633"/>
      <c r="W37" s="634">
        <f t="shared" si="6"/>
        <v>0</v>
      </c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70"/>
    </row>
    <row r="38" spans="1:35" ht="30" hidden="1" customHeight="1" x14ac:dyDescent="0.25">
      <c r="A38" s="82"/>
      <c r="B38" s="140"/>
      <c r="C38" s="28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623"/>
      <c r="O38" s="623">
        <f t="shared" si="4"/>
        <v>0</v>
      </c>
      <c r="P38" s="628"/>
      <c r="Q38" s="631"/>
      <c r="R38" s="631"/>
      <c r="S38" s="631"/>
      <c r="T38" s="631"/>
      <c r="U38" s="632">
        <f t="shared" si="5"/>
        <v>0</v>
      </c>
      <c r="V38" s="633"/>
      <c r="W38" s="634">
        <f t="shared" si="6"/>
        <v>0</v>
      </c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0"/>
    </row>
    <row r="39" spans="1:35" ht="30" hidden="1" customHeight="1" x14ac:dyDescent="0.25">
      <c r="A39" s="82"/>
      <c r="B39" s="140"/>
      <c r="C39" s="28"/>
      <c r="D39" s="623"/>
      <c r="E39" s="623"/>
      <c r="F39" s="623"/>
      <c r="G39" s="623"/>
      <c r="H39" s="623"/>
      <c r="I39" s="623"/>
      <c r="J39" s="623"/>
      <c r="K39" s="623"/>
      <c r="L39" s="623"/>
      <c r="M39" s="623"/>
      <c r="N39" s="623"/>
      <c r="O39" s="623">
        <f t="shared" si="4"/>
        <v>0</v>
      </c>
      <c r="P39" s="628"/>
      <c r="Q39" s="631"/>
      <c r="R39" s="631"/>
      <c r="S39" s="631"/>
      <c r="T39" s="631"/>
      <c r="U39" s="632">
        <f t="shared" si="5"/>
        <v>0</v>
      </c>
      <c r="V39" s="633"/>
      <c r="W39" s="634">
        <f t="shared" si="6"/>
        <v>0</v>
      </c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70"/>
    </row>
    <row r="40" spans="1:35" ht="30" hidden="1" customHeight="1" x14ac:dyDescent="0.25">
      <c r="A40" s="82"/>
      <c r="B40" s="140"/>
      <c r="C40" s="39"/>
      <c r="D40" s="623"/>
      <c r="E40" s="623"/>
      <c r="F40" s="623"/>
      <c r="G40" s="623"/>
      <c r="H40" s="623"/>
      <c r="I40" s="623"/>
      <c r="J40" s="623"/>
      <c r="K40" s="623"/>
      <c r="L40" s="623"/>
      <c r="M40" s="623"/>
      <c r="N40" s="623"/>
      <c r="O40" s="623">
        <f>SUM(D40:N40)</f>
        <v>0</v>
      </c>
      <c r="P40" s="628"/>
      <c r="Q40" s="631"/>
      <c r="R40" s="631"/>
      <c r="S40" s="631"/>
      <c r="T40" s="631"/>
      <c r="U40" s="632">
        <f>SUM(Q40:T40)</f>
        <v>0</v>
      </c>
      <c r="V40" s="633"/>
      <c r="W40" s="634">
        <f>O40+U40</f>
        <v>0</v>
      </c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70"/>
    </row>
    <row r="41" spans="1:35" ht="35.1" customHeight="1" thickBot="1" x14ac:dyDescent="0.3">
      <c r="A41" s="68"/>
      <c r="B41" s="120"/>
      <c r="C41" s="28"/>
      <c r="D41" s="628"/>
      <c r="E41" s="628"/>
      <c r="F41" s="628"/>
      <c r="G41" s="628"/>
      <c r="H41" s="628"/>
      <c r="I41" s="628"/>
      <c r="J41" s="628"/>
      <c r="K41" s="628"/>
      <c r="L41" s="628"/>
      <c r="M41" s="628"/>
      <c r="N41" s="628"/>
      <c r="O41" s="623"/>
      <c r="P41" s="628"/>
      <c r="Q41" s="628"/>
      <c r="R41" s="628"/>
      <c r="S41" s="628"/>
      <c r="T41" s="628"/>
      <c r="U41" s="635"/>
      <c r="V41" s="636"/>
      <c r="W41" s="637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70"/>
    </row>
    <row r="42" spans="1:35" ht="35.1" customHeight="1" thickTop="1" thickBot="1" x14ac:dyDescent="0.3">
      <c r="A42" s="35"/>
      <c r="B42" s="36"/>
      <c r="C42" s="44" t="s">
        <v>19</v>
      </c>
      <c r="D42" s="468">
        <f t="shared" ref="D42:O42" si="7">SUM(D17:D41)</f>
        <v>35872.497000000003</v>
      </c>
      <c r="E42" s="468">
        <f t="shared" si="7"/>
        <v>0</v>
      </c>
      <c r="F42" s="468">
        <f t="shared" si="7"/>
        <v>1187</v>
      </c>
      <c r="G42" s="468">
        <f t="shared" si="7"/>
        <v>0</v>
      </c>
      <c r="H42" s="468">
        <f t="shared" si="7"/>
        <v>2268</v>
      </c>
      <c r="I42" s="468">
        <f t="shared" si="7"/>
        <v>500</v>
      </c>
      <c r="J42" s="468">
        <f t="shared" si="7"/>
        <v>0</v>
      </c>
      <c r="K42" s="468">
        <f t="shared" si="7"/>
        <v>15184.593999999999</v>
      </c>
      <c r="L42" s="468">
        <f t="shared" si="7"/>
        <v>162</v>
      </c>
      <c r="M42" s="468">
        <f t="shared" si="7"/>
        <v>0</v>
      </c>
      <c r="N42" s="468">
        <f t="shared" si="7"/>
        <v>0</v>
      </c>
      <c r="O42" s="468">
        <f t="shared" si="7"/>
        <v>55174.091</v>
      </c>
      <c r="P42" s="468"/>
      <c r="Q42" s="468">
        <f>SUM(Q17:Q41)</f>
        <v>3740000</v>
      </c>
      <c r="R42" s="468">
        <f>SUM(R17:R41)</f>
        <v>0</v>
      </c>
      <c r="S42" s="468">
        <f>SUM(S17:S41)</f>
        <v>0</v>
      </c>
      <c r="T42" s="468">
        <f>SUM(T17:T41)</f>
        <v>0</v>
      </c>
      <c r="U42" s="468">
        <f>SUM(U17:U41)</f>
        <v>3740000</v>
      </c>
      <c r="V42" s="469"/>
      <c r="W42" s="470">
        <f>SUM(W17:W41)</f>
        <v>3795174.091</v>
      </c>
    </row>
    <row r="43" spans="1:35" ht="35.1" customHeight="1" thickTop="1" thickBot="1" x14ac:dyDescent="0.3">
      <c r="A43" s="35"/>
      <c r="B43" s="36"/>
      <c r="C43" s="44" t="s">
        <v>151</v>
      </c>
      <c r="D43" s="638">
        <f t="shared" ref="D43:O43" si="8">D16+D42</f>
        <v>2237053.179</v>
      </c>
      <c r="E43" s="638">
        <f t="shared" si="8"/>
        <v>0</v>
      </c>
      <c r="F43" s="638">
        <f t="shared" si="8"/>
        <v>53372</v>
      </c>
      <c r="G43" s="638">
        <f t="shared" si="8"/>
        <v>8490006</v>
      </c>
      <c r="H43" s="638">
        <f t="shared" si="8"/>
        <v>2492010.318</v>
      </c>
      <c r="I43" s="638">
        <f t="shared" si="8"/>
        <v>500</v>
      </c>
      <c r="J43" s="638">
        <f t="shared" si="8"/>
        <v>200000</v>
      </c>
      <c r="K43" s="638">
        <f t="shared" si="8"/>
        <v>15184.593999999999</v>
      </c>
      <c r="L43" s="638">
        <f t="shared" si="8"/>
        <v>1355162</v>
      </c>
      <c r="M43" s="638">
        <f t="shared" si="8"/>
        <v>17800</v>
      </c>
      <c r="N43" s="638">
        <f t="shared" si="8"/>
        <v>0</v>
      </c>
      <c r="O43" s="639">
        <f t="shared" si="8"/>
        <v>14861088.091</v>
      </c>
      <c r="P43" s="639"/>
      <c r="Q43" s="639">
        <f>Q16+Q42</f>
        <v>4390000</v>
      </c>
      <c r="R43" s="639">
        <f>R16+R42</f>
        <v>1173053</v>
      </c>
      <c r="S43" s="639">
        <f>S16+S42</f>
        <v>0</v>
      </c>
      <c r="T43" s="639">
        <f>T16+T42</f>
        <v>0</v>
      </c>
      <c r="U43" s="639">
        <f>U16+U42</f>
        <v>5563053</v>
      </c>
      <c r="V43" s="640"/>
      <c r="W43" s="641">
        <f t="shared" ref="W43:W81" si="9">O43+U43</f>
        <v>20424141.090999998</v>
      </c>
    </row>
    <row r="44" spans="1:35" ht="35.1" customHeight="1" thickTop="1" thickBot="1" x14ac:dyDescent="0.3">
      <c r="A44" s="35"/>
      <c r="B44" s="36"/>
      <c r="C44" s="39" t="s">
        <v>231</v>
      </c>
      <c r="D44" s="638"/>
      <c r="E44" s="638"/>
      <c r="F44" s="638"/>
      <c r="G44" s="638"/>
      <c r="H44" s="638"/>
      <c r="I44" s="638"/>
      <c r="J44" s="638"/>
      <c r="K44" s="638"/>
      <c r="L44" s="638"/>
      <c r="M44" s="638"/>
      <c r="N44" s="639"/>
      <c r="O44" s="639"/>
      <c r="P44" s="639"/>
      <c r="Q44" s="639"/>
      <c r="R44" s="639">
        <v>2359751.4679999999</v>
      </c>
      <c r="S44" s="639"/>
      <c r="T44" s="639"/>
      <c r="U44" s="638">
        <f>SUM(Q44:T44)</f>
        <v>2359751.4679999999</v>
      </c>
      <c r="V44" s="642"/>
      <c r="W44" s="641">
        <f t="shared" si="9"/>
        <v>2359751.4679999999</v>
      </c>
    </row>
    <row r="45" spans="1:35" ht="35.1" customHeight="1" thickTop="1" thickBot="1" x14ac:dyDescent="0.3">
      <c r="A45" s="35"/>
      <c r="B45" s="616" t="s">
        <v>171</v>
      </c>
      <c r="C45" s="44" t="s">
        <v>232</v>
      </c>
      <c r="D45" s="638">
        <f t="shared" ref="D45:O45" si="10">D43+D44</f>
        <v>2237053.179</v>
      </c>
      <c r="E45" s="638">
        <f t="shared" si="10"/>
        <v>0</v>
      </c>
      <c r="F45" s="638">
        <f t="shared" si="10"/>
        <v>53372</v>
      </c>
      <c r="G45" s="638">
        <f t="shared" si="10"/>
        <v>8490006</v>
      </c>
      <c r="H45" s="638">
        <f t="shared" si="10"/>
        <v>2492010.318</v>
      </c>
      <c r="I45" s="638">
        <f t="shared" si="10"/>
        <v>500</v>
      </c>
      <c r="J45" s="638">
        <f t="shared" si="10"/>
        <v>200000</v>
      </c>
      <c r="K45" s="638">
        <f t="shared" si="10"/>
        <v>15184.593999999999</v>
      </c>
      <c r="L45" s="638">
        <f t="shared" si="10"/>
        <v>1355162</v>
      </c>
      <c r="M45" s="638">
        <f t="shared" si="10"/>
        <v>17800</v>
      </c>
      <c r="N45" s="638">
        <f t="shared" si="10"/>
        <v>0</v>
      </c>
      <c r="O45" s="639">
        <f t="shared" si="10"/>
        <v>14861088.091</v>
      </c>
      <c r="P45" s="639"/>
      <c r="Q45" s="639">
        <f>Q43+Q44</f>
        <v>4390000</v>
      </c>
      <c r="R45" s="639">
        <f>R43+R44</f>
        <v>3532804.4679999999</v>
      </c>
      <c r="S45" s="639">
        <f>S43+S44</f>
        <v>0</v>
      </c>
      <c r="T45" s="639">
        <f>T43+T44</f>
        <v>0</v>
      </c>
      <c r="U45" s="638">
        <f>U43+U44</f>
        <v>7922804.4680000003</v>
      </c>
      <c r="V45" s="642"/>
      <c r="W45" s="641">
        <f t="shared" si="9"/>
        <v>22783892.559</v>
      </c>
    </row>
    <row r="46" spans="1:35" ht="24.95" hidden="1" customHeight="1" thickTop="1" x14ac:dyDescent="0.25">
      <c r="A46" s="22"/>
      <c r="B46" s="23"/>
      <c r="C46" s="225" t="s">
        <v>18</v>
      </c>
      <c r="D46" s="25">
        <f t="shared" ref="D46:U46" si="11">D45</f>
        <v>2237053.179</v>
      </c>
      <c r="E46" s="25">
        <f t="shared" si="11"/>
        <v>0</v>
      </c>
      <c r="F46" s="25">
        <f t="shared" si="11"/>
        <v>53372</v>
      </c>
      <c r="G46" s="25">
        <f t="shared" si="11"/>
        <v>8490006</v>
      </c>
      <c r="H46" s="25">
        <f t="shared" si="11"/>
        <v>2492010.318</v>
      </c>
      <c r="I46" s="25">
        <f t="shared" si="11"/>
        <v>500</v>
      </c>
      <c r="J46" s="25">
        <f t="shared" si="11"/>
        <v>200000</v>
      </c>
      <c r="K46" s="25">
        <f t="shared" si="11"/>
        <v>15184.593999999999</v>
      </c>
      <c r="L46" s="25">
        <f t="shared" si="11"/>
        <v>1355162</v>
      </c>
      <c r="M46" s="25">
        <f t="shared" si="11"/>
        <v>17800</v>
      </c>
      <c r="N46" s="25">
        <f t="shared" si="11"/>
        <v>0</v>
      </c>
      <c r="O46" s="25">
        <f t="shared" si="11"/>
        <v>14861088.091</v>
      </c>
      <c r="P46" s="25"/>
      <c r="Q46" s="25">
        <f t="shared" si="11"/>
        <v>4390000</v>
      </c>
      <c r="R46" s="25">
        <f>R45</f>
        <v>3532804.4679999999</v>
      </c>
      <c r="S46" s="25">
        <f>S45</f>
        <v>0</v>
      </c>
      <c r="T46" s="25">
        <f t="shared" si="11"/>
        <v>0</v>
      </c>
      <c r="U46" s="25">
        <f t="shared" si="11"/>
        <v>7922804.4680000003</v>
      </c>
      <c r="V46" s="144"/>
      <c r="W46" s="436">
        <f t="shared" si="9"/>
        <v>22783892.559</v>
      </c>
    </row>
    <row r="47" spans="1:35" ht="24.95" hidden="1" customHeight="1" x14ac:dyDescent="0.2">
      <c r="A47" s="231">
        <v>1</v>
      </c>
      <c r="B47" s="505"/>
      <c r="C47" s="28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>
        <f t="shared" ref="O47:O80" si="12">SUM(D47:N47)</f>
        <v>0</v>
      </c>
      <c r="P47" s="174"/>
      <c r="Q47" s="174"/>
      <c r="R47" s="174"/>
      <c r="S47" s="174"/>
      <c r="T47" s="174"/>
      <c r="U47" s="174">
        <f t="shared" ref="U47:U80" si="13">SUM(Q47:T47)</f>
        <v>0</v>
      </c>
      <c r="V47" s="448"/>
      <c r="W47" s="437">
        <f t="shared" si="9"/>
        <v>0</v>
      </c>
    </row>
    <row r="48" spans="1:35" ht="24.95" hidden="1" customHeight="1" x14ac:dyDescent="0.2">
      <c r="A48" s="231">
        <v>2</v>
      </c>
      <c r="B48" s="505"/>
      <c r="C48" s="41"/>
      <c r="D48" s="174"/>
      <c r="E48" s="174"/>
      <c r="F48" s="174"/>
      <c r="H48" s="174"/>
      <c r="I48" s="174"/>
      <c r="J48" s="174"/>
      <c r="K48" s="174"/>
      <c r="L48" s="174"/>
      <c r="M48" s="174"/>
      <c r="N48" s="174"/>
      <c r="O48" s="174">
        <f t="shared" si="12"/>
        <v>0</v>
      </c>
      <c r="P48" s="174"/>
      <c r="Q48" s="174"/>
      <c r="R48" s="174"/>
      <c r="S48" s="174"/>
      <c r="T48" s="174"/>
      <c r="U48" s="174">
        <f t="shared" si="13"/>
        <v>0</v>
      </c>
      <c r="V48" s="448"/>
      <c r="W48" s="437">
        <f t="shared" si="9"/>
        <v>0</v>
      </c>
    </row>
    <row r="49" spans="1:23" ht="24.95" hidden="1" customHeight="1" x14ac:dyDescent="0.2">
      <c r="A49" s="231">
        <v>3</v>
      </c>
      <c r="B49" s="505"/>
      <c r="C49" s="41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>
        <f t="shared" si="12"/>
        <v>0</v>
      </c>
      <c r="P49" s="174"/>
      <c r="Q49" s="174"/>
      <c r="R49" s="174"/>
      <c r="S49" s="174"/>
      <c r="T49" s="174"/>
      <c r="U49" s="174">
        <f t="shared" si="13"/>
        <v>0</v>
      </c>
      <c r="V49" s="448"/>
      <c r="W49" s="437">
        <f t="shared" si="9"/>
        <v>0</v>
      </c>
    </row>
    <row r="50" spans="1:23" ht="24.95" hidden="1" customHeight="1" x14ac:dyDescent="0.2">
      <c r="A50" s="231">
        <v>4</v>
      </c>
      <c r="B50" s="505"/>
      <c r="C50" s="41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>
        <f t="shared" si="12"/>
        <v>0</v>
      </c>
      <c r="P50" s="174"/>
      <c r="Q50" s="174"/>
      <c r="R50" s="174"/>
      <c r="S50" s="174"/>
      <c r="T50" s="174"/>
      <c r="U50" s="174">
        <f t="shared" si="13"/>
        <v>0</v>
      </c>
      <c r="V50" s="448"/>
      <c r="W50" s="437">
        <f t="shared" si="9"/>
        <v>0</v>
      </c>
    </row>
    <row r="51" spans="1:23" ht="24.95" hidden="1" customHeight="1" x14ac:dyDescent="0.2">
      <c r="A51" s="231">
        <v>5</v>
      </c>
      <c r="B51" s="505"/>
      <c r="C51" s="41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>
        <f t="shared" si="12"/>
        <v>0</v>
      </c>
      <c r="P51" s="174"/>
      <c r="Q51" s="174"/>
      <c r="R51" s="174"/>
      <c r="S51" s="174"/>
      <c r="T51" s="174"/>
      <c r="U51" s="174">
        <f t="shared" si="13"/>
        <v>0</v>
      </c>
      <c r="V51" s="448"/>
      <c r="W51" s="437">
        <f t="shared" si="9"/>
        <v>0</v>
      </c>
    </row>
    <row r="52" spans="1:23" ht="24.95" hidden="1" customHeight="1" x14ac:dyDescent="0.2">
      <c r="A52" s="231">
        <v>6</v>
      </c>
      <c r="B52" s="505"/>
      <c r="C52" s="41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>
        <f t="shared" si="12"/>
        <v>0</v>
      </c>
      <c r="P52" s="174"/>
      <c r="Q52" s="174"/>
      <c r="R52" s="174"/>
      <c r="S52" s="174"/>
      <c r="T52" s="174"/>
      <c r="U52" s="174">
        <f t="shared" si="13"/>
        <v>0</v>
      </c>
      <c r="V52" s="448"/>
      <c r="W52" s="437">
        <f t="shared" si="9"/>
        <v>0</v>
      </c>
    </row>
    <row r="53" spans="1:23" ht="24.95" hidden="1" customHeight="1" x14ac:dyDescent="0.2">
      <c r="A53" s="231">
        <v>7</v>
      </c>
      <c r="B53" s="506"/>
      <c r="C53" s="41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>
        <f t="shared" si="12"/>
        <v>0</v>
      </c>
      <c r="P53" s="174"/>
      <c r="Q53" s="174"/>
      <c r="R53" s="174"/>
      <c r="S53" s="174"/>
      <c r="T53" s="174"/>
      <c r="U53" s="174">
        <f t="shared" si="13"/>
        <v>0</v>
      </c>
      <c r="V53" s="448"/>
      <c r="W53" s="437">
        <f t="shared" si="9"/>
        <v>0</v>
      </c>
    </row>
    <row r="54" spans="1:23" ht="24.95" hidden="1" customHeight="1" x14ac:dyDescent="0.2">
      <c r="A54" s="231">
        <v>8</v>
      </c>
      <c r="B54" s="512"/>
      <c r="C54" s="41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>
        <f t="shared" si="12"/>
        <v>0</v>
      </c>
      <c r="P54" s="174"/>
      <c r="Q54" s="174"/>
      <c r="R54" s="174"/>
      <c r="S54" s="174"/>
      <c r="T54" s="174"/>
      <c r="U54" s="174">
        <f t="shared" si="13"/>
        <v>0</v>
      </c>
      <c r="V54" s="448"/>
      <c r="W54" s="437">
        <f t="shared" si="9"/>
        <v>0</v>
      </c>
    </row>
    <row r="55" spans="1:23" ht="24.95" hidden="1" customHeight="1" x14ac:dyDescent="0.2">
      <c r="A55" s="40"/>
      <c r="B55" s="506"/>
      <c r="C55" s="28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>
        <f t="shared" si="12"/>
        <v>0</v>
      </c>
      <c r="P55" s="174"/>
      <c r="Q55" s="174"/>
      <c r="R55" s="174"/>
      <c r="S55" s="174"/>
      <c r="T55" s="174"/>
      <c r="U55" s="174">
        <f t="shared" si="13"/>
        <v>0</v>
      </c>
      <c r="V55" s="448"/>
      <c r="W55" s="437">
        <f t="shared" si="9"/>
        <v>0</v>
      </c>
    </row>
    <row r="56" spans="1:23" ht="24.95" hidden="1" customHeight="1" x14ac:dyDescent="0.2">
      <c r="A56" s="40"/>
      <c r="B56" s="506"/>
      <c r="C56" s="28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>
        <f t="shared" si="12"/>
        <v>0</v>
      </c>
      <c r="P56" s="174"/>
      <c r="Q56" s="174"/>
      <c r="R56" s="174"/>
      <c r="S56" s="174"/>
      <c r="T56" s="174"/>
      <c r="U56" s="174">
        <f t="shared" si="13"/>
        <v>0</v>
      </c>
      <c r="V56" s="448"/>
      <c r="W56" s="437">
        <f t="shared" si="9"/>
        <v>0</v>
      </c>
    </row>
    <row r="57" spans="1:23" ht="24.95" hidden="1" customHeight="1" x14ac:dyDescent="0.2">
      <c r="A57" s="40"/>
      <c r="B57" s="506"/>
      <c r="C57" s="28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>
        <f t="shared" si="12"/>
        <v>0</v>
      </c>
      <c r="P57" s="174"/>
      <c r="Q57" s="174"/>
      <c r="R57" s="174"/>
      <c r="S57" s="174"/>
      <c r="T57" s="174"/>
      <c r="U57" s="174">
        <f t="shared" si="13"/>
        <v>0</v>
      </c>
      <c r="V57" s="448"/>
      <c r="W57" s="437">
        <f t="shared" si="9"/>
        <v>0</v>
      </c>
    </row>
    <row r="58" spans="1:23" ht="24.95" hidden="1" customHeight="1" x14ac:dyDescent="0.2">
      <c r="A58" s="40"/>
      <c r="B58" s="507"/>
      <c r="C58" s="28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>
        <f t="shared" si="12"/>
        <v>0</v>
      </c>
      <c r="P58" s="174"/>
      <c r="Q58" s="174"/>
      <c r="R58" s="174"/>
      <c r="S58" s="174"/>
      <c r="T58" s="174"/>
      <c r="U58" s="174">
        <f t="shared" si="13"/>
        <v>0</v>
      </c>
      <c r="V58" s="448"/>
      <c r="W58" s="437">
        <f t="shared" si="9"/>
        <v>0</v>
      </c>
    </row>
    <row r="59" spans="1:23" ht="24.95" hidden="1" customHeight="1" x14ac:dyDescent="0.2">
      <c r="A59" s="40"/>
      <c r="B59" s="506"/>
      <c r="C59" s="28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>
        <f t="shared" si="12"/>
        <v>0</v>
      </c>
      <c r="P59" s="174"/>
      <c r="Q59" s="174"/>
      <c r="R59" s="174"/>
      <c r="S59" s="174"/>
      <c r="T59" s="174"/>
      <c r="U59" s="174">
        <f t="shared" si="13"/>
        <v>0</v>
      </c>
      <c r="V59" s="448"/>
      <c r="W59" s="437">
        <f t="shared" si="9"/>
        <v>0</v>
      </c>
    </row>
    <row r="60" spans="1:23" ht="24.95" hidden="1" customHeight="1" x14ac:dyDescent="0.2">
      <c r="A60" s="40"/>
      <c r="B60" s="31"/>
      <c r="C60" s="28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>
        <f t="shared" si="12"/>
        <v>0</v>
      </c>
      <c r="P60" s="174"/>
      <c r="Q60" s="174"/>
      <c r="R60" s="174"/>
      <c r="S60" s="174"/>
      <c r="T60" s="174"/>
      <c r="U60" s="174">
        <f t="shared" si="13"/>
        <v>0</v>
      </c>
      <c r="V60" s="448"/>
      <c r="W60" s="437">
        <f t="shared" si="9"/>
        <v>0</v>
      </c>
    </row>
    <row r="61" spans="1:23" ht="24.95" hidden="1" customHeight="1" x14ac:dyDescent="0.2">
      <c r="A61" s="40"/>
      <c r="B61" s="32"/>
      <c r="C61" s="28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>
        <f t="shared" si="12"/>
        <v>0</v>
      </c>
      <c r="P61" s="174"/>
      <c r="Q61" s="174"/>
      <c r="R61" s="174"/>
      <c r="S61" s="174"/>
      <c r="T61" s="174"/>
      <c r="U61" s="174">
        <f t="shared" si="13"/>
        <v>0</v>
      </c>
      <c r="V61" s="448"/>
      <c r="W61" s="437">
        <f t="shared" si="9"/>
        <v>0</v>
      </c>
    </row>
    <row r="62" spans="1:23" ht="24.95" hidden="1" customHeight="1" x14ac:dyDescent="0.2">
      <c r="A62" s="40"/>
      <c r="B62" s="32"/>
      <c r="C62" s="41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>
        <f t="shared" si="12"/>
        <v>0</v>
      </c>
      <c r="P62" s="174"/>
      <c r="Q62" s="174"/>
      <c r="R62" s="174"/>
      <c r="S62" s="174"/>
      <c r="T62" s="174"/>
      <c r="U62" s="174">
        <f t="shared" si="13"/>
        <v>0</v>
      </c>
      <c r="V62" s="448"/>
      <c r="W62" s="437">
        <f t="shared" si="9"/>
        <v>0</v>
      </c>
    </row>
    <row r="63" spans="1:23" ht="24.95" hidden="1" customHeight="1" x14ac:dyDescent="0.2">
      <c r="A63" s="40"/>
      <c r="B63" s="31"/>
      <c r="C63" s="41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>
        <f t="shared" si="12"/>
        <v>0</v>
      </c>
      <c r="P63" s="174"/>
      <c r="Q63" s="174"/>
      <c r="R63" s="174"/>
      <c r="S63" s="174"/>
      <c r="T63" s="174"/>
      <c r="U63" s="174">
        <f t="shared" si="13"/>
        <v>0</v>
      </c>
      <c r="V63" s="448"/>
      <c r="W63" s="437">
        <f t="shared" si="9"/>
        <v>0</v>
      </c>
    </row>
    <row r="64" spans="1:23" ht="24.95" hidden="1" customHeight="1" x14ac:dyDescent="0.2">
      <c r="A64" s="40"/>
      <c r="B64" s="31"/>
      <c r="C64" s="41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>
        <f t="shared" si="12"/>
        <v>0</v>
      </c>
      <c r="P64" s="174"/>
      <c r="Q64" s="174"/>
      <c r="R64" s="174"/>
      <c r="S64" s="174"/>
      <c r="T64" s="174"/>
      <c r="U64" s="174">
        <f t="shared" si="13"/>
        <v>0</v>
      </c>
      <c r="V64" s="448"/>
      <c r="W64" s="437">
        <f t="shared" si="9"/>
        <v>0</v>
      </c>
    </row>
    <row r="65" spans="1:23" ht="24.95" hidden="1" customHeight="1" x14ac:dyDescent="0.2">
      <c r="A65" s="40"/>
      <c r="B65" s="31"/>
      <c r="C65" s="127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>
        <f t="shared" si="12"/>
        <v>0</v>
      </c>
      <c r="P65" s="174"/>
      <c r="Q65" s="174"/>
      <c r="R65" s="174"/>
      <c r="S65" s="174"/>
      <c r="T65" s="174"/>
      <c r="U65" s="174">
        <f t="shared" si="13"/>
        <v>0</v>
      </c>
      <c r="V65" s="448"/>
      <c r="W65" s="437">
        <f t="shared" si="9"/>
        <v>0</v>
      </c>
    </row>
    <row r="66" spans="1:23" ht="24.95" hidden="1" customHeight="1" x14ac:dyDescent="0.2">
      <c r="A66" s="40"/>
      <c r="B66" s="31"/>
      <c r="C66" s="127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>
        <f t="shared" si="12"/>
        <v>0</v>
      </c>
      <c r="P66" s="174"/>
      <c r="Q66" s="174"/>
      <c r="R66" s="174"/>
      <c r="S66" s="174"/>
      <c r="T66" s="174"/>
      <c r="U66" s="174">
        <f t="shared" si="13"/>
        <v>0</v>
      </c>
      <c r="V66" s="448"/>
      <c r="W66" s="437">
        <f t="shared" si="9"/>
        <v>0</v>
      </c>
    </row>
    <row r="67" spans="1:23" ht="24.95" hidden="1" customHeight="1" x14ac:dyDescent="0.2">
      <c r="A67" s="40"/>
      <c r="B67" s="31"/>
      <c r="C67" s="41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>
        <f t="shared" si="12"/>
        <v>0</v>
      </c>
      <c r="P67" s="174"/>
      <c r="Q67" s="174"/>
      <c r="R67" s="174"/>
      <c r="S67" s="174"/>
      <c r="T67" s="174"/>
      <c r="U67" s="174">
        <f t="shared" si="13"/>
        <v>0</v>
      </c>
      <c r="V67" s="448"/>
      <c r="W67" s="437">
        <f t="shared" si="9"/>
        <v>0</v>
      </c>
    </row>
    <row r="68" spans="1:23" ht="24.95" hidden="1" customHeight="1" x14ac:dyDescent="0.2">
      <c r="A68" s="40"/>
      <c r="B68" s="31"/>
      <c r="C68" s="41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>
        <f t="shared" si="12"/>
        <v>0</v>
      </c>
      <c r="P68" s="174"/>
      <c r="Q68" s="174"/>
      <c r="R68" s="174"/>
      <c r="S68" s="174"/>
      <c r="T68" s="174"/>
      <c r="U68" s="174">
        <f t="shared" si="13"/>
        <v>0</v>
      </c>
      <c r="V68" s="448"/>
      <c r="W68" s="437">
        <f t="shared" si="9"/>
        <v>0</v>
      </c>
    </row>
    <row r="69" spans="1:23" ht="24.95" hidden="1" customHeight="1" x14ac:dyDescent="0.2">
      <c r="A69" s="40"/>
      <c r="B69" s="31"/>
      <c r="C69" s="41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>
        <f t="shared" si="12"/>
        <v>0</v>
      </c>
      <c r="P69" s="174"/>
      <c r="Q69" s="174"/>
      <c r="R69" s="174"/>
      <c r="S69" s="174"/>
      <c r="T69" s="174"/>
      <c r="U69" s="174">
        <f t="shared" si="13"/>
        <v>0</v>
      </c>
      <c r="V69" s="448"/>
      <c r="W69" s="437">
        <f t="shared" si="9"/>
        <v>0</v>
      </c>
    </row>
    <row r="70" spans="1:23" ht="24.95" hidden="1" customHeight="1" x14ac:dyDescent="0.2">
      <c r="A70" s="40"/>
      <c r="B70" s="31"/>
      <c r="C70" s="41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>
        <f t="shared" si="12"/>
        <v>0</v>
      </c>
      <c r="P70" s="174"/>
      <c r="Q70" s="174"/>
      <c r="R70" s="174"/>
      <c r="S70" s="174"/>
      <c r="T70" s="174"/>
      <c r="U70" s="174">
        <f t="shared" si="13"/>
        <v>0</v>
      </c>
      <c r="V70" s="448"/>
      <c r="W70" s="437">
        <f t="shared" si="9"/>
        <v>0</v>
      </c>
    </row>
    <row r="71" spans="1:23" ht="24.95" hidden="1" customHeight="1" x14ac:dyDescent="0.2">
      <c r="A71" s="40"/>
      <c r="B71" s="31"/>
      <c r="C71" s="41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>
        <f t="shared" si="12"/>
        <v>0</v>
      </c>
      <c r="P71" s="174"/>
      <c r="Q71" s="174"/>
      <c r="R71" s="174"/>
      <c r="S71" s="174"/>
      <c r="T71" s="174"/>
      <c r="U71" s="174">
        <f t="shared" si="13"/>
        <v>0</v>
      </c>
      <c r="V71" s="448"/>
      <c r="W71" s="437">
        <f t="shared" si="9"/>
        <v>0</v>
      </c>
    </row>
    <row r="72" spans="1:23" ht="24.95" hidden="1" customHeight="1" x14ac:dyDescent="0.2">
      <c r="A72" s="40"/>
      <c r="B72" s="126"/>
      <c r="C72" s="41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>
        <f t="shared" si="12"/>
        <v>0</v>
      </c>
      <c r="P72" s="174"/>
      <c r="Q72" s="174"/>
      <c r="R72" s="174"/>
      <c r="S72" s="174"/>
      <c r="T72" s="174"/>
      <c r="U72" s="174">
        <f t="shared" si="13"/>
        <v>0</v>
      </c>
      <c r="V72" s="448"/>
      <c r="W72" s="437">
        <f t="shared" si="9"/>
        <v>0</v>
      </c>
    </row>
    <row r="73" spans="1:23" ht="24.95" hidden="1" customHeight="1" x14ac:dyDescent="0.2">
      <c r="A73" s="40"/>
      <c r="B73" s="126"/>
      <c r="C73" s="41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>
        <f t="shared" si="12"/>
        <v>0</v>
      </c>
      <c r="P73" s="174"/>
      <c r="Q73" s="174"/>
      <c r="R73" s="174"/>
      <c r="S73" s="174"/>
      <c r="T73" s="174"/>
      <c r="U73" s="174">
        <f t="shared" si="13"/>
        <v>0</v>
      </c>
      <c r="V73" s="448"/>
      <c r="W73" s="437">
        <f t="shared" si="9"/>
        <v>0</v>
      </c>
    </row>
    <row r="74" spans="1:23" ht="24.95" hidden="1" customHeight="1" x14ac:dyDescent="0.2">
      <c r="A74" s="40"/>
      <c r="B74" s="126"/>
      <c r="C74" s="41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>
        <f t="shared" si="12"/>
        <v>0</v>
      </c>
      <c r="P74" s="174"/>
      <c r="Q74" s="174"/>
      <c r="R74" s="174"/>
      <c r="S74" s="174"/>
      <c r="T74" s="174"/>
      <c r="U74" s="174">
        <f t="shared" si="13"/>
        <v>0</v>
      </c>
      <c r="V74" s="448"/>
      <c r="W74" s="437">
        <f t="shared" si="9"/>
        <v>0</v>
      </c>
    </row>
    <row r="75" spans="1:23" ht="24.95" hidden="1" customHeight="1" x14ac:dyDescent="0.2">
      <c r="A75" s="40"/>
      <c r="B75" s="126"/>
      <c r="C75" s="41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>
        <f t="shared" si="12"/>
        <v>0</v>
      </c>
      <c r="P75" s="174"/>
      <c r="Q75" s="174"/>
      <c r="R75" s="174"/>
      <c r="S75" s="174"/>
      <c r="T75" s="174"/>
      <c r="U75" s="174">
        <f t="shared" si="13"/>
        <v>0</v>
      </c>
      <c r="V75" s="448"/>
      <c r="W75" s="437">
        <f t="shared" si="9"/>
        <v>0</v>
      </c>
    </row>
    <row r="76" spans="1:23" ht="24.95" hidden="1" customHeight="1" x14ac:dyDescent="0.2">
      <c r="A76" s="40"/>
      <c r="B76" s="126"/>
      <c r="C76" s="41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>
        <f t="shared" si="12"/>
        <v>0</v>
      </c>
      <c r="P76" s="174"/>
      <c r="Q76" s="174"/>
      <c r="R76" s="174"/>
      <c r="S76" s="174"/>
      <c r="T76" s="174"/>
      <c r="U76" s="174">
        <f t="shared" si="13"/>
        <v>0</v>
      </c>
      <c r="V76" s="448"/>
      <c r="W76" s="437">
        <f t="shared" si="9"/>
        <v>0</v>
      </c>
    </row>
    <row r="77" spans="1:23" ht="24.95" hidden="1" customHeight="1" x14ac:dyDescent="0.2">
      <c r="A77" s="40"/>
      <c r="B77" s="126"/>
      <c r="C77" s="41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>
        <f t="shared" si="12"/>
        <v>0</v>
      </c>
      <c r="P77" s="174"/>
      <c r="Q77" s="174"/>
      <c r="R77" s="174"/>
      <c r="S77" s="174"/>
      <c r="T77" s="174"/>
      <c r="U77" s="174">
        <f t="shared" si="13"/>
        <v>0</v>
      </c>
      <c r="V77" s="448"/>
      <c r="W77" s="437">
        <f t="shared" si="9"/>
        <v>0</v>
      </c>
    </row>
    <row r="78" spans="1:23" ht="24.95" hidden="1" customHeight="1" x14ac:dyDescent="0.2">
      <c r="A78" s="40"/>
      <c r="B78" s="126"/>
      <c r="C78" s="41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>
        <f t="shared" si="12"/>
        <v>0</v>
      </c>
      <c r="P78" s="174"/>
      <c r="Q78" s="174"/>
      <c r="R78" s="174"/>
      <c r="S78" s="174"/>
      <c r="T78" s="174"/>
      <c r="U78" s="174">
        <f t="shared" si="13"/>
        <v>0</v>
      </c>
      <c r="V78" s="448"/>
      <c r="W78" s="437">
        <f t="shared" si="9"/>
        <v>0</v>
      </c>
    </row>
    <row r="79" spans="1:23" ht="24.95" hidden="1" customHeight="1" x14ac:dyDescent="0.2">
      <c r="A79" s="40"/>
      <c r="B79" s="126"/>
      <c r="C79" s="41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>
        <f t="shared" si="12"/>
        <v>0</v>
      </c>
      <c r="P79" s="174"/>
      <c r="Q79" s="174"/>
      <c r="R79" s="174"/>
      <c r="S79" s="174"/>
      <c r="T79" s="174"/>
      <c r="U79" s="174">
        <f t="shared" si="13"/>
        <v>0</v>
      </c>
      <c r="V79" s="448"/>
      <c r="W79" s="437">
        <f t="shared" si="9"/>
        <v>0</v>
      </c>
    </row>
    <row r="80" spans="1:23" ht="24.95" hidden="1" customHeight="1" x14ac:dyDescent="0.2">
      <c r="A80" s="40"/>
      <c r="B80" s="126"/>
      <c r="C80" s="41" t="s">
        <v>69</v>
      </c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>
        <f t="shared" si="12"/>
        <v>0</v>
      </c>
      <c r="P80" s="174"/>
      <c r="Q80" s="174"/>
      <c r="R80" s="174"/>
      <c r="S80" s="174"/>
      <c r="T80" s="174"/>
      <c r="U80" s="174">
        <f t="shared" si="13"/>
        <v>0</v>
      </c>
      <c r="V80" s="448"/>
      <c r="W80" s="437">
        <f t="shared" si="9"/>
        <v>0</v>
      </c>
    </row>
    <row r="81" spans="1:23" ht="24.95" hidden="1" customHeight="1" thickBot="1" x14ac:dyDescent="0.25">
      <c r="A81" s="40"/>
      <c r="B81" s="106"/>
      <c r="C81" s="10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449"/>
      <c r="W81" s="438">
        <f t="shared" si="9"/>
        <v>0</v>
      </c>
    </row>
    <row r="82" spans="1:23" ht="24.95" hidden="1" customHeight="1" thickTop="1" thickBot="1" x14ac:dyDescent="0.25">
      <c r="A82" s="47"/>
      <c r="B82" s="111" t="s">
        <v>176</v>
      </c>
      <c r="C82" s="44" t="s">
        <v>19</v>
      </c>
      <c r="D82" s="178">
        <f t="shared" ref="D82:O82" si="14">SUM(D47:D81)</f>
        <v>0</v>
      </c>
      <c r="E82" s="211">
        <f t="shared" si="14"/>
        <v>0</v>
      </c>
      <c r="F82" s="178">
        <f t="shared" si="14"/>
        <v>0</v>
      </c>
      <c r="G82" s="178">
        <f t="shared" si="14"/>
        <v>0</v>
      </c>
      <c r="H82" s="178">
        <f t="shared" si="14"/>
        <v>0</v>
      </c>
      <c r="I82" s="178">
        <f t="shared" si="14"/>
        <v>0</v>
      </c>
      <c r="J82" s="178">
        <f t="shared" si="14"/>
        <v>0</v>
      </c>
      <c r="K82" s="178">
        <f t="shared" si="14"/>
        <v>0</v>
      </c>
      <c r="L82" s="178">
        <f t="shared" si="14"/>
        <v>0</v>
      </c>
      <c r="M82" s="178">
        <f t="shared" si="14"/>
        <v>0</v>
      </c>
      <c r="N82" s="178">
        <f t="shared" si="14"/>
        <v>0</v>
      </c>
      <c r="O82" s="178">
        <f t="shared" si="14"/>
        <v>0</v>
      </c>
      <c r="P82" s="178"/>
      <c r="Q82" s="178">
        <f>SUM(Q47:Q81)</f>
        <v>0</v>
      </c>
      <c r="R82" s="178">
        <f>SUM(R47:R81)</f>
        <v>0</v>
      </c>
      <c r="S82" s="178">
        <f>SUM(S47:S81)</f>
        <v>0</v>
      </c>
      <c r="T82" s="178">
        <f>SUM(T47:T81)</f>
        <v>0</v>
      </c>
      <c r="U82" s="178">
        <f>SUM(U47:U81)</f>
        <v>0</v>
      </c>
      <c r="V82" s="189"/>
      <c r="W82" s="439">
        <f>SUM(W47:W81)</f>
        <v>0</v>
      </c>
    </row>
    <row r="83" spans="1:23" ht="24.95" hidden="1" customHeight="1" thickTop="1" x14ac:dyDescent="0.2">
      <c r="A83" s="40"/>
      <c r="B83" s="31"/>
      <c r="C83" s="41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>
        <f t="shared" ref="O83:O93" si="15">SUM(D83:N83)</f>
        <v>0</v>
      </c>
      <c r="P83" s="174"/>
      <c r="Q83" s="174"/>
      <c r="R83" s="174"/>
      <c r="S83" s="174"/>
      <c r="T83" s="174"/>
      <c r="U83" s="174">
        <f t="shared" ref="U83:U93" si="16">SUM(Q83:T83)</f>
        <v>0</v>
      </c>
      <c r="V83" s="448"/>
      <c r="W83" s="437">
        <f t="shared" ref="W83:W92" si="17">O83+U83</f>
        <v>0</v>
      </c>
    </row>
    <row r="84" spans="1:23" ht="24.95" hidden="1" customHeight="1" x14ac:dyDescent="0.2">
      <c r="A84" s="40"/>
      <c r="B84" s="31"/>
      <c r="C84" s="41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>
        <f t="shared" si="15"/>
        <v>0</v>
      </c>
      <c r="P84" s="174"/>
      <c r="Q84" s="174"/>
      <c r="R84" s="174"/>
      <c r="S84" s="174"/>
      <c r="T84" s="174"/>
      <c r="U84" s="174">
        <f t="shared" si="16"/>
        <v>0</v>
      </c>
      <c r="V84" s="448"/>
      <c r="W84" s="437">
        <f t="shared" si="17"/>
        <v>0</v>
      </c>
    </row>
    <row r="85" spans="1:23" ht="24.95" hidden="1" customHeight="1" x14ac:dyDescent="0.2">
      <c r="A85" s="40"/>
      <c r="B85" s="32"/>
      <c r="C85" s="41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>
        <f t="shared" si="15"/>
        <v>0</v>
      </c>
      <c r="P85" s="174"/>
      <c r="Q85" s="174"/>
      <c r="R85" s="174"/>
      <c r="S85" s="174"/>
      <c r="T85" s="174"/>
      <c r="U85" s="174">
        <f t="shared" si="16"/>
        <v>0</v>
      </c>
      <c r="V85" s="448"/>
      <c r="W85" s="437">
        <f t="shared" si="17"/>
        <v>0</v>
      </c>
    </row>
    <row r="86" spans="1:23" ht="24.95" hidden="1" customHeight="1" x14ac:dyDescent="0.2">
      <c r="A86" s="40"/>
      <c r="B86" s="32"/>
      <c r="C86" s="41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>
        <f t="shared" si="15"/>
        <v>0</v>
      </c>
      <c r="P86" s="174"/>
      <c r="Q86" s="174"/>
      <c r="R86" s="174"/>
      <c r="S86" s="174"/>
      <c r="T86" s="174"/>
      <c r="U86" s="174">
        <f t="shared" si="16"/>
        <v>0</v>
      </c>
      <c r="V86" s="448"/>
      <c r="W86" s="437">
        <f t="shared" si="17"/>
        <v>0</v>
      </c>
    </row>
    <row r="87" spans="1:23" ht="24.95" hidden="1" customHeight="1" x14ac:dyDescent="0.2">
      <c r="A87" s="40"/>
      <c r="B87" s="32"/>
      <c r="C87" s="41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>
        <f t="shared" si="15"/>
        <v>0</v>
      </c>
      <c r="P87" s="174"/>
      <c r="Q87" s="174"/>
      <c r="R87" s="174"/>
      <c r="S87" s="174"/>
      <c r="T87" s="174"/>
      <c r="U87" s="174">
        <f t="shared" si="16"/>
        <v>0</v>
      </c>
      <c r="V87" s="448"/>
      <c r="W87" s="437">
        <f t="shared" si="17"/>
        <v>0</v>
      </c>
    </row>
    <row r="88" spans="1:23" ht="24.95" hidden="1" customHeight="1" x14ac:dyDescent="0.2">
      <c r="A88" s="40"/>
      <c r="B88" s="32"/>
      <c r="C88" s="41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>
        <f t="shared" si="15"/>
        <v>0</v>
      </c>
      <c r="P88" s="174"/>
      <c r="Q88" s="174"/>
      <c r="R88" s="174"/>
      <c r="S88" s="174"/>
      <c r="T88" s="174"/>
      <c r="U88" s="174">
        <f t="shared" si="16"/>
        <v>0</v>
      </c>
      <c r="V88" s="448"/>
      <c r="W88" s="437">
        <f t="shared" si="17"/>
        <v>0</v>
      </c>
    </row>
    <row r="89" spans="1:23" ht="24.95" hidden="1" customHeight="1" x14ac:dyDescent="0.2">
      <c r="A89" s="40"/>
      <c r="B89" s="32"/>
      <c r="C89" s="41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>
        <f t="shared" si="15"/>
        <v>0</v>
      </c>
      <c r="P89" s="174"/>
      <c r="Q89" s="174"/>
      <c r="R89" s="174"/>
      <c r="S89" s="174"/>
      <c r="T89" s="174"/>
      <c r="U89" s="174">
        <f t="shared" si="16"/>
        <v>0</v>
      </c>
      <c r="V89" s="448"/>
      <c r="W89" s="437">
        <f t="shared" si="17"/>
        <v>0</v>
      </c>
    </row>
    <row r="90" spans="1:23" ht="24.95" hidden="1" customHeight="1" x14ac:dyDescent="0.2">
      <c r="A90" s="40"/>
      <c r="B90" s="31"/>
      <c r="C90" s="41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>
        <f t="shared" si="15"/>
        <v>0</v>
      </c>
      <c r="P90" s="174"/>
      <c r="Q90" s="174"/>
      <c r="R90" s="174"/>
      <c r="S90" s="174"/>
      <c r="T90" s="174"/>
      <c r="U90" s="174">
        <f t="shared" si="16"/>
        <v>0</v>
      </c>
      <c r="V90" s="448"/>
      <c r="W90" s="437">
        <f t="shared" si="17"/>
        <v>0</v>
      </c>
    </row>
    <row r="91" spans="1:23" ht="24.95" hidden="1" customHeight="1" x14ac:dyDescent="0.2">
      <c r="A91" s="40"/>
      <c r="B91" s="31"/>
      <c r="C91" s="41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>
        <f t="shared" si="15"/>
        <v>0</v>
      </c>
      <c r="P91" s="174"/>
      <c r="Q91" s="174"/>
      <c r="R91" s="174"/>
      <c r="S91" s="174"/>
      <c r="T91" s="174"/>
      <c r="U91" s="174">
        <f t="shared" si="16"/>
        <v>0</v>
      </c>
      <c r="V91" s="448"/>
      <c r="W91" s="437">
        <f t="shared" si="17"/>
        <v>0</v>
      </c>
    </row>
    <row r="92" spans="1:23" ht="24.95" hidden="1" customHeight="1" x14ac:dyDescent="0.2">
      <c r="A92" s="40"/>
      <c r="B92" s="31"/>
      <c r="C92" s="41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>
        <f t="shared" si="15"/>
        <v>0</v>
      </c>
      <c r="P92" s="174"/>
      <c r="Q92" s="174"/>
      <c r="R92" s="174"/>
      <c r="S92" s="174"/>
      <c r="T92" s="174"/>
      <c r="U92" s="174">
        <f t="shared" si="16"/>
        <v>0</v>
      </c>
      <c r="V92" s="448"/>
      <c r="W92" s="437">
        <f t="shared" si="17"/>
        <v>0</v>
      </c>
    </row>
    <row r="93" spans="1:23" ht="24.95" hidden="1" customHeight="1" thickBot="1" x14ac:dyDescent="0.25">
      <c r="A93" s="40"/>
      <c r="B93" s="32"/>
      <c r="C93" s="3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>
        <f t="shared" si="15"/>
        <v>0</v>
      </c>
      <c r="P93" s="174"/>
      <c r="Q93" s="174"/>
      <c r="R93" s="174"/>
      <c r="S93" s="174"/>
      <c r="T93" s="174"/>
      <c r="U93" s="174">
        <f t="shared" si="16"/>
        <v>0</v>
      </c>
      <c r="V93" s="448"/>
      <c r="W93" s="437"/>
    </row>
    <row r="94" spans="1:23" ht="24.95" hidden="1" customHeight="1" thickTop="1" thickBot="1" x14ac:dyDescent="0.25">
      <c r="A94" s="42"/>
      <c r="B94" s="112" t="s">
        <v>63</v>
      </c>
      <c r="C94" s="44" t="s">
        <v>19</v>
      </c>
      <c r="D94" s="178">
        <f t="shared" ref="D94:Q94" si="18">SUM(D83:D86)</f>
        <v>0</v>
      </c>
      <c r="E94" s="178">
        <f t="shared" si="18"/>
        <v>0</v>
      </c>
      <c r="F94" s="178">
        <f t="shared" si="18"/>
        <v>0</v>
      </c>
      <c r="G94" s="178">
        <f t="shared" si="18"/>
        <v>0</v>
      </c>
      <c r="H94" s="178">
        <f t="shared" si="18"/>
        <v>0</v>
      </c>
      <c r="I94" s="178">
        <f t="shared" si="18"/>
        <v>0</v>
      </c>
      <c r="J94" s="178">
        <f t="shared" si="18"/>
        <v>0</v>
      </c>
      <c r="K94" s="178">
        <f t="shared" si="18"/>
        <v>0</v>
      </c>
      <c r="L94" s="178">
        <f t="shared" si="18"/>
        <v>0</v>
      </c>
      <c r="M94" s="178">
        <f t="shared" si="18"/>
        <v>0</v>
      </c>
      <c r="N94" s="178">
        <f>SUM(N83:N86)</f>
        <v>0</v>
      </c>
      <c r="O94" s="178">
        <f t="shared" si="18"/>
        <v>0</v>
      </c>
      <c r="P94" s="178"/>
      <c r="Q94" s="178">
        <f t="shared" si="18"/>
        <v>0</v>
      </c>
      <c r="R94" s="178">
        <f>SUM(R83:R86)</f>
        <v>0</v>
      </c>
      <c r="S94" s="178"/>
      <c r="T94" s="178">
        <f>SUM(T83:T86)</f>
        <v>0</v>
      </c>
      <c r="U94" s="178">
        <f>SUM(U83:U86)</f>
        <v>0</v>
      </c>
      <c r="V94" s="189"/>
      <c r="W94" s="439">
        <f>SUM(W83:W86)</f>
        <v>0</v>
      </c>
    </row>
    <row r="95" spans="1:23" ht="24.95" hidden="1" customHeight="1" thickTop="1" thickBot="1" x14ac:dyDescent="0.25">
      <c r="A95" s="42"/>
      <c r="B95" s="111" t="s">
        <v>177</v>
      </c>
      <c r="C95" s="44" t="s">
        <v>151</v>
      </c>
      <c r="D95" s="210">
        <f t="shared" ref="D95:O95" si="19">D46+D82+D94</f>
        <v>2237053.179</v>
      </c>
      <c r="E95" s="210">
        <f t="shared" si="19"/>
        <v>0</v>
      </c>
      <c r="F95" s="210">
        <f t="shared" si="19"/>
        <v>53372</v>
      </c>
      <c r="G95" s="210">
        <f t="shared" si="19"/>
        <v>8490006</v>
      </c>
      <c r="H95" s="210">
        <f t="shared" si="19"/>
        <v>2492010.318</v>
      </c>
      <c r="I95" s="210">
        <f t="shared" si="19"/>
        <v>500</v>
      </c>
      <c r="J95" s="210">
        <f t="shared" si="19"/>
        <v>200000</v>
      </c>
      <c r="K95" s="210">
        <f t="shared" si="19"/>
        <v>15184.593999999999</v>
      </c>
      <c r="L95" s="210">
        <f t="shared" si="19"/>
        <v>1355162</v>
      </c>
      <c r="M95" s="210">
        <f t="shared" si="19"/>
        <v>17800</v>
      </c>
      <c r="N95" s="210">
        <f t="shared" si="19"/>
        <v>0</v>
      </c>
      <c r="O95" s="210">
        <f t="shared" si="19"/>
        <v>14861088.091</v>
      </c>
      <c r="P95" s="210"/>
      <c r="Q95" s="210">
        <f>Q46+Q82+Q94</f>
        <v>4390000</v>
      </c>
      <c r="R95" s="210">
        <f>R46+R82+R94</f>
        <v>3532804.4679999999</v>
      </c>
      <c r="S95" s="210">
        <f>S46+S82+S94</f>
        <v>0</v>
      </c>
      <c r="T95" s="210">
        <f>T46+T82+T94</f>
        <v>0</v>
      </c>
      <c r="U95" s="210">
        <f>U46+U82+U94</f>
        <v>7922804.4680000003</v>
      </c>
      <c r="V95" s="283"/>
      <c r="W95" s="439">
        <f>W46+W82+W94</f>
        <v>22783892.559</v>
      </c>
    </row>
    <row r="96" spans="1:23" ht="24.95" hidden="1" customHeight="1" thickTop="1" x14ac:dyDescent="0.2">
      <c r="A96" s="187"/>
      <c r="B96" s="188" t="s">
        <v>179</v>
      </c>
      <c r="C96" s="226" t="s">
        <v>18</v>
      </c>
      <c r="D96" s="227">
        <f>D95</f>
        <v>2237053.179</v>
      </c>
      <c r="E96" s="227">
        <f t="shared" ref="E96:L96" si="20">E95</f>
        <v>0</v>
      </c>
      <c r="F96" s="227">
        <f t="shared" si="20"/>
        <v>53372</v>
      </c>
      <c r="G96" s="227">
        <f t="shared" si="20"/>
        <v>8490006</v>
      </c>
      <c r="H96" s="227">
        <f t="shared" si="20"/>
        <v>2492010.318</v>
      </c>
      <c r="I96" s="227">
        <f t="shared" si="20"/>
        <v>500</v>
      </c>
      <c r="J96" s="227">
        <f t="shared" si="20"/>
        <v>200000</v>
      </c>
      <c r="K96" s="227">
        <f t="shared" si="20"/>
        <v>15184.593999999999</v>
      </c>
      <c r="L96" s="227">
        <f t="shared" si="20"/>
        <v>1355162</v>
      </c>
      <c r="M96" s="227">
        <f t="shared" ref="M96:U96" si="21">M95</f>
        <v>17800</v>
      </c>
      <c r="N96" s="227">
        <f t="shared" si="21"/>
        <v>0</v>
      </c>
      <c r="O96" s="227">
        <f t="shared" si="21"/>
        <v>14861088.091</v>
      </c>
      <c r="P96" s="227"/>
      <c r="Q96" s="227">
        <f t="shared" si="21"/>
        <v>4390000</v>
      </c>
      <c r="R96" s="227">
        <f t="shared" si="21"/>
        <v>3532804.4679999999</v>
      </c>
      <c r="S96" s="227"/>
      <c r="T96" s="227">
        <f t="shared" si="21"/>
        <v>0</v>
      </c>
      <c r="U96" s="227">
        <f t="shared" si="21"/>
        <v>7922804.4680000003</v>
      </c>
      <c r="V96" s="450"/>
      <c r="W96" s="440">
        <f t="shared" ref="W96:W117" si="22">O96+U96</f>
        <v>22783892.559</v>
      </c>
    </row>
    <row r="97" spans="1:23" ht="24.95" hidden="1" customHeight="1" x14ac:dyDescent="0.2">
      <c r="A97" s="40">
        <v>1</v>
      </c>
      <c r="B97" s="120"/>
      <c r="C97" s="28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O97" s="174">
        <f t="shared" ref="O97:O117" si="23">SUM(D97:N97)</f>
        <v>0</v>
      </c>
      <c r="P97" s="174"/>
      <c r="Q97" s="174"/>
      <c r="R97" s="174"/>
      <c r="S97" s="174"/>
      <c r="T97" s="174"/>
      <c r="U97" s="174">
        <f t="shared" ref="U97:U117" si="24">SUM(Q97:T97)</f>
        <v>0</v>
      </c>
      <c r="V97" s="448"/>
      <c r="W97" s="437">
        <f t="shared" si="22"/>
        <v>0</v>
      </c>
    </row>
    <row r="98" spans="1:23" ht="24.95" hidden="1" customHeight="1" x14ac:dyDescent="0.2">
      <c r="A98" s="40">
        <v>2</v>
      </c>
      <c r="B98" s="338"/>
      <c r="C98" s="28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O98" s="174">
        <f t="shared" si="23"/>
        <v>0</v>
      </c>
      <c r="P98" s="174"/>
      <c r="Q98" s="174"/>
      <c r="R98" s="174"/>
      <c r="S98" s="174"/>
      <c r="T98" s="174"/>
      <c r="U98" s="174">
        <f t="shared" si="24"/>
        <v>0</v>
      </c>
      <c r="V98" s="448"/>
      <c r="W98" s="437">
        <f t="shared" si="22"/>
        <v>0</v>
      </c>
    </row>
    <row r="99" spans="1:23" ht="24.95" hidden="1" customHeight="1" x14ac:dyDescent="0.2">
      <c r="A99" s="40">
        <v>3</v>
      </c>
      <c r="B99" s="234"/>
      <c r="C99" s="28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O99" s="174">
        <f t="shared" si="23"/>
        <v>0</v>
      </c>
      <c r="P99" s="174"/>
      <c r="Q99" s="174"/>
      <c r="R99" s="174"/>
      <c r="S99" s="174"/>
      <c r="T99" s="174"/>
      <c r="U99" s="174">
        <f>SUM(Q99:T99)</f>
        <v>0</v>
      </c>
      <c r="V99" s="448"/>
      <c r="W99" s="437">
        <f t="shared" si="22"/>
        <v>0</v>
      </c>
    </row>
    <row r="100" spans="1:23" ht="24.95" hidden="1" customHeight="1" x14ac:dyDescent="0.2">
      <c r="A100" s="40">
        <v>4</v>
      </c>
      <c r="B100" s="30"/>
      <c r="C100" s="28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>
        <f t="shared" si="23"/>
        <v>0</v>
      </c>
      <c r="P100" s="174"/>
      <c r="Q100" s="174"/>
      <c r="R100" s="174"/>
      <c r="S100" s="174"/>
      <c r="T100" s="174"/>
      <c r="U100" s="174">
        <f t="shared" si="24"/>
        <v>0</v>
      </c>
      <c r="V100" s="448"/>
      <c r="W100" s="437">
        <f t="shared" si="22"/>
        <v>0</v>
      </c>
    </row>
    <row r="101" spans="1:23" ht="24.95" hidden="1" customHeight="1" x14ac:dyDescent="0.2">
      <c r="A101" s="40">
        <v>5</v>
      </c>
      <c r="B101" s="234"/>
      <c r="C101" s="28"/>
      <c r="D101" s="174"/>
      <c r="E101" s="174"/>
      <c r="F101" s="174"/>
      <c r="G101" s="174"/>
      <c r="H101" s="174"/>
      <c r="I101" s="174"/>
      <c r="J101" s="174"/>
      <c r="L101" s="174"/>
      <c r="M101" s="174"/>
      <c r="N101" s="174"/>
      <c r="O101" s="174">
        <f t="shared" si="23"/>
        <v>0</v>
      </c>
      <c r="P101" s="174"/>
      <c r="Q101" s="174"/>
      <c r="R101" s="174"/>
      <c r="S101" s="174"/>
      <c r="T101" s="174"/>
      <c r="U101" s="174">
        <f t="shared" si="24"/>
        <v>0</v>
      </c>
      <c r="V101" s="448"/>
      <c r="W101" s="437">
        <f t="shared" si="22"/>
        <v>0</v>
      </c>
    </row>
    <row r="102" spans="1:23" ht="24.95" hidden="1" customHeight="1" x14ac:dyDescent="0.2">
      <c r="A102" s="40">
        <v>6</v>
      </c>
      <c r="B102" s="30"/>
      <c r="C102" s="28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>
        <f t="shared" si="23"/>
        <v>0</v>
      </c>
      <c r="P102" s="174"/>
      <c r="Q102" s="174"/>
      <c r="R102" s="174"/>
      <c r="S102" s="174"/>
      <c r="T102" s="174"/>
      <c r="U102" s="174">
        <f t="shared" si="24"/>
        <v>0</v>
      </c>
      <c r="V102" s="448"/>
      <c r="W102" s="437">
        <f t="shared" si="22"/>
        <v>0</v>
      </c>
    </row>
    <row r="103" spans="1:23" ht="24.95" hidden="1" customHeight="1" x14ac:dyDescent="0.2">
      <c r="A103" s="40">
        <v>7</v>
      </c>
      <c r="B103" s="236"/>
      <c r="C103" s="33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>
        <f t="shared" si="23"/>
        <v>0</v>
      </c>
      <c r="P103" s="174"/>
      <c r="Q103" s="174"/>
      <c r="R103" s="174"/>
      <c r="S103" s="174"/>
      <c r="T103" s="174"/>
      <c r="U103" s="174">
        <f t="shared" si="24"/>
        <v>0</v>
      </c>
      <c r="V103" s="448"/>
      <c r="W103" s="437">
        <f t="shared" si="22"/>
        <v>0</v>
      </c>
    </row>
    <row r="104" spans="1:23" ht="24.95" hidden="1" customHeight="1" x14ac:dyDescent="0.2">
      <c r="A104" s="40">
        <v>8</v>
      </c>
      <c r="B104" s="236"/>
      <c r="C104" s="3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>
        <f t="shared" si="23"/>
        <v>0</v>
      </c>
      <c r="P104" s="174"/>
      <c r="Q104" s="174"/>
      <c r="R104" s="174"/>
      <c r="S104" s="174"/>
      <c r="T104" s="174"/>
      <c r="U104" s="174">
        <f t="shared" si="24"/>
        <v>0</v>
      </c>
      <c r="V104" s="448"/>
      <c r="W104" s="437">
        <f t="shared" si="22"/>
        <v>0</v>
      </c>
    </row>
    <row r="105" spans="1:23" ht="24.95" hidden="1" customHeight="1" x14ac:dyDescent="0.2">
      <c r="A105" s="40">
        <v>9</v>
      </c>
      <c r="B105" s="31"/>
      <c r="C105" s="41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>
        <f t="shared" si="23"/>
        <v>0</v>
      </c>
      <c r="P105" s="174"/>
      <c r="Q105" s="174"/>
      <c r="R105" s="174"/>
      <c r="S105" s="174"/>
      <c r="T105" s="174"/>
      <c r="U105" s="174">
        <f t="shared" si="24"/>
        <v>0</v>
      </c>
      <c r="V105" s="448"/>
      <c r="W105" s="437">
        <f t="shared" si="22"/>
        <v>0</v>
      </c>
    </row>
    <row r="106" spans="1:23" ht="24.95" hidden="1" customHeight="1" x14ac:dyDescent="0.2">
      <c r="A106" s="40">
        <v>10</v>
      </c>
      <c r="B106" s="233"/>
      <c r="C106" s="41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>
        <f>SUM(D106:N106)</f>
        <v>0</v>
      </c>
      <c r="P106" s="174"/>
      <c r="Q106" s="174"/>
      <c r="R106" s="174"/>
      <c r="S106" s="174"/>
      <c r="T106" s="174"/>
      <c r="U106" s="174">
        <f>SUM(Q106:T106)</f>
        <v>0</v>
      </c>
      <c r="V106" s="448"/>
      <c r="W106" s="437">
        <f>O106+U106</f>
        <v>0</v>
      </c>
    </row>
    <row r="107" spans="1:23" ht="24.95" hidden="1" customHeight="1" x14ac:dyDescent="0.2">
      <c r="A107" s="40">
        <v>11</v>
      </c>
      <c r="B107" s="233"/>
      <c r="C107" s="41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>
        <f t="shared" si="23"/>
        <v>0</v>
      </c>
      <c r="P107" s="174"/>
      <c r="Q107" s="174"/>
      <c r="R107" s="174"/>
      <c r="S107" s="174"/>
      <c r="T107" s="174"/>
      <c r="U107" s="174">
        <f t="shared" si="24"/>
        <v>0</v>
      </c>
      <c r="V107" s="448"/>
      <c r="W107" s="437">
        <f t="shared" si="22"/>
        <v>0</v>
      </c>
    </row>
    <row r="108" spans="1:23" ht="24.95" hidden="1" customHeight="1" x14ac:dyDescent="0.2">
      <c r="A108" s="40">
        <v>12</v>
      </c>
      <c r="B108" s="233"/>
      <c r="C108" s="41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>
        <f t="shared" si="23"/>
        <v>0</v>
      </c>
      <c r="P108" s="174"/>
      <c r="Q108" s="174"/>
      <c r="R108" s="174"/>
      <c r="S108" s="174"/>
      <c r="T108" s="174"/>
      <c r="U108" s="174">
        <f t="shared" si="24"/>
        <v>0</v>
      </c>
      <c r="V108" s="448"/>
      <c r="W108" s="437">
        <f t="shared" si="22"/>
        <v>0</v>
      </c>
    </row>
    <row r="109" spans="1:23" ht="24.95" hidden="1" customHeight="1" x14ac:dyDescent="0.2">
      <c r="A109" s="40">
        <v>13</v>
      </c>
      <c r="B109" s="233"/>
      <c r="C109" s="41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>
        <f t="shared" si="23"/>
        <v>0</v>
      </c>
      <c r="P109" s="174"/>
      <c r="Q109" s="174"/>
      <c r="R109" s="174"/>
      <c r="S109" s="174"/>
      <c r="T109" s="174"/>
      <c r="U109" s="174">
        <f t="shared" si="24"/>
        <v>0</v>
      </c>
      <c r="V109" s="448"/>
      <c r="W109" s="437">
        <f t="shared" si="22"/>
        <v>0</v>
      </c>
    </row>
    <row r="110" spans="1:23" ht="24.95" hidden="1" customHeight="1" x14ac:dyDescent="0.2">
      <c r="A110" s="40">
        <v>14</v>
      </c>
      <c r="B110" s="31"/>
      <c r="C110" s="41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>
        <f t="shared" si="23"/>
        <v>0</v>
      </c>
      <c r="P110" s="174"/>
      <c r="Q110" s="174"/>
      <c r="R110" s="174"/>
      <c r="S110" s="174"/>
      <c r="T110" s="174"/>
      <c r="U110" s="174">
        <f t="shared" si="24"/>
        <v>0</v>
      </c>
      <c r="V110" s="448"/>
      <c r="W110" s="437">
        <f t="shared" si="22"/>
        <v>0</v>
      </c>
    </row>
    <row r="111" spans="1:23" ht="24.95" hidden="1" customHeight="1" x14ac:dyDescent="0.2">
      <c r="A111" s="40">
        <v>15</v>
      </c>
      <c r="B111" s="234"/>
      <c r="C111" s="41"/>
      <c r="D111" s="174"/>
      <c r="E111" s="174"/>
      <c r="G111" s="174"/>
      <c r="H111" s="174"/>
      <c r="I111" s="174"/>
      <c r="J111" s="174"/>
      <c r="K111" s="174"/>
      <c r="L111" s="174"/>
      <c r="M111" s="174"/>
      <c r="N111" s="174"/>
      <c r="O111" s="174">
        <f>SUM(D111:N111)</f>
        <v>0</v>
      </c>
      <c r="P111" s="174"/>
      <c r="Q111" s="174"/>
      <c r="R111" s="174"/>
      <c r="S111" s="174"/>
      <c r="T111" s="174"/>
      <c r="U111" s="174">
        <f t="shared" si="24"/>
        <v>0</v>
      </c>
      <c r="V111" s="448"/>
      <c r="W111" s="437">
        <f t="shared" si="22"/>
        <v>0</v>
      </c>
    </row>
    <row r="112" spans="1:23" ht="24.95" hidden="1" customHeight="1" x14ac:dyDescent="0.2">
      <c r="A112" s="40">
        <v>16</v>
      </c>
      <c r="B112" s="45"/>
      <c r="C112" s="33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>
        <f t="shared" si="23"/>
        <v>0</v>
      </c>
      <c r="P112" s="174"/>
      <c r="Q112" s="174"/>
      <c r="R112" s="174"/>
      <c r="S112" s="174"/>
      <c r="T112" s="174"/>
      <c r="U112" s="174">
        <f t="shared" si="24"/>
        <v>0</v>
      </c>
      <c r="V112" s="448"/>
      <c r="W112" s="437">
        <f t="shared" si="22"/>
        <v>0</v>
      </c>
    </row>
    <row r="113" spans="1:24" ht="24.95" hidden="1" customHeight="1" x14ac:dyDescent="0.2">
      <c r="A113" s="40">
        <v>17</v>
      </c>
      <c r="B113" s="126"/>
      <c r="C113" s="41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>
        <f t="shared" si="23"/>
        <v>0</v>
      </c>
      <c r="P113" s="174"/>
      <c r="Q113" s="174"/>
      <c r="R113" s="174"/>
      <c r="S113" s="174"/>
      <c r="T113" s="174"/>
      <c r="U113" s="174">
        <f t="shared" si="24"/>
        <v>0</v>
      </c>
      <c r="V113" s="448"/>
      <c r="W113" s="437">
        <f t="shared" si="22"/>
        <v>0</v>
      </c>
    </row>
    <row r="114" spans="1:24" ht="24.95" hidden="1" customHeight="1" x14ac:dyDescent="0.2">
      <c r="A114" s="40">
        <v>18</v>
      </c>
      <c r="B114" s="186"/>
      <c r="C114" s="41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>
        <f t="shared" si="23"/>
        <v>0</v>
      </c>
      <c r="P114" s="174"/>
      <c r="Q114" s="174"/>
      <c r="R114" s="174"/>
      <c r="S114" s="174"/>
      <c r="T114" s="174"/>
      <c r="U114" s="174">
        <f t="shared" si="24"/>
        <v>0</v>
      </c>
      <c r="V114" s="448"/>
      <c r="W114" s="437">
        <f t="shared" si="22"/>
        <v>0</v>
      </c>
    </row>
    <row r="115" spans="1:24" ht="24.95" hidden="1" customHeight="1" x14ac:dyDescent="0.2">
      <c r="A115" s="40">
        <v>19</v>
      </c>
      <c r="B115" s="186"/>
      <c r="C115" s="41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>
        <f t="shared" si="23"/>
        <v>0</v>
      </c>
      <c r="P115" s="174"/>
      <c r="Q115" s="174"/>
      <c r="R115" s="174"/>
      <c r="S115" s="174"/>
      <c r="T115" s="174"/>
      <c r="U115" s="174">
        <f t="shared" si="24"/>
        <v>0</v>
      </c>
      <c r="V115" s="448"/>
      <c r="W115" s="437">
        <f t="shared" si="22"/>
        <v>0</v>
      </c>
    </row>
    <row r="116" spans="1:24" ht="24.95" hidden="1" customHeight="1" x14ac:dyDescent="0.2">
      <c r="A116" s="40">
        <v>20</v>
      </c>
      <c r="B116" s="186"/>
      <c r="C116" s="41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>
        <f t="shared" si="23"/>
        <v>0</v>
      </c>
      <c r="P116" s="174"/>
      <c r="Q116" s="174"/>
      <c r="R116" s="174"/>
      <c r="S116" s="174"/>
      <c r="T116" s="174"/>
      <c r="U116" s="174">
        <f t="shared" si="24"/>
        <v>0</v>
      </c>
      <c r="V116" s="448"/>
      <c r="W116" s="437">
        <f t="shared" si="22"/>
        <v>0</v>
      </c>
    </row>
    <row r="117" spans="1:24" ht="24.95" hidden="1" customHeight="1" x14ac:dyDescent="0.2">
      <c r="A117" s="40">
        <v>21</v>
      </c>
      <c r="B117" s="126"/>
      <c r="C117" s="41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>
        <f t="shared" si="23"/>
        <v>0</v>
      </c>
      <c r="P117" s="174"/>
      <c r="Q117" s="174"/>
      <c r="R117" s="174"/>
      <c r="S117" s="174"/>
      <c r="T117" s="174"/>
      <c r="U117" s="174">
        <f t="shared" si="24"/>
        <v>0</v>
      </c>
      <c r="V117" s="448"/>
      <c r="W117" s="437">
        <f t="shared" si="22"/>
        <v>0</v>
      </c>
    </row>
    <row r="118" spans="1:24" ht="24.95" hidden="1" customHeight="1" x14ac:dyDescent="0.2">
      <c r="A118" s="40"/>
      <c r="B118" s="126"/>
      <c r="C118" s="41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448"/>
      <c r="W118" s="437"/>
    </row>
    <row r="119" spans="1:24" ht="13.5" hidden="1" customHeight="1" thickBot="1" x14ac:dyDescent="0.25">
      <c r="A119" s="40"/>
      <c r="B119" s="32"/>
      <c r="C119" s="3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448"/>
      <c r="W119" s="437"/>
    </row>
    <row r="120" spans="1:24" ht="24.95" hidden="1" customHeight="1" thickTop="1" thickBot="1" x14ac:dyDescent="0.25">
      <c r="A120" s="46"/>
      <c r="B120" s="42" t="s">
        <v>179</v>
      </c>
      <c r="C120" s="44" t="s">
        <v>19</v>
      </c>
      <c r="D120" s="210">
        <f t="shared" ref="D120:O120" si="25">SUM(D97:D119)</f>
        <v>0</v>
      </c>
      <c r="E120" s="210">
        <f t="shared" si="25"/>
        <v>0</v>
      </c>
      <c r="F120" s="210">
        <f t="shared" si="25"/>
        <v>0</v>
      </c>
      <c r="G120" s="210">
        <f t="shared" si="25"/>
        <v>0</v>
      </c>
      <c r="H120" s="210">
        <f t="shared" si="25"/>
        <v>0</v>
      </c>
      <c r="I120" s="210">
        <f t="shared" si="25"/>
        <v>0</v>
      </c>
      <c r="J120" s="210">
        <f t="shared" si="25"/>
        <v>0</v>
      </c>
      <c r="K120" s="210">
        <f t="shared" si="25"/>
        <v>0</v>
      </c>
      <c r="L120" s="210">
        <f t="shared" si="25"/>
        <v>0</v>
      </c>
      <c r="M120" s="210">
        <f t="shared" si="25"/>
        <v>0</v>
      </c>
      <c r="N120" s="210">
        <f t="shared" si="25"/>
        <v>0</v>
      </c>
      <c r="O120" s="210">
        <f t="shared" si="25"/>
        <v>0</v>
      </c>
      <c r="P120" s="341"/>
      <c r="Q120" s="210">
        <f>SUM(Q97:Q119)</f>
        <v>0</v>
      </c>
      <c r="R120" s="210">
        <f>SUM(R97:R119)</f>
        <v>0</v>
      </c>
      <c r="S120" s="210">
        <f>SUM(S97:S119)</f>
        <v>0</v>
      </c>
      <c r="T120" s="210">
        <f>SUM(T97:T119)</f>
        <v>0</v>
      </c>
      <c r="U120" s="210">
        <f>SUM(U97:U119)</f>
        <v>0</v>
      </c>
      <c r="V120" s="451"/>
      <c r="W120" s="439">
        <f>O120+U120</f>
        <v>0</v>
      </c>
    </row>
    <row r="121" spans="1:24" ht="24.95" hidden="1" customHeight="1" thickTop="1" x14ac:dyDescent="0.2">
      <c r="A121" s="213"/>
      <c r="B121" s="228"/>
      <c r="C121" s="574"/>
      <c r="D121" s="575"/>
      <c r="E121" s="266"/>
      <c r="F121" s="266"/>
      <c r="G121" s="266"/>
      <c r="H121" s="266"/>
      <c r="I121" s="266"/>
      <c r="J121" s="266"/>
      <c r="K121" s="266"/>
      <c r="L121" s="266"/>
      <c r="M121" s="266"/>
      <c r="N121" s="266"/>
      <c r="O121" s="266"/>
      <c r="P121" s="266"/>
      <c r="Q121" s="266"/>
      <c r="R121" s="266"/>
      <c r="S121" s="266"/>
      <c r="T121" s="266"/>
      <c r="U121" s="266"/>
      <c r="V121" s="452"/>
      <c r="W121" s="441"/>
      <c r="X121" s="29"/>
    </row>
    <row r="122" spans="1:24" ht="24.95" hidden="1" customHeight="1" x14ac:dyDescent="0.2">
      <c r="A122" s="40"/>
      <c r="B122" s="48"/>
      <c r="C122" s="28" t="s">
        <v>182</v>
      </c>
      <c r="D122" s="159"/>
      <c r="E122" s="159"/>
      <c r="F122" s="159"/>
      <c r="G122" s="159"/>
      <c r="H122" s="174"/>
      <c r="I122" s="159"/>
      <c r="J122" s="159"/>
      <c r="K122" s="159"/>
      <c r="L122" s="159"/>
      <c r="M122" s="159"/>
      <c r="N122" s="159"/>
      <c r="O122" s="159">
        <f t="shared" ref="O122:O136" si="26">SUM(D122:N122)</f>
        <v>0</v>
      </c>
      <c r="P122" s="159"/>
      <c r="Q122" s="159"/>
      <c r="R122" s="159"/>
      <c r="S122" s="159"/>
      <c r="T122" s="159"/>
      <c r="U122" s="159">
        <f t="shared" ref="U122:U136" si="27">SUM(Q122:T122)</f>
        <v>0</v>
      </c>
      <c r="V122" s="453"/>
      <c r="W122" s="437">
        <f t="shared" ref="W122:W137" si="28">O122+U122</f>
        <v>0</v>
      </c>
    </row>
    <row r="123" spans="1:24" ht="24.95" hidden="1" customHeight="1" x14ac:dyDescent="0.2">
      <c r="A123" s="40"/>
      <c r="B123" s="48"/>
      <c r="C123" s="28"/>
      <c r="D123" s="159"/>
      <c r="E123" s="159"/>
      <c r="F123" s="159"/>
      <c r="G123" s="159"/>
      <c r="H123" s="174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453"/>
      <c r="W123" s="437"/>
    </row>
    <row r="124" spans="1:24" ht="24.95" hidden="1" customHeight="1" x14ac:dyDescent="0.2">
      <c r="A124" s="40"/>
      <c r="B124" s="48" t="s">
        <v>22</v>
      </c>
      <c r="C124" s="49" t="s">
        <v>23</v>
      </c>
      <c r="D124" s="366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>
        <f t="shared" si="26"/>
        <v>0</v>
      </c>
      <c r="P124" s="159"/>
      <c r="Q124" s="159"/>
      <c r="R124" s="159"/>
      <c r="S124" s="159"/>
      <c r="T124" s="159"/>
      <c r="U124" s="159">
        <f t="shared" si="27"/>
        <v>0</v>
      </c>
      <c r="V124" s="453"/>
      <c r="W124" s="437">
        <f t="shared" si="28"/>
        <v>0</v>
      </c>
    </row>
    <row r="125" spans="1:24" ht="24.95" hidden="1" customHeight="1" x14ac:dyDescent="0.2">
      <c r="A125" s="40"/>
      <c r="B125" s="48" t="s">
        <v>24</v>
      </c>
      <c r="C125" s="49" t="s">
        <v>23</v>
      </c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>
        <f t="shared" si="26"/>
        <v>0</v>
      </c>
      <c r="P125" s="159"/>
      <c r="Q125" s="159"/>
      <c r="R125" s="159"/>
      <c r="S125" s="159"/>
      <c r="T125" s="159"/>
      <c r="U125" s="159">
        <f t="shared" si="27"/>
        <v>0</v>
      </c>
      <c r="V125" s="453"/>
      <c r="W125" s="437">
        <f t="shared" si="28"/>
        <v>0</v>
      </c>
    </row>
    <row r="126" spans="1:24" ht="24.95" hidden="1" customHeight="1" x14ac:dyDescent="0.2">
      <c r="A126" s="40"/>
      <c r="B126" s="48" t="s">
        <v>26</v>
      </c>
      <c r="C126" s="49" t="s">
        <v>23</v>
      </c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>
        <f t="shared" si="26"/>
        <v>0</v>
      </c>
      <c r="P126" s="159"/>
      <c r="Q126" s="159"/>
      <c r="R126" s="159"/>
      <c r="S126" s="159"/>
      <c r="T126" s="159"/>
      <c r="U126" s="159">
        <f t="shared" si="27"/>
        <v>0</v>
      </c>
      <c r="V126" s="453"/>
      <c r="W126" s="437">
        <f t="shared" si="28"/>
        <v>0</v>
      </c>
    </row>
    <row r="127" spans="1:24" ht="24.95" hidden="1" customHeight="1" x14ac:dyDescent="0.2">
      <c r="A127" s="40"/>
      <c r="B127" s="48" t="s">
        <v>72</v>
      </c>
      <c r="C127" s="49" t="s">
        <v>23</v>
      </c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>
        <f t="shared" si="26"/>
        <v>0</v>
      </c>
      <c r="P127" s="159"/>
      <c r="Q127" s="159"/>
      <c r="R127" s="159"/>
      <c r="S127" s="159"/>
      <c r="T127" s="159"/>
      <c r="U127" s="159">
        <f t="shared" si="27"/>
        <v>0</v>
      </c>
      <c r="V127" s="453"/>
      <c r="W127" s="437">
        <f t="shared" si="28"/>
        <v>0</v>
      </c>
    </row>
    <row r="128" spans="1:24" ht="24.95" hidden="1" customHeight="1" x14ac:dyDescent="0.2">
      <c r="A128" s="40"/>
      <c r="B128" s="48" t="s">
        <v>27</v>
      </c>
      <c r="C128" s="49" t="s">
        <v>23</v>
      </c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>
        <f t="shared" si="26"/>
        <v>0</v>
      </c>
      <c r="P128" s="159"/>
      <c r="Q128" s="159"/>
      <c r="R128" s="159"/>
      <c r="S128" s="159"/>
      <c r="T128" s="159"/>
      <c r="U128" s="159">
        <f t="shared" si="27"/>
        <v>0</v>
      </c>
      <c r="V128" s="453"/>
      <c r="W128" s="437">
        <f t="shared" si="28"/>
        <v>0</v>
      </c>
    </row>
    <row r="129" spans="1:24" ht="24.95" hidden="1" customHeight="1" x14ac:dyDescent="0.2">
      <c r="A129" s="40"/>
      <c r="B129" s="48" t="s">
        <v>115</v>
      </c>
      <c r="C129" s="49" t="s">
        <v>23</v>
      </c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>
        <f t="shared" si="26"/>
        <v>0</v>
      </c>
      <c r="Q129" s="159"/>
      <c r="R129" s="159"/>
      <c r="S129" s="159"/>
      <c r="T129" s="159"/>
      <c r="U129" s="159">
        <f t="shared" si="27"/>
        <v>0</v>
      </c>
      <c r="V129" s="453"/>
      <c r="W129" s="437">
        <f t="shared" si="28"/>
        <v>0</v>
      </c>
    </row>
    <row r="130" spans="1:24" ht="24.95" hidden="1" customHeight="1" x14ac:dyDescent="0.2">
      <c r="A130" s="40"/>
      <c r="B130" s="48" t="s">
        <v>75</v>
      </c>
      <c r="C130" s="49" t="s">
        <v>23</v>
      </c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>
        <f t="shared" si="26"/>
        <v>0</v>
      </c>
      <c r="Q130" s="159"/>
      <c r="R130" s="159"/>
      <c r="S130" s="159"/>
      <c r="T130" s="159"/>
      <c r="U130" s="159">
        <f t="shared" si="27"/>
        <v>0</v>
      </c>
      <c r="V130" s="453"/>
      <c r="W130" s="437">
        <f t="shared" si="28"/>
        <v>0</v>
      </c>
    </row>
    <row r="131" spans="1:24" ht="24.95" hidden="1" customHeight="1" x14ac:dyDescent="0.2">
      <c r="A131" s="40"/>
      <c r="B131" s="48" t="s">
        <v>76</v>
      </c>
      <c r="C131" s="49" t="s">
        <v>23</v>
      </c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>
        <f t="shared" si="26"/>
        <v>0</v>
      </c>
      <c r="P131" s="159"/>
      <c r="Q131" s="159"/>
      <c r="R131" s="159"/>
      <c r="S131" s="159"/>
      <c r="T131" s="159"/>
      <c r="U131" s="159">
        <f t="shared" si="27"/>
        <v>0</v>
      </c>
      <c r="V131" s="453"/>
      <c r="W131" s="437">
        <f t="shared" si="28"/>
        <v>0</v>
      </c>
    </row>
    <row r="132" spans="1:24" ht="24.95" hidden="1" customHeight="1" x14ac:dyDescent="0.2">
      <c r="A132" s="40"/>
      <c r="B132" s="48" t="s">
        <v>30</v>
      </c>
      <c r="C132" s="49" t="s">
        <v>23</v>
      </c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>
        <f t="shared" si="26"/>
        <v>0</v>
      </c>
      <c r="P132" s="458"/>
      <c r="Q132" s="159"/>
      <c r="R132" s="159"/>
      <c r="S132" s="159"/>
      <c r="T132" s="159"/>
      <c r="U132" s="159">
        <f t="shared" si="27"/>
        <v>0</v>
      </c>
      <c r="V132" s="453"/>
      <c r="W132" s="437">
        <f t="shared" si="28"/>
        <v>0</v>
      </c>
    </row>
    <row r="133" spans="1:24" ht="24.95" hidden="1" customHeight="1" x14ac:dyDescent="0.2">
      <c r="A133" s="40"/>
      <c r="B133" s="48" t="s">
        <v>77</v>
      </c>
      <c r="C133" s="49" t="s">
        <v>23</v>
      </c>
      <c r="D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>
        <f t="shared" si="26"/>
        <v>0</v>
      </c>
      <c r="P133" s="159"/>
      <c r="Q133" s="159"/>
      <c r="R133" s="159"/>
      <c r="S133" s="159"/>
      <c r="T133" s="159"/>
      <c r="U133" s="159">
        <f t="shared" si="27"/>
        <v>0</v>
      </c>
      <c r="V133" s="453"/>
      <c r="W133" s="437">
        <f t="shared" si="28"/>
        <v>0</v>
      </c>
    </row>
    <row r="134" spans="1:24" ht="24.95" hidden="1" customHeight="1" x14ac:dyDescent="0.2">
      <c r="A134" s="40"/>
      <c r="B134" s="48" t="s">
        <v>116</v>
      </c>
      <c r="C134" s="49" t="s">
        <v>23</v>
      </c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>
        <f t="shared" si="26"/>
        <v>0</v>
      </c>
      <c r="P134" s="159"/>
      <c r="Q134" s="159"/>
      <c r="R134" s="159"/>
      <c r="S134" s="159"/>
      <c r="T134" s="159"/>
      <c r="U134" s="159">
        <f t="shared" si="27"/>
        <v>0</v>
      </c>
      <c r="V134" s="453"/>
      <c r="W134" s="437">
        <f t="shared" si="28"/>
        <v>0</v>
      </c>
    </row>
    <row r="135" spans="1:24" ht="24.95" hidden="1" customHeight="1" x14ac:dyDescent="0.2">
      <c r="A135" s="40"/>
      <c r="B135" s="48" t="s">
        <v>117</v>
      </c>
      <c r="C135" s="49" t="s">
        <v>23</v>
      </c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>
        <f t="shared" si="26"/>
        <v>0</v>
      </c>
      <c r="P135" s="159"/>
      <c r="Q135" s="159"/>
      <c r="R135" s="159"/>
      <c r="S135" s="159"/>
      <c r="T135" s="159"/>
      <c r="U135" s="159">
        <f t="shared" si="27"/>
        <v>0</v>
      </c>
      <c r="V135" s="453"/>
      <c r="W135" s="437">
        <f t="shared" si="28"/>
        <v>0</v>
      </c>
    </row>
    <row r="136" spans="1:24" ht="24.95" hidden="1" customHeight="1" x14ac:dyDescent="0.2">
      <c r="A136" s="40"/>
      <c r="B136" s="48"/>
      <c r="C136" s="41" t="s">
        <v>69</v>
      </c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>
        <f t="shared" si="26"/>
        <v>0</v>
      </c>
      <c r="P136" s="159"/>
      <c r="Q136" s="159"/>
      <c r="R136" s="159"/>
      <c r="S136" s="159"/>
      <c r="T136" s="159"/>
      <c r="U136" s="159">
        <f t="shared" si="27"/>
        <v>0</v>
      </c>
      <c r="V136" s="453"/>
      <c r="W136" s="437">
        <f t="shared" si="28"/>
        <v>0</v>
      </c>
    </row>
    <row r="137" spans="1:24" ht="24.95" hidden="1" customHeight="1" thickBot="1" x14ac:dyDescent="0.25">
      <c r="A137" s="40"/>
      <c r="B137" s="48"/>
      <c r="C137" s="49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453"/>
      <c r="W137" s="437">
        <f t="shared" si="28"/>
        <v>0</v>
      </c>
    </row>
    <row r="138" spans="1:24" ht="24.95" hidden="1" customHeight="1" thickTop="1" thickBot="1" x14ac:dyDescent="0.25">
      <c r="A138" s="47"/>
      <c r="B138" s="43"/>
      <c r="C138" s="44" t="s">
        <v>31</v>
      </c>
      <c r="D138" s="167">
        <f t="shared" ref="D138:O138" si="29">SUM(D122:D137)</f>
        <v>0</v>
      </c>
      <c r="E138" s="167">
        <f t="shared" si="29"/>
        <v>0</v>
      </c>
      <c r="F138" s="167">
        <f t="shared" si="29"/>
        <v>0</v>
      </c>
      <c r="G138" s="167">
        <f t="shared" si="29"/>
        <v>0</v>
      </c>
      <c r="H138" s="167">
        <f t="shared" si="29"/>
        <v>0</v>
      </c>
      <c r="I138" s="167">
        <f t="shared" si="29"/>
        <v>0</v>
      </c>
      <c r="J138" s="167">
        <f t="shared" si="29"/>
        <v>0</v>
      </c>
      <c r="K138" s="167">
        <f t="shared" si="29"/>
        <v>0</v>
      </c>
      <c r="L138" s="167">
        <f t="shared" si="29"/>
        <v>0</v>
      </c>
      <c r="M138" s="167">
        <f t="shared" si="29"/>
        <v>0</v>
      </c>
      <c r="N138" s="167">
        <f t="shared" si="29"/>
        <v>0</v>
      </c>
      <c r="O138" s="167">
        <f t="shared" si="29"/>
        <v>0</v>
      </c>
      <c r="P138" s="167"/>
      <c r="Q138" s="167">
        <f>SUM(Q122:Q137)</f>
        <v>0</v>
      </c>
      <c r="R138" s="167">
        <f>SUM(R122:R137)</f>
        <v>0</v>
      </c>
      <c r="S138" s="167">
        <f>SUM(S122:S137)</f>
        <v>0</v>
      </c>
      <c r="T138" s="167">
        <f>SUM(T122:T137)</f>
        <v>0</v>
      </c>
      <c r="U138" s="167">
        <f>SUM(U122:U137)</f>
        <v>0</v>
      </c>
      <c r="V138" s="282"/>
      <c r="W138" s="442">
        <f>O138+U138</f>
        <v>0</v>
      </c>
    </row>
    <row r="139" spans="1:24" ht="9.9499999999999993" hidden="1" customHeight="1" thickTop="1" x14ac:dyDescent="0.2">
      <c r="A139" s="192"/>
      <c r="B139" s="193"/>
      <c r="C139" s="194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/>
      <c r="U139" s="454"/>
      <c r="V139" s="196"/>
      <c r="W139" s="443"/>
    </row>
    <row r="140" spans="1:24" ht="24.95" hidden="1" customHeight="1" x14ac:dyDescent="0.2">
      <c r="A140" s="197"/>
      <c r="B140" s="198"/>
      <c r="C140" s="206" t="s">
        <v>69</v>
      </c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>
        <f>SUM(D140:N140)</f>
        <v>0</v>
      </c>
      <c r="P140" s="199"/>
      <c r="Q140" s="199"/>
      <c r="R140" s="199"/>
      <c r="S140" s="199"/>
      <c r="T140" s="199"/>
      <c r="U140" s="455">
        <f>SUM(Q140:T140)</f>
        <v>0</v>
      </c>
      <c r="V140" s="456"/>
      <c r="W140" s="437">
        <f>O140+U140</f>
        <v>0</v>
      </c>
    </row>
    <row r="141" spans="1:24" ht="9.9499999999999993" hidden="1" customHeight="1" thickBot="1" x14ac:dyDescent="0.25">
      <c r="A141" s="201"/>
      <c r="B141" s="202"/>
      <c r="C141" s="203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457"/>
      <c r="V141" s="205"/>
      <c r="W141" s="444"/>
    </row>
    <row r="142" spans="1:24" ht="24.95" hidden="1" customHeight="1" thickTop="1" thickBot="1" x14ac:dyDescent="0.25">
      <c r="A142" s="92"/>
      <c r="B142" s="92" t="s">
        <v>95</v>
      </c>
      <c r="C142" s="44" t="s">
        <v>151</v>
      </c>
      <c r="D142" s="210">
        <f t="shared" ref="D142:O142" si="30">D96+D120+D138</f>
        <v>2237053.179</v>
      </c>
      <c r="E142" s="210">
        <f t="shared" si="30"/>
        <v>0</v>
      </c>
      <c r="F142" s="210">
        <f t="shared" si="30"/>
        <v>53372</v>
      </c>
      <c r="G142" s="210">
        <f t="shared" si="30"/>
        <v>8490006</v>
      </c>
      <c r="H142" s="210">
        <f t="shared" si="30"/>
        <v>2492010.318</v>
      </c>
      <c r="I142" s="210">
        <f t="shared" si="30"/>
        <v>500</v>
      </c>
      <c r="J142" s="210">
        <f t="shared" si="30"/>
        <v>200000</v>
      </c>
      <c r="K142" s="210">
        <f t="shared" si="30"/>
        <v>15184.593999999999</v>
      </c>
      <c r="L142" s="210">
        <f t="shared" si="30"/>
        <v>1355162</v>
      </c>
      <c r="M142" s="210">
        <f t="shared" si="30"/>
        <v>17800</v>
      </c>
      <c r="N142" s="210">
        <f t="shared" si="30"/>
        <v>0</v>
      </c>
      <c r="O142" s="210">
        <f t="shared" si="30"/>
        <v>14861088.091</v>
      </c>
      <c r="P142" s="210"/>
      <c r="Q142" s="210">
        <f>Q96+Q120+Q138</f>
        <v>4390000</v>
      </c>
      <c r="R142" s="210">
        <f>R96+R120+R138</f>
        <v>3532804.4679999999</v>
      </c>
      <c r="S142" s="210">
        <f>S96+S120+S138</f>
        <v>0</v>
      </c>
      <c r="T142" s="210">
        <f>T96+T120+T138</f>
        <v>0</v>
      </c>
      <c r="U142" s="210">
        <f>U96+U120+U138</f>
        <v>7922804.4680000003</v>
      </c>
      <c r="V142" s="283"/>
      <c r="W142" s="439">
        <f>W96+W120+W138</f>
        <v>22783892.559</v>
      </c>
      <c r="X142" s="29"/>
    </row>
    <row r="143" spans="1:24" ht="24.95" hidden="1" customHeight="1" thickTop="1" x14ac:dyDescent="0.2">
      <c r="A143" s="576"/>
      <c r="B143" s="576" t="s">
        <v>185</v>
      </c>
      <c r="C143" s="590" t="s">
        <v>18</v>
      </c>
      <c r="D143" s="577">
        <f t="shared" ref="D143:U143" si="31">D142</f>
        <v>2237053.179</v>
      </c>
      <c r="E143" s="577">
        <f t="shared" si="31"/>
        <v>0</v>
      </c>
      <c r="F143" s="577">
        <f t="shared" si="31"/>
        <v>53372</v>
      </c>
      <c r="G143" s="577">
        <f t="shared" si="31"/>
        <v>8490006</v>
      </c>
      <c r="H143" s="577">
        <f t="shared" si="31"/>
        <v>2492010.318</v>
      </c>
      <c r="I143" s="577">
        <f t="shared" si="31"/>
        <v>500</v>
      </c>
      <c r="J143" s="577">
        <f t="shared" si="31"/>
        <v>200000</v>
      </c>
      <c r="K143" s="577">
        <f t="shared" si="31"/>
        <v>15184.593999999999</v>
      </c>
      <c r="L143" s="577">
        <f t="shared" si="31"/>
        <v>1355162</v>
      </c>
      <c r="M143" s="577">
        <f t="shared" si="31"/>
        <v>17800</v>
      </c>
      <c r="N143" s="577">
        <f t="shared" si="31"/>
        <v>0</v>
      </c>
      <c r="O143" s="577">
        <f t="shared" si="31"/>
        <v>14861088.091</v>
      </c>
      <c r="P143" s="577"/>
      <c r="Q143" s="577">
        <f t="shared" si="31"/>
        <v>4390000</v>
      </c>
      <c r="R143" s="577">
        <f t="shared" si="31"/>
        <v>3532804.4679999999</v>
      </c>
      <c r="S143" s="577">
        <f t="shared" si="31"/>
        <v>0</v>
      </c>
      <c r="T143" s="577">
        <f t="shared" si="31"/>
        <v>0</v>
      </c>
      <c r="U143" s="577">
        <f t="shared" si="31"/>
        <v>7922804.4680000003</v>
      </c>
      <c r="V143" s="578"/>
      <c r="W143" s="579">
        <f>O143+U143+W140</f>
        <v>22783892.559</v>
      </c>
    </row>
    <row r="144" spans="1:24" ht="20.100000000000001" hidden="1" customHeight="1" x14ac:dyDescent="0.2">
      <c r="A144" s="40">
        <v>1</v>
      </c>
      <c r="B144" s="588"/>
      <c r="C144" s="33"/>
      <c r="D144" s="174"/>
      <c r="E144" s="174"/>
      <c r="G144" s="174"/>
      <c r="H144" s="182"/>
      <c r="I144" s="174"/>
      <c r="J144" s="174"/>
      <c r="K144" s="174"/>
      <c r="L144" s="174"/>
      <c r="M144" s="174"/>
      <c r="N144" s="174"/>
      <c r="O144" s="174">
        <f>SUM(D144:N144)</f>
        <v>0</v>
      </c>
      <c r="P144" s="174"/>
      <c r="Q144" s="174"/>
      <c r="R144" s="174"/>
      <c r="S144" s="174"/>
      <c r="T144" s="174"/>
      <c r="U144" s="174">
        <f t="shared" ref="U144:U171" si="32">SUM(Q144:T144)</f>
        <v>0</v>
      </c>
      <c r="V144" s="448"/>
      <c r="W144" s="437">
        <f t="shared" ref="W144:W171" si="33">O144+U144</f>
        <v>0</v>
      </c>
    </row>
    <row r="145" spans="1:23" ht="20.100000000000001" hidden="1" customHeight="1" x14ac:dyDescent="0.2">
      <c r="A145" s="40">
        <v>2</v>
      </c>
      <c r="B145" s="50"/>
      <c r="C145" s="33"/>
      <c r="D145" s="174"/>
      <c r="E145" s="174"/>
      <c r="G145" s="174"/>
      <c r="H145" s="182"/>
      <c r="I145" s="174"/>
      <c r="J145" s="174"/>
      <c r="K145" s="174"/>
      <c r="L145" s="174"/>
      <c r="M145" s="174"/>
      <c r="N145" s="174"/>
      <c r="O145" s="174">
        <f>SUM(D145:N145)</f>
        <v>0</v>
      </c>
      <c r="P145" s="174"/>
      <c r="Q145" s="174"/>
      <c r="R145" s="174"/>
      <c r="S145" s="174"/>
      <c r="T145" s="174"/>
      <c r="U145" s="174">
        <f t="shared" si="32"/>
        <v>0</v>
      </c>
      <c r="V145" s="448"/>
      <c r="W145" s="437">
        <f t="shared" si="33"/>
        <v>0</v>
      </c>
    </row>
    <row r="146" spans="1:23" ht="20.100000000000001" hidden="1" customHeight="1" x14ac:dyDescent="0.2">
      <c r="A146" s="185">
        <v>3</v>
      </c>
      <c r="B146" s="297"/>
      <c r="C146" s="33"/>
      <c r="D146" s="174"/>
      <c r="E146" s="174"/>
      <c r="G146" s="174"/>
      <c r="H146" s="182"/>
      <c r="I146" s="174"/>
      <c r="J146" s="174"/>
      <c r="K146" s="174"/>
      <c r="L146" s="174"/>
      <c r="M146" s="174"/>
      <c r="N146" s="174"/>
      <c r="O146" s="174">
        <f>SUM(D146:N146)</f>
        <v>0</v>
      </c>
      <c r="P146" s="174"/>
      <c r="Q146" s="174"/>
      <c r="R146" s="174"/>
      <c r="S146" s="174"/>
      <c r="T146" s="174"/>
      <c r="U146" s="174">
        <f>SUM(Q146:T146)</f>
        <v>0</v>
      </c>
      <c r="V146" s="448"/>
      <c r="W146" s="437">
        <f>O146+U146</f>
        <v>0</v>
      </c>
    </row>
    <row r="147" spans="1:23" ht="20.100000000000001" hidden="1" customHeight="1" x14ac:dyDescent="0.2">
      <c r="A147" s="40"/>
      <c r="B147" s="50"/>
      <c r="C147" s="33"/>
      <c r="D147" s="182"/>
      <c r="E147" s="174"/>
      <c r="F147" s="174"/>
      <c r="G147" s="174"/>
      <c r="H147" s="182"/>
      <c r="I147" s="174"/>
      <c r="J147" s="174"/>
      <c r="K147" s="174"/>
      <c r="L147" s="174"/>
      <c r="M147" s="174"/>
      <c r="N147" s="174"/>
      <c r="O147" s="174">
        <f t="shared" ref="O147:O171" si="34">SUM(D147:N147)</f>
        <v>0</v>
      </c>
      <c r="P147" s="174"/>
      <c r="Q147" s="174"/>
      <c r="R147" s="174"/>
      <c r="S147" s="174"/>
      <c r="T147" s="174"/>
      <c r="U147" s="174">
        <f t="shared" si="32"/>
        <v>0</v>
      </c>
      <c r="V147" s="448"/>
      <c r="W147" s="437">
        <f t="shared" si="33"/>
        <v>0</v>
      </c>
    </row>
    <row r="148" spans="1:23" ht="20.100000000000001" hidden="1" customHeight="1" x14ac:dyDescent="0.2">
      <c r="A148" s="40"/>
      <c r="B148" s="50"/>
      <c r="C148" s="33"/>
      <c r="D148" s="182"/>
      <c r="E148" s="174"/>
      <c r="F148" s="174"/>
      <c r="G148" s="174"/>
      <c r="H148" s="182"/>
      <c r="I148" s="174"/>
      <c r="J148" s="174"/>
      <c r="K148" s="174"/>
      <c r="L148" s="174"/>
      <c r="M148" s="174"/>
      <c r="N148" s="346"/>
      <c r="O148" s="174">
        <f t="shared" si="34"/>
        <v>0</v>
      </c>
      <c r="P148" s="174"/>
      <c r="Q148" s="174"/>
      <c r="R148" s="174"/>
      <c r="S148" s="174"/>
      <c r="T148" s="174"/>
      <c r="U148" s="174">
        <f t="shared" si="32"/>
        <v>0</v>
      </c>
      <c r="V148" s="448"/>
      <c r="W148" s="437">
        <f t="shared" si="33"/>
        <v>0</v>
      </c>
    </row>
    <row r="149" spans="1:23" ht="20.100000000000001" hidden="1" customHeight="1" x14ac:dyDescent="0.2">
      <c r="A149" s="40"/>
      <c r="B149" s="50"/>
      <c r="C149" s="33"/>
      <c r="D149" s="182"/>
      <c r="E149" s="174"/>
      <c r="F149" s="174"/>
      <c r="G149" s="174"/>
      <c r="H149" s="182"/>
      <c r="I149" s="174"/>
      <c r="J149" s="174"/>
      <c r="K149" s="174"/>
      <c r="L149" s="174"/>
      <c r="M149" s="174"/>
      <c r="O149" s="174">
        <f t="shared" si="34"/>
        <v>0</v>
      </c>
      <c r="P149" s="174"/>
      <c r="Q149" s="174"/>
      <c r="R149" s="174"/>
      <c r="S149" s="174"/>
      <c r="T149" s="174"/>
      <c r="U149" s="174">
        <f t="shared" si="32"/>
        <v>0</v>
      </c>
      <c r="V149" s="448"/>
      <c r="W149" s="437">
        <f t="shared" si="33"/>
        <v>0</v>
      </c>
    </row>
    <row r="150" spans="1:23" ht="20.100000000000001" hidden="1" customHeight="1" x14ac:dyDescent="0.2">
      <c r="A150" s="40"/>
      <c r="B150" s="297"/>
      <c r="C150" s="33"/>
      <c r="D150" s="182"/>
      <c r="E150" s="174"/>
      <c r="F150" s="174"/>
      <c r="G150" s="174"/>
      <c r="H150" s="182"/>
      <c r="I150" s="174"/>
      <c r="J150" s="174"/>
      <c r="K150" s="174"/>
      <c r="L150" s="174"/>
      <c r="M150" s="174"/>
      <c r="N150" s="174"/>
      <c r="O150" s="174">
        <f t="shared" si="34"/>
        <v>0</v>
      </c>
      <c r="P150" s="174"/>
      <c r="Q150" s="174"/>
      <c r="R150" s="174"/>
      <c r="S150" s="174"/>
      <c r="T150" s="174"/>
      <c r="U150" s="174">
        <f t="shared" si="32"/>
        <v>0</v>
      </c>
      <c r="V150" s="448"/>
      <c r="W150" s="437">
        <f t="shared" si="33"/>
        <v>0</v>
      </c>
    </row>
    <row r="151" spans="1:23" ht="20.100000000000001" hidden="1" customHeight="1" x14ac:dyDescent="0.2">
      <c r="A151" s="40"/>
      <c r="B151" s="50"/>
      <c r="C151" s="33"/>
      <c r="D151" s="182"/>
      <c r="E151" s="174"/>
      <c r="F151" s="174"/>
      <c r="G151" s="174"/>
      <c r="H151" s="182"/>
      <c r="I151" s="174"/>
      <c r="J151" s="174"/>
      <c r="K151" s="174"/>
      <c r="L151" s="174"/>
      <c r="M151" s="174"/>
      <c r="N151" s="174"/>
      <c r="O151" s="174">
        <f t="shared" si="34"/>
        <v>0</v>
      </c>
      <c r="P151" s="174"/>
      <c r="Q151" s="174"/>
      <c r="R151" s="174"/>
      <c r="S151" s="174"/>
      <c r="T151" s="174"/>
      <c r="U151" s="174">
        <f t="shared" si="32"/>
        <v>0</v>
      </c>
      <c r="V151" s="448"/>
      <c r="W151" s="437">
        <f t="shared" si="33"/>
        <v>0</v>
      </c>
    </row>
    <row r="152" spans="1:23" ht="20.100000000000001" hidden="1" customHeight="1" x14ac:dyDescent="0.2">
      <c r="A152" s="40"/>
      <c r="B152" s="50"/>
      <c r="C152" s="33"/>
      <c r="D152" s="182"/>
      <c r="E152" s="174"/>
      <c r="F152" s="174"/>
      <c r="G152" s="174"/>
      <c r="H152" s="182"/>
      <c r="I152" s="174"/>
      <c r="J152" s="174"/>
      <c r="K152" s="174"/>
      <c r="L152" s="174"/>
      <c r="M152" s="174"/>
      <c r="N152" s="174"/>
      <c r="O152" s="174">
        <f t="shared" si="34"/>
        <v>0</v>
      </c>
      <c r="P152" s="174"/>
      <c r="Q152" s="174"/>
      <c r="R152" s="174"/>
      <c r="S152" s="174"/>
      <c r="T152" s="174"/>
      <c r="U152" s="174">
        <f t="shared" si="32"/>
        <v>0</v>
      </c>
      <c r="V152" s="448"/>
      <c r="W152" s="437">
        <f t="shared" si="33"/>
        <v>0</v>
      </c>
    </row>
    <row r="153" spans="1:23" ht="20.100000000000001" hidden="1" customHeight="1" x14ac:dyDescent="0.2">
      <c r="A153" s="40"/>
      <c r="B153" s="50"/>
      <c r="C153" s="33"/>
      <c r="D153" s="182"/>
      <c r="E153" s="174"/>
      <c r="F153" s="174"/>
      <c r="G153" s="174"/>
      <c r="H153" s="182"/>
      <c r="I153" s="174"/>
      <c r="J153" s="174"/>
      <c r="K153" s="174"/>
      <c r="M153" s="174"/>
      <c r="N153" s="174"/>
      <c r="O153" s="174">
        <f t="shared" si="34"/>
        <v>0</v>
      </c>
      <c r="P153" s="174"/>
      <c r="Q153" s="174"/>
      <c r="R153" s="174"/>
      <c r="S153" s="174"/>
      <c r="T153" s="174"/>
      <c r="U153" s="174">
        <f t="shared" si="32"/>
        <v>0</v>
      </c>
      <c r="V153" s="448"/>
      <c r="W153" s="437">
        <f t="shared" si="33"/>
        <v>0</v>
      </c>
    </row>
    <row r="154" spans="1:23" ht="20.100000000000001" hidden="1" customHeight="1" x14ac:dyDescent="0.2">
      <c r="A154" s="40"/>
      <c r="B154" s="415"/>
      <c r="C154" s="33"/>
      <c r="D154" s="182"/>
      <c r="E154" s="174"/>
      <c r="F154" s="174"/>
      <c r="G154" s="174"/>
      <c r="H154" s="182"/>
      <c r="I154" s="174"/>
      <c r="J154" s="174"/>
      <c r="K154" s="174"/>
      <c r="M154" s="174"/>
      <c r="N154" s="174"/>
      <c r="O154" s="174">
        <f t="shared" si="34"/>
        <v>0</v>
      </c>
      <c r="P154" s="174"/>
      <c r="Q154" s="174"/>
      <c r="R154" s="174"/>
      <c r="S154" s="174"/>
      <c r="T154" s="174"/>
      <c r="U154" s="174">
        <f t="shared" si="32"/>
        <v>0</v>
      </c>
      <c r="V154" s="448"/>
      <c r="W154" s="437">
        <f t="shared" si="33"/>
        <v>0</v>
      </c>
    </row>
    <row r="155" spans="1:23" ht="20.100000000000001" hidden="1" customHeight="1" x14ac:dyDescent="0.2">
      <c r="A155" s="40"/>
      <c r="B155" s="415"/>
      <c r="C155" s="33"/>
      <c r="D155" s="182"/>
      <c r="E155" s="174"/>
      <c r="F155" s="174"/>
      <c r="G155" s="174"/>
      <c r="H155" s="182"/>
      <c r="I155" s="174"/>
      <c r="J155" s="174"/>
      <c r="K155" s="174"/>
      <c r="M155" s="174"/>
      <c r="N155" s="174"/>
      <c r="O155" s="174">
        <f t="shared" si="34"/>
        <v>0</v>
      </c>
      <c r="P155" s="174"/>
      <c r="Q155" s="174"/>
      <c r="R155" s="174"/>
      <c r="S155" s="174"/>
      <c r="T155" s="174"/>
      <c r="U155" s="174">
        <f t="shared" si="32"/>
        <v>0</v>
      </c>
      <c r="V155" s="448"/>
      <c r="W155" s="437">
        <f t="shared" si="33"/>
        <v>0</v>
      </c>
    </row>
    <row r="156" spans="1:23" ht="20.100000000000001" hidden="1" customHeight="1" x14ac:dyDescent="0.2">
      <c r="A156" s="40"/>
      <c r="B156" s="50"/>
      <c r="C156" s="33"/>
      <c r="D156" s="182"/>
      <c r="E156" s="174"/>
      <c r="F156" s="174"/>
      <c r="G156" s="174"/>
      <c r="H156" s="182"/>
      <c r="I156" s="174"/>
      <c r="J156" s="174"/>
      <c r="K156" s="174"/>
      <c r="L156" s="174"/>
      <c r="M156" s="174"/>
      <c r="N156" s="174"/>
      <c r="O156" s="174">
        <f t="shared" si="34"/>
        <v>0</v>
      </c>
      <c r="P156" s="174"/>
      <c r="Q156" s="174"/>
      <c r="R156" s="174"/>
      <c r="S156" s="174"/>
      <c r="T156" s="174"/>
      <c r="U156" s="174">
        <f t="shared" si="32"/>
        <v>0</v>
      </c>
      <c r="V156" s="459"/>
      <c r="W156" s="437">
        <f t="shared" si="33"/>
        <v>0</v>
      </c>
    </row>
    <row r="157" spans="1:23" ht="20.100000000000001" hidden="1" customHeight="1" x14ac:dyDescent="0.2">
      <c r="A157" s="40"/>
      <c r="B157" s="50"/>
      <c r="C157" s="33"/>
      <c r="D157" s="182"/>
      <c r="E157" s="174"/>
      <c r="F157" s="174"/>
      <c r="G157" s="174"/>
      <c r="H157" s="182"/>
      <c r="I157" s="174"/>
      <c r="J157" s="174"/>
      <c r="K157" s="174"/>
      <c r="L157" s="174"/>
      <c r="M157" s="174"/>
      <c r="N157" s="174"/>
      <c r="O157" s="174">
        <f t="shared" si="34"/>
        <v>0</v>
      </c>
      <c r="P157" s="174"/>
      <c r="Q157" s="174"/>
      <c r="R157" s="174"/>
      <c r="S157" s="174"/>
      <c r="T157" s="174"/>
      <c r="U157" s="174">
        <f t="shared" si="32"/>
        <v>0</v>
      </c>
      <c r="V157" s="448"/>
      <c r="W157" s="437">
        <f t="shared" si="33"/>
        <v>0</v>
      </c>
    </row>
    <row r="158" spans="1:23" ht="20.100000000000001" hidden="1" customHeight="1" x14ac:dyDescent="0.2">
      <c r="A158" s="40"/>
      <c r="B158" s="415"/>
      <c r="C158" s="33"/>
      <c r="D158" s="182"/>
      <c r="E158" s="174"/>
      <c r="F158" s="174"/>
      <c r="G158" s="174"/>
      <c r="H158" s="182"/>
      <c r="I158" s="174"/>
      <c r="J158" s="174"/>
      <c r="K158" s="174"/>
      <c r="L158" s="174"/>
      <c r="M158" s="174"/>
      <c r="N158" s="174"/>
      <c r="O158" s="174">
        <f t="shared" si="34"/>
        <v>0</v>
      </c>
      <c r="P158" s="174"/>
      <c r="Q158" s="174"/>
      <c r="R158" s="174"/>
      <c r="S158" s="174"/>
      <c r="T158" s="174"/>
      <c r="U158" s="174">
        <f t="shared" si="32"/>
        <v>0</v>
      </c>
      <c r="V158" s="448"/>
      <c r="W158" s="437">
        <f t="shared" si="33"/>
        <v>0</v>
      </c>
    </row>
    <row r="159" spans="1:23" ht="20.100000000000001" hidden="1" customHeight="1" x14ac:dyDescent="0.2">
      <c r="A159" s="40"/>
      <c r="B159" s="50"/>
      <c r="C159" s="33"/>
      <c r="D159" s="182"/>
      <c r="E159" s="174"/>
      <c r="F159" s="174"/>
      <c r="G159" s="174"/>
      <c r="H159" s="182"/>
      <c r="I159" s="174"/>
      <c r="J159" s="174"/>
      <c r="K159" s="174"/>
      <c r="L159" s="174"/>
      <c r="M159" s="174"/>
      <c r="N159" s="174"/>
      <c r="O159" s="174">
        <f t="shared" si="34"/>
        <v>0</v>
      </c>
      <c r="P159" s="174"/>
      <c r="Q159" s="174"/>
      <c r="R159" s="174"/>
      <c r="S159" s="174"/>
      <c r="T159" s="174"/>
      <c r="U159" s="174">
        <f t="shared" si="32"/>
        <v>0</v>
      </c>
      <c r="V159" s="448"/>
      <c r="W159" s="437">
        <f t="shared" si="33"/>
        <v>0</v>
      </c>
    </row>
    <row r="160" spans="1:23" ht="20.100000000000001" hidden="1" customHeight="1" x14ac:dyDescent="0.2">
      <c r="A160" s="40"/>
      <c r="B160" s="50"/>
      <c r="C160" s="33"/>
      <c r="D160" s="182"/>
      <c r="E160" s="174"/>
      <c r="F160" s="174"/>
      <c r="G160" s="174"/>
      <c r="H160" s="182"/>
      <c r="I160" s="174"/>
      <c r="J160" s="174"/>
      <c r="K160" s="174"/>
      <c r="L160" s="174"/>
      <c r="M160" s="174"/>
      <c r="N160" s="174"/>
      <c r="O160" s="174">
        <f t="shared" si="34"/>
        <v>0</v>
      </c>
      <c r="P160" s="174"/>
      <c r="Q160" s="174"/>
      <c r="R160" s="174"/>
      <c r="S160" s="174"/>
      <c r="T160" s="174"/>
      <c r="U160" s="174">
        <f t="shared" si="32"/>
        <v>0</v>
      </c>
      <c r="V160" s="448"/>
      <c r="W160" s="437">
        <f t="shared" si="33"/>
        <v>0</v>
      </c>
    </row>
    <row r="161" spans="1:23" ht="20.100000000000001" hidden="1" customHeight="1" x14ac:dyDescent="0.2">
      <c r="A161" s="40"/>
      <c r="B161" s="50"/>
      <c r="C161" s="33"/>
      <c r="D161" s="182"/>
      <c r="E161" s="174"/>
      <c r="F161" s="174"/>
      <c r="G161" s="174"/>
      <c r="H161" s="182"/>
      <c r="I161" s="174"/>
      <c r="J161" s="174"/>
      <c r="K161" s="174"/>
      <c r="L161" s="174"/>
      <c r="M161" s="174"/>
      <c r="N161" s="174"/>
      <c r="O161" s="174">
        <f t="shared" si="34"/>
        <v>0</v>
      </c>
      <c r="P161" s="174"/>
      <c r="Q161" s="174"/>
      <c r="R161" s="174"/>
      <c r="S161" s="174"/>
      <c r="T161" s="174"/>
      <c r="U161" s="174">
        <f t="shared" si="32"/>
        <v>0</v>
      </c>
      <c r="V161" s="448"/>
      <c r="W161" s="437">
        <f t="shared" si="33"/>
        <v>0</v>
      </c>
    </row>
    <row r="162" spans="1:23" ht="20.100000000000001" hidden="1" customHeight="1" x14ac:dyDescent="0.2">
      <c r="A162" s="40"/>
      <c r="B162" s="50"/>
      <c r="C162" s="33"/>
      <c r="D162" s="182"/>
      <c r="E162" s="174"/>
      <c r="F162" s="174"/>
      <c r="G162" s="174"/>
      <c r="H162" s="182"/>
      <c r="I162" s="174"/>
      <c r="J162" s="174"/>
      <c r="K162" s="174"/>
      <c r="L162" s="174"/>
      <c r="M162" s="174"/>
      <c r="N162" s="174"/>
      <c r="O162" s="174">
        <f t="shared" si="34"/>
        <v>0</v>
      </c>
      <c r="P162" s="174"/>
      <c r="Q162" s="174"/>
      <c r="R162" s="174"/>
      <c r="S162" s="174"/>
      <c r="T162" s="174"/>
      <c r="U162" s="174">
        <f t="shared" si="32"/>
        <v>0</v>
      </c>
      <c r="V162" s="448"/>
      <c r="W162" s="437">
        <f t="shared" si="33"/>
        <v>0</v>
      </c>
    </row>
    <row r="163" spans="1:23" ht="20.100000000000001" hidden="1" customHeight="1" x14ac:dyDescent="0.2">
      <c r="A163" s="40"/>
      <c r="B163" s="50"/>
      <c r="C163" s="33"/>
      <c r="D163" s="182"/>
      <c r="E163" s="174"/>
      <c r="F163" s="174"/>
      <c r="G163" s="174"/>
      <c r="H163" s="182"/>
      <c r="I163" s="174"/>
      <c r="J163" s="174"/>
      <c r="K163" s="174"/>
      <c r="L163" s="174"/>
      <c r="M163" s="174"/>
      <c r="N163" s="174"/>
      <c r="O163" s="174">
        <f t="shared" si="34"/>
        <v>0</v>
      </c>
      <c r="P163" s="174"/>
      <c r="Q163" s="174"/>
      <c r="R163" s="174"/>
      <c r="S163" s="174"/>
      <c r="T163" s="174"/>
      <c r="U163" s="174">
        <f t="shared" si="32"/>
        <v>0</v>
      </c>
      <c r="V163" s="448"/>
      <c r="W163" s="437">
        <f t="shared" si="33"/>
        <v>0</v>
      </c>
    </row>
    <row r="164" spans="1:23" ht="20.100000000000001" hidden="1" customHeight="1" x14ac:dyDescent="0.2">
      <c r="A164" s="40"/>
      <c r="B164" s="50"/>
      <c r="C164" s="33"/>
      <c r="D164" s="182"/>
      <c r="E164" s="174"/>
      <c r="F164" s="174"/>
      <c r="G164" s="174"/>
      <c r="H164" s="182"/>
      <c r="I164" s="174"/>
      <c r="J164" s="174"/>
      <c r="K164" s="174"/>
      <c r="L164" s="174"/>
      <c r="M164" s="174"/>
      <c r="N164" s="174"/>
      <c r="O164" s="174">
        <f t="shared" si="34"/>
        <v>0</v>
      </c>
      <c r="P164" s="174"/>
      <c r="Q164" s="174"/>
      <c r="R164" s="174"/>
      <c r="S164" s="174"/>
      <c r="T164" s="174"/>
      <c r="U164" s="174">
        <f t="shared" si="32"/>
        <v>0</v>
      </c>
      <c r="V164" s="448"/>
      <c r="W164" s="437">
        <f t="shared" si="33"/>
        <v>0</v>
      </c>
    </row>
    <row r="165" spans="1:23" ht="20.100000000000001" hidden="1" customHeight="1" x14ac:dyDescent="0.2">
      <c r="A165" s="40"/>
      <c r="B165" s="50"/>
      <c r="C165" s="33"/>
      <c r="D165" s="182"/>
      <c r="E165" s="174"/>
      <c r="F165" s="174"/>
      <c r="G165" s="174"/>
      <c r="H165" s="182"/>
      <c r="I165" s="174"/>
      <c r="J165" s="174"/>
      <c r="K165" s="174"/>
      <c r="L165" s="174"/>
      <c r="M165" s="174"/>
      <c r="N165" s="174"/>
      <c r="O165" s="174">
        <f t="shared" si="34"/>
        <v>0</v>
      </c>
      <c r="P165" s="174"/>
      <c r="Q165" s="174"/>
      <c r="R165" s="174"/>
      <c r="S165" s="174"/>
      <c r="T165" s="174"/>
      <c r="U165" s="174">
        <f t="shared" si="32"/>
        <v>0</v>
      </c>
      <c r="V165" s="448"/>
      <c r="W165" s="437">
        <f t="shared" si="33"/>
        <v>0</v>
      </c>
    </row>
    <row r="166" spans="1:23" ht="20.100000000000001" hidden="1" customHeight="1" x14ac:dyDescent="0.2">
      <c r="A166" s="40"/>
      <c r="B166" s="50"/>
      <c r="C166" s="33"/>
      <c r="D166" s="182"/>
      <c r="E166" s="174"/>
      <c r="F166" s="174"/>
      <c r="G166" s="174"/>
      <c r="H166" s="182"/>
      <c r="I166" s="174"/>
      <c r="J166" s="174"/>
      <c r="K166" s="174"/>
      <c r="L166" s="174"/>
      <c r="M166" s="174"/>
      <c r="N166" s="174"/>
      <c r="O166" s="174">
        <f t="shared" si="34"/>
        <v>0</v>
      </c>
      <c r="P166" s="174"/>
      <c r="Q166" s="174"/>
      <c r="R166" s="174"/>
      <c r="S166" s="174"/>
      <c r="T166" s="174"/>
      <c r="U166" s="174">
        <f t="shared" si="32"/>
        <v>0</v>
      </c>
      <c r="V166" s="448"/>
      <c r="W166" s="437">
        <f t="shared" si="33"/>
        <v>0</v>
      </c>
    </row>
    <row r="167" spans="1:23" ht="20.100000000000001" hidden="1" customHeight="1" x14ac:dyDescent="0.2">
      <c r="A167" s="40"/>
      <c r="B167" s="50"/>
      <c r="C167" s="33"/>
      <c r="D167" s="182"/>
      <c r="E167" s="174"/>
      <c r="F167" s="174"/>
      <c r="G167" s="174"/>
      <c r="H167" s="182"/>
      <c r="I167" s="174"/>
      <c r="J167" s="174"/>
      <c r="K167" s="174"/>
      <c r="L167" s="174"/>
      <c r="M167" s="174"/>
      <c r="N167" s="174"/>
      <c r="O167" s="174">
        <f t="shared" si="34"/>
        <v>0</v>
      </c>
      <c r="P167" s="174"/>
      <c r="Q167" s="174"/>
      <c r="R167" s="174"/>
      <c r="S167" s="174"/>
      <c r="T167" s="174"/>
      <c r="U167" s="174">
        <f t="shared" si="32"/>
        <v>0</v>
      </c>
      <c r="V167" s="448"/>
      <c r="W167" s="437">
        <f t="shared" si="33"/>
        <v>0</v>
      </c>
    </row>
    <row r="168" spans="1:23" ht="20.100000000000001" hidden="1" customHeight="1" x14ac:dyDescent="0.2">
      <c r="A168" s="40"/>
      <c r="B168" s="50"/>
      <c r="C168" s="39"/>
      <c r="D168" s="182"/>
      <c r="E168" s="174"/>
      <c r="F168" s="174"/>
      <c r="G168" s="174"/>
      <c r="H168" s="182"/>
      <c r="I168" s="174"/>
      <c r="J168" s="174"/>
      <c r="K168" s="174"/>
      <c r="L168" s="174"/>
      <c r="M168" s="174"/>
      <c r="N168" s="174"/>
      <c r="O168" s="174">
        <f t="shared" si="34"/>
        <v>0</v>
      </c>
      <c r="P168" s="174"/>
      <c r="Q168" s="174"/>
      <c r="R168" s="174"/>
      <c r="S168" s="174"/>
      <c r="T168" s="174"/>
      <c r="U168" s="174">
        <f t="shared" si="32"/>
        <v>0</v>
      </c>
      <c r="V168" s="448"/>
      <c r="W168" s="437">
        <f t="shared" si="33"/>
        <v>0</v>
      </c>
    </row>
    <row r="169" spans="1:23" ht="20.100000000000001" hidden="1" customHeight="1" x14ac:dyDescent="0.2">
      <c r="A169" s="40"/>
      <c r="B169" s="50"/>
      <c r="C169" s="33"/>
      <c r="D169" s="182"/>
      <c r="E169" s="174"/>
      <c r="F169" s="174"/>
      <c r="G169" s="174"/>
      <c r="H169" s="182"/>
      <c r="I169" s="174"/>
      <c r="J169" s="174"/>
      <c r="K169" s="174"/>
      <c r="L169" s="174"/>
      <c r="M169" s="174"/>
      <c r="N169" s="174"/>
      <c r="O169" s="174">
        <f t="shared" si="34"/>
        <v>0</v>
      </c>
      <c r="P169" s="174"/>
      <c r="Q169" s="174"/>
      <c r="R169" s="174"/>
      <c r="S169" s="174"/>
      <c r="T169" s="174"/>
      <c r="U169" s="174">
        <f t="shared" si="32"/>
        <v>0</v>
      </c>
      <c r="V169" s="448"/>
      <c r="W169" s="437">
        <f t="shared" si="33"/>
        <v>0</v>
      </c>
    </row>
    <row r="170" spans="1:23" ht="9.9499999999999993" hidden="1" customHeight="1" x14ac:dyDescent="0.2">
      <c r="A170" s="40"/>
      <c r="B170" s="50"/>
      <c r="C170" s="33"/>
      <c r="D170" s="182"/>
      <c r="E170" s="174"/>
      <c r="F170" s="174"/>
      <c r="G170" s="174"/>
      <c r="H170" s="182"/>
      <c r="I170" s="174"/>
      <c r="J170" s="174"/>
      <c r="K170" s="174"/>
      <c r="L170" s="174"/>
      <c r="M170" s="174"/>
      <c r="N170" s="174"/>
      <c r="O170" s="174"/>
      <c r="P170" s="174"/>
      <c r="Q170" s="174"/>
      <c r="R170" s="174"/>
      <c r="S170" s="174"/>
      <c r="T170" s="174"/>
      <c r="U170" s="174">
        <f t="shared" si="32"/>
        <v>0</v>
      </c>
      <c r="V170" s="448"/>
      <c r="W170" s="437">
        <f t="shared" si="33"/>
        <v>0</v>
      </c>
    </row>
    <row r="171" spans="1:23" ht="20.100000000000001" hidden="1" customHeight="1" x14ac:dyDescent="0.2">
      <c r="A171" s="40"/>
      <c r="B171" s="50"/>
      <c r="C171" s="33" t="s">
        <v>69</v>
      </c>
      <c r="D171" s="182"/>
      <c r="E171" s="174"/>
      <c r="F171" s="174"/>
      <c r="G171" s="174"/>
      <c r="H171" s="182"/>
      <c r="I171" s="174"/>
      <c r="J171" s="174"/>
      <c r="K171" s="174"/>
      <c r="L171" s="174"/>
      <c r="M171" s="174"/>
      <c r="N171" s="174"/>
      <c r="O171" s="174">
        <f t="shared" si="34"/>
        <v>0</v>
      </c>
      <c r="P171" s="174"/>
      <c r="Q171" s="174"/>
      <c r="R171" s="174"/>
      <c r="S171" s="174"/>
      <c r="T171" s="174"/>
      <c r="U171" s="174">
        <f t="shared" si="32"/>
        <v>0</v>
      </c>
      <c r="V171" s="448"/>
      <c r="W171" s="437">
        <f t="shared" si="33"/>
        <v>0</v>
      </c>
    </row>
    <row r="172" spans="1:23" ht="9.9499999999999993" hidden="1" customHeight="1" thickBot="1" x14ac:dyDescent="0.25">
      <c r="A172" s="40"/>
      <c r="B172" s="50"/>
      <c r="C172" s="320"/>
      <c r="D172" s="182"/>
      <c r="E172" s="174"/>
      <c r="F172" s="174"/>
      <c r="G172" s="174"/>
      <c r="H172" s="182"/>
      <c r="I172" s="174"/>
      <c r="J172" s="174"/>
      <c r="K172" s="174"/>
      <c r="L172" s="174"/>
      <c r="M172" s="174"/>
      <c r="N172" s="174"/>
      <c r="O172" s="174"/>
      <c r="P172" s="174"/>
      <c r="Q172" s="174"/>
      <c r="R172" s="174"/>
      <c r="S172" s="174"/>
      <c r="T172" s="174"/>
      <c r="U172" s="174"/>
      <c r="V172" s="448"/>
      <c r="W172" s="437"/>
    </row>
    <row r="173" spans="1:23" ht="24.95" hidden="1" customHeight="1" thickTop="1" thickBot="1" x14ac:dyDescent="0.25">
      <c r="A173" s="47"/>
      <c r="B173" s="268" t="s">
        <v>186</v>
      </c>
      <c r="C173" s="44" t="s">
        <v>32</v>
      </c>
      <c r="D173" s="183">
        <f>SUM(D144:D172)</f>
        <v>0</v>
      </c>
      <c r="E173" s="183">
        <f t="shared" ref="E173:U173" si="35">SUM(E144:E172)</f>
        <v>0</v>
      </c>
      <c r="F173" s="183">
        <f t="shared" si="35"/>
        <v>0</v>
      </c>
      <c r="G173" s="183">
        <f t="shared" si="35"/>
        <v>0</v>
      </c>
      <c r="H173" s="183">
        <f t="shared" si="35"/>
        <v>0</v>
      </c>
      <c r="I173" s="183">
        <f t="shared" si="35"/>
        <v>0</v>
      </c>
      <c r="J173" s="183">
        <f t="shared" si="35"/>
        <v>0</v>
      </c>
      <c r="K173" s="183">
        <f t="shared" si="35"/>
        <v>0</v>
      </c>
      <c r="L173" s="183">
        <f t="shared" si="35"/>
        <v>0</v>
      </c>
      <c r="M173" s="416">
        <f t="shared" si="35"/>
        <v>0</v>
      </c>
      <c r="N173" s="183">
        <f t="shared" si="35"/>
        <v>0</v>
      </c>
      <c r="O173" s="183">
        <f t="shared" si="35"/>
        <v>0</v>
      </c>
      <c r="P173" s="183"/>
      <c r="Q173" s="183">
        <f t="shared" si="35"/>
        <v>0</v>
      </c>
      <c r="R173" s="211">
        <f t="shared" si="35"/>
        <v>0</v>
      </c>
      <c r="S173" s="211">
        <f t="shared" si="35"/>
        <v>0</v>
      </c>
      <c r="T173" s="183">
        <f t="shared" si="35"/>
        <v>0</v>
      </c>
      <c r="U173" s="183">
        <f t="shared" si="35"/>
        <v>0</v>
      </c>
      <c r="V173" s="172"/>
      <c r="W173" s="445">
        <f>O173+U173</f>
        <v>0</v>
      </c>
    </row>
    <row r="174" spans="1:23" ht="24.95" hidden="1" customHeight="1" thickTop="1" thickBot="1" x14ac:dyDescent="0.25">
      <c r="A174" s="47"/>
      <c r="B174" s="604" t="s">
        <v>185</v>
      </c>
      <c r="C174" s="44" t="s">
        <v>152</v>
      </c>
      <c r="D174" s="210">
        <f t="shared" ref="D174:W174" si="36">D143+D173</f>
        <v>2237053.179</v>
      </c>
      <c r="E174" s="210">
        <f t="shared" si="36"/>
        <v>0</v>
      </c>
      <c r="F174" s="210">
        <f t="shared" si="36"/>
        <v>53372</v>
      </c>
      <c r="G174" s="210">
        <f t="shared" si="36"/>
        <v>8490006</v>
      </c>
      <c r="H174" s="210">
        <f t="shared" si="36"/>
        <v>2492010.318</v>
      </c>
      <c r="I174" s="210">
        <f t="shared" si="36"/>
        <v>500</v>
      </c>
      <c r="J174" s="210">
        <f t="shared" si="36"/>
        <v>200000</v>
      </c>
      <c r="K174" s="210">
        <f t="shared" si="36"/>
        <v>15184.593999999999</v>
      </c>
      <c r="L174" s="210">
        <f t="shared" si="36"/>
        <v>1355162</v>
      </c>
      <c r="M174" s="210">
        <f t="shared" si="36"/>
        <v>17800</v>
      </c>
      <c r="N174" s="210">
        <f t="shared" si="36"/>
        <v>0</v>
      </c>
      <c r="O174" s="210">
        <f t="shared" si="36"/>
        <v>14861088.091</v>
      </c>
      <c r="P174" s="210"/>
      <c r="Q174" s="210">
        <f t="shared" si="36"/>
        <v>4390000</v>
      </c>
      <c r="R174" s="210">
        <f t="shared" si="36"/>
        <v>3532804.4679999999</v>
      </c>
      <c r="S174" s="210">
        <f t="shared" si="36"/>
        <v>0</v>
      </c>
      <c r="T174" s="210">
        <f t="shared" si="36"/>
        <v>0</v>
      </c>
      <c r="U174" s="404">
        <f t="shared" si="36"/>
        <v>7922804.4680000003</v>
      </c>
      <c r="V174" s="460"/>
      <c r="W174" s="445">
        <f t="shared" si="36"/>
        <v>22783892.559</v>
      </c>
    </row>
    <row r="175" spans="1:23" ht="24.95" hidden="1" customHeight="1" thickTop="1" x14ac:dyDescent="0.2">
      <c r="A175" s="605"/>
      <c r="B175" s="534" t="s">
        <v>189</v>
      </c>
      <c r="C175" s="589" t="s">
        <v>18</v>
      </c>
      <c r="D175" s="577">
        <f t="shared" ref="D175:U175" si="37">D174</f>
        <v>2237053.179</v>
      </c>
      <c r="E175" s="577">
        <f t="shared" si="37"/>
        <v>0</v>
      </c>
      <c r="F175" s="577">
        <f t="shared" si="37"/>
        <v>53372</v>
      </c>
      <c r="G175" s="577">
        <f t="shared" si="37"/>
        <v>8490006</v>
      </c>
      <c r="H175" s="577">
        <f t="shared" si="37"/>
        <v>2492010.318</v>
      </c>
      <c r="I175" s="577">
        <f t="shared" si="37"/>
        <v>500</v>
      </c>
      <c r="J175" s="577">
        <f t="shared" si="37"/>
        <v>200000</v>
      </c>
      <c r="K175" s="577">
        <f t="shared" si="37"/>
        <v>15184.593999999999</v>
      </c>
      <c r="L175" s="577">
        <f t="shared" si="37"/>
        <v>1355162</v>
      </c>
      <c r="M175" s="577">
        <f t="shared" si="37"/>
        <v>17800</v>
      </c>
      <c r="N175" s="577">
        <f t="shared" si="37"/>
        <v>0</v>
      </c>
      <c r="O175" s="577">
        <f t="shared" si="37"/>
        <v>14861088.091</v>
      </c>
      <c r="P175" s="577"/>
      <c r="Q175" s="577">
        <f t="shared" si="37"/>
        <v>4390000</v>
      </c>
      <c r="R175" s="577">
        <f t="shared" si="37"/>
        <v>3532804.4679999999</v>
      </c>
      <c r="S175" s="577">
        <f t="shared" si="37"/>
        <v>0</v>
      </c>
      <c r="T175" s="577">
        <f t="shared" si="37"/>
        <v>0</v>
      </c>
      <c r="U175" s="577">
        <f t="shared" si="37"/>
        <v>7922804.4680000003</v>
      </c>
      <c r="V175" s="578"/>
      <c r="W175" s="579">
        <f>O175+U175+W172</f>
        <v>22783892.559</v>
      </c>
    </row>
    <row r="176" spans="1:23" ht="24.95" hidden="1" customHeight="1" x14ac:dyDescent="0.2">
      <c r="A176" s="40">
        <v>1</v>
      </c>
      <c r="B176" s="50"/>
      <c r="C176" s="51"/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>
        <f t="shared" ref="O176:O202" si="38">SUM(D176:N176)</f>
        <v>0</v>
      </c>
      <c r="P176" s="174"/>
      <c r="Q176" s="174"/>
      <c r="R176" s="174"/>
      <c r="S176" s="174"/>
      <c r="T176" s="174"/>
      <c r="U176" s="296">
        <f>SUM(Q176:T176)</f>
        <v>0</v>
      </c>
      <c r="V176" s="591"/>
      <c r="W176" s="176">
        <f>O176+U176</f>
        <v>0</v>
      </c>
    </row>
    <row r="177" spans="1:23" ht="24.95" hidden="1" customHeight="1" x14ac:dyDescent="0.2">
      <c r="A177" s="40"/>
      <c r="B177" s="297"/>
      <c r="C177" s="51"/>
      <c r="D177" s="174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>
        <f t="shared" si="38"/>
        <v>0</v>
      </c>
      <c r="P177" s="174"/>
      <c r="Q177" s="174"/>
      <c r="R177" s="174"/>
      <c r="S177" s="174"/>
      <c r="T177" s="174"/>
      <c r="U177" s="174">
        <f>SUM(Q177:T177)</f>
        <v>0</v>
      </c>
      <c r="V177" s="448"/>
      <c r="W177" s="176">
        <f t="shared" ref="W177:W200" si="39">O177+U177</f>
        <v>0</v>
      </c>
    </row>
    <row r="178" spans="1:23" ht="24.95" hidden="1" customHeight="1" x14ac:dyDescent="0.2">
      <c r="A178" s="40">
        <v>2</v>
      </c>
      <c r="B178" s="297"/>
      <c r="C178" s="51"/>
      <c r="D178" s="174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>
        <f t="shared" si="38"/>
        <v>0</v>
      </c>
      <c r="P178" s="174"/>
      <c r="Q178" s="174"/>
      <c r="R178" s="174"/>
      <c r="S178" s="174"/>
      <c r="T178" s="174"/>
      <c r="U178" s="174">
        <f t="shared" ref="U178:U200" si="40">SUM(Q178:T178)</f>
        <v>0</v>
      </c>
      <c r="V178" s="448"/>
      <c r="W178" s="176">
        <f t="shared" si="39"/>
        <v>0</v>
      </c>
    </row>
    <row r="179" spans="1:23" ht="24.95" hidden="1" customHeight="1" x14ac:dyDescent="0.2">
      <c r="A179" s="40">
        <v>3</v>
      </c>
      <c r="B179" s="297"/>
      <c r="C179" s="51"/>
      <c r="D179" s="174"/>
      <c r="E179" s="174"/>
      <c r="F179" s="174"/>
      <c r="G179" s="174"/>
      <c r="H179" s="174"/>
      <c r="I179" s="174"/>
      <c r="J179" s="174"/>
      <c r="K179" s="174"/>
      <c r="L179" s="174"/>
      <c r="M179" s="174"/>
      <c r="N179" s="174"/>
      <c r="O179" s="174">
        <f t="shared" si="38"/>
        <v>0</v>
      </c>
      <c r="P179" s="174"/>
      <c r="Q179" s="174"/>
      <c r="R179" s="174"/>
      <c r="S179" s="174"/>
      <c r="T179" s="174"/>
      <c r="U179" s="174">
        <f t="shared" si="40"/>
        <v>0</v>
      </c>
      <c r="V179" s="448"/>
      <c r="W179" s="176">
        <f t="shared" si="39"/>
        <v>0</v>
      </c>
    </row>
    <row r="180" spans="1:23" ht="24.95" hidden="1" customHeight="1" x14ac:dyDescent="0.2">
      <c r="A180" s="40">
        <v>4</v>
      </c>
      <c r="B180" s="50"/>
      <c r="C180" s="51"/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>
        <f t="shared" si="38"/>
        <v>0</v>
      </c>
      <c r="P180" s="174"/>
      <c r="Q180" s="174"/>
      <c r="R180" s="174"/>
      <c r="S180" s="174"/>
      <c r="T180" s="174"/>
      <c r="U180" s="174">
        <f t="shared" si="40"/>
        <v>0</v>
      </c>
      <c r="V180" s="448"/>
      <c r="W180" s="176">
        <f t="shared" si="39"/>
        <v>0</v>
      </c>
    </row>
    <row r="181" spans="1:23" ht="24.95" hidden="1" customHeight="1" x14ac:dyDescent="0.2">
      <c r="A181" s="40">
        <v>5</v>
      </c>
      <c r="B181" s="50"/>
      <c r="C181" s="51"/>
      <c r="D181" s="174"/>
      <c r="E181" s="174"/>
      <c r="F181" s="174"/>
      <c r="G181" s="174"/>
      <c r="H181" s="174"/>
      <c r="I181" s="174"/>
      <c r="J181" s="174"/>
      <c r="K181" s="174"/>
      <c r="L181" s="174"/>
      <c r="M181" s="174"/>
      <c r="N181" s="174"/>
      <c r="O181" s="174">
        <f t="shared" si="38"/>
        <v>0</v>
      </c>
      <c r="P181" s="174"/>
      <c r="Q181" s="174"/>
      <c r="R181" s="174"/>
      <c r="S181" s="174"/>
      <c r="T181" s="174"/>
      <c r="U181" s="174">
        <f t="shared" si="40"/>
        <v>0</v>
      </c>
      <c r="V181" s="448"/>
      <c r="W181" s="176">
        <f t="shared" si="39"/>
        <v>0</v>
      </c>
    </row>
    <row r="182" spans="1:23" ht="24.95" hidden="1" customHeight="1" x14ac:dyDescent="0.2">
      <c r="A182" s="40">
        <v>6</v>
      </c>
      <c r="B182" s="297"/>
      <c r="C182" s="51"/>
      <c r="D182" s="174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>
        <f t="shared" si="38"/>
        <v>0</v>
      </c>
      <c r="P182" s="174"/>
      <c r="Q182" s="174"/>
      <c r="R182" s="174"/>
      <c r="S182" s="174"/>
      <c r="T182" s="174"/>
      <c r="U182" s="174">
        <f t="shared" si="40"/>
        <v>0</v>
      </c>
      <c r="V182" s="448"/>
      <c r="W182" s="176">
        <f t="shared" si="39"/>
        <v>0</v>
      </c>
    </row>
    <row r="183" spans="1:23" ht="24.95" hidden="1" customHeight="1" x14ac:dyDescent="0.2">
      <c r="A183" s="40">
        <v>7</v>
      </c>
      <c r="B183" s="50"/>
      <c r="C183" s="51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>
        <f t="shared" si="38"/>
        <v>0</v>
      </c>
      <c r="P183" s="174"/>
      <c r="Q183" s="174"/>
      <c r="R183" s="174"/>
      <c r="S183" s="174"/>
      <c r="T183" s="174"/>
      <c r="U183" s="174">
        <f t="shared" si="40"/>
        <v>0</v>
      </c>
      <c r="V183" s="448"/>
      <c r="W183" s="176">
        <f t="shared" si="39"/>
        <v>0</v>
      </c>
    </row>
    <row r="184" spans="1:23" ht="24.95" hidden="1" customHeight="1" x14ac:dyDescent="0.2">
      <c r="A184" s="40">
        <v>8</v>
      </c>
      <c r="B184" s="297"/>
      <c r="C184" s="51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>
        <f t="shared" si="38"/>
        <v>0</v>
      </c>
      <c r="P184" s="174"/>
      <c r="Q184" s="174"/>
      <c r="R184" s="174"/>
      <c r="S184" s="174"/>
      <c r="T184" s="174"/>
      <c r="U184" s="174">
        <f t="shared" si="40"/>
        <v>0</v>
      </c>
      <c r="V184" s="448"/>
      <c r="W184" s="176">
        <f t="shared" si="39"/>
        <v>0</v>
      </c>
    </row>
    <row r="185" spans="1:23" ht="24.95" hidden="1" customHeight="1" x14ac:dyDescent="0.2">
      <c r="A185" s="40">
        <v>9</v>
      </c>
      <c r="B185" s="297"/>
      <c r="C185" s="51"/>
      <c r="D185" s="174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>
        <f t="shared" si="38"/>
        <v>0</v>
      </c>
      <c r="P185" s="174"/>
      <c r="Q185" s="174"/>
      <c r="R185" s="174"/>
      <c r="S185" s="174"/>
      <c r="T185" s="174"/>
      <c r="U185" s="174">
        <f t="shared" si="40"/>
        <v>0</v>
      </c>
      <c r="V185" s="448"/>
      <c r="W185" s="176">
        <f t="shared" si="39"/>
        <v>0</v>
      </c>
    </row>
    <row r="186" spans="1:23" ht="24.95" hidden="1" customHeight="1" x14ac:dyDescent="0.2">
      <c r="A186" s="40">
        <v>10</v>
      </c>
      <c r="B186" s="297"/>
      <c r="C186" s="51"/>
      <c r="D186" s="174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  <c r="O186" s="174">
        <f t="shared" si="38"/>
        <v>0</v>
      </c>
      <c r="P186" s="174"/>
      <c r="Q186" s="174"/>
      <c r="R186" s="174"/>
      <c r="S186" s="174"/>
      <c r="T186" s="174"/>
      <c r="U186" s="174">
        <f t="shared" si="40"/>
        <v>0</v>
      </c>
      <c r="V186" s="448"/>
      <c r="W186" s="176">
        <f t="shared" si="39"/>
        <v>0</v>
      </c>
    </row>
    <row r="187" spans="1:23" ht="24.95" hidden="1" customHeight="1" x14ac:dyDescent="0.2">
      <c r="A187" s="40">
        <v>11</v>
      </c>
      <c r="B187" s="50"/>
      <c r="C187" s="51"/>
      <c r="D187" s="174"/>
      <c r="E187" s="174"/>
      <c r="F187" s="174"/>
      <c r="G187" s="174"/>
      <c r="H187" s="174"/>
      <c r="I187" s="174"/>
      <c r="J187" s="174"/>
      <c r="K187" s="174"/>
      <c r="L187" s="174"/>
      <c r="M187" s="174"/>
      <c r="N187" s="174"/>
      <c r="O187" s="174">
        <f t="shared" si="38"/>
        <v>0</v>
      </c>
      <c r="P187" s="174"/>
      <c r="Q187" s="174"/>
      <c r="R187" s="174"/>
      <c r="S187" s="174"/>
      <c r="T187" s="174"/>
      <c r="U187" s="174">
        <f t="shared" si="40"/>
        <v>0</v>
      </c>
      <c r="V187" s="448"/>
      <c r="W187" s="176">
        <f t="shared" si="39"/>
        <v>0</v>
      </c>
    </row>
    <row r="188" spans="1:23" ht="24.95" hidden="1" customHeight="1" x14ac:dyDescent="0.2">
      <c r="A188" s="40">
        <v>12</v>
      </c>
      <c r="B188" s="297"/>
      <c r="C188" s="51"/>
      <c r="D188" s="174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>
        <f t="shared" si="38"/>
        <v>0</v>
      </c>
      <c r="P188" s="174"/>
      <c r="Q188" s="174"/>
      <c r="R188" s="174"/>
      <c r="S188" s="174"/>
      <c r="T188" s="174"/>
      <c r="U188" s="174">
        <f t="shared" si="40"/>
        <v>0</v>
      </c>
      <c r="V188" s="448"/>
      <c r="W188" s="176">
        <f t="shared" si="39"/>
        <v>0</v>
      </c>
    </row>
    <row r="189" spans="1:23" ht="24.95" hidden="1" customHeight="1" x14ac:dyDescent="0.2">
      <c r="A189" s="40">
        <v>13</v>
      </c>
      <c r="B189" s="50"/>
      <c r="C189" s="51"/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>
        <f t="shared" si="38"/>
        <v>0</v>
      </c>
      <c r="P189" s="174"/>
      <c r="Q189" s="174"/>
      <c r="R189" s="174"/>
      <c r="S189" s="174"/>
      <c r="T189" s="174"/>
      <c r="U189" s="174">
        <f t="shared" si="40"/>
        <v>0</v>
      </c>
      <c r="V189" s="448"/>
      <c r="W189" s="176">
        <f t="shared" si="39"/>
        <v>0</v>
      </c>
    </row>
    <row r="190" spans="1:23" ht="24.95" hidden="1" customHeight="1" x14ac:dyDescent="0.2">
      <c r="A190" s="40">
        <v>14</v>
      </c>
      <c r="B190" s="50"/>
      <c r="C190" s="51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>
        <f t="shared" si="38"/>
        <v>0</v>
      </c>
      <c r="P190" s="174"/>
      <c r="Q190" s="174"/>
      <c r="R190" s="174"/>
      <c r="S190" s="174"/>
      <c r="T190" s="174"/>
      <c r="U190" s="174">
        <f t="shared" si="40"/>
        <v>0</v>
      </c>
      <c r="V190" s="448"/>
      <c r="W190" s="176">
        <f t="shared" si="39"/>
        <v>0</v>
      </c>
    </row>
    <row r="191" spans="1:23" ht="24.95" hidden="1" customHeight="1" x14ac:dyDescent="0.2">
      <c r="A191" s="40"/>
      <c r="B191" s="50"/>
      <c r="C191" s="51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>
        <f t="shared" si="38"/>
        <v>0</v>
      </c>
      <c r="P191" s="174"/>
      <c r="Q191" s="174"/>
      <c r="R191" s="174"/>
      <c r="S191" s="174"/>
      <c r="T191" s="174"/>
      <c r="U191" s="174">
        <f t="shared" si="40"/>
        <v>0</v>
      </c>
      <c r="V191" s="448"/>
      <c r="W191" s="176">
        <f t="shared" si="39"/>
        <v>0</v>
      </c>
    </row>
    <row r="192" spans="1:23" ht="24.95" hidden="1" customHeight="1" x14ac:dyDescent="0.2">
      <c r="A192" s="40"/>
      <c r="B192" s="50"/>
      <c r="C192" s="51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>
        <f t="shared" si="38"/>
        <v>0</v>
      </c>
      <c r="P192" s="174"/>
      <c r="Q192" s="174"/>
      <c r="R192" s="174"/>
      <c r="S192" s="174"/>
      <c r="T192" s="174"/>
      <c r="U192" s="174">
        <f t="shared" si="40"/>
        <v>0</v>
      </c>
      <c r="V192" s="448"/>
      <c r="W192" s="176">
        <f t="shared" si="39"/>
        <v>0</v>
      </c>
    </row>
    <row r="193" spans="1:23" ht="24.95" hidden="1" customHeight="1" x14ac:dyDescent="0.2">
      <c r="A193" s="40"/>
      <c r="B193" s="50"/>
      <c r="C193" s="51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>
        <f t="shared" si="38"/>
        <v>0</v>
      </c>
      <c r="P193" s="174"/>
      <c r="Q193" s="174"/>
      <c r="R193" s="174"/>
      <c r="S193" s="174"/>
      <c r="T193" s="174"/>
      <c r="U193" s="174">
        <f t="shared" si="40"/>
        <v>0</v>
      </c>
      <c r="V193" s="448"/>
      <c r="W193" s="176">
        <f t="shared" si="39"/>
        <v>0</v>
      </c>
    </row>
    <row r="194" spans="1:23" ht="24.95" hidden="1" customHeight="1" x14ac:dyDescent="0.2">
      <c r="A194" s="40"/>
      <c r="B194" s="50"/>
      <c r="C194" s="51"/>
      <c r="D194" s="174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  <c r="O194" s="174">
        <f t="shared" si="38"/>
        <v>0</v>
      </c>
      <c r="P194" s="174"/>
      <c r="Q194" s="174"/>
      <c r="R194" s="174"/>
      <c r="S194" s="174"/>
      <c r="T194" s="174"/>
      <c r="U194" s="174">
        <f t="shared" si="40"/>
        <v>0</v>
      </c>
      <c r="V194" s="448"/>
      <c r="W194" s="176">
        <f t="shared" si="39"/>
        <v>0</v>
      </c>
    </row>
    <row r="195" spans="1:23" ht="24.95" hidden="1" customHeight="1" x14ac:dyDescent="0.2">
      <c r="A195" s="40"/>
      <c r="B195" s="50"/>
      <c r="C195" s="51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>
        <f t="shared" si="38"/>
        <v>0</v>
      </c>
      <c r="P195" s="174"/>
      <c r="Q195" s="174"/>
      <c r="R195" s="174"/>
      <c r="S195" s="174"/>
      <c r="T195" s="174"/>
      <c r="U195" s="174">
        <f t="shared" si="40"/>
        <v>0</v>
      </c>
      <c r="V195" s="448"/>
      <c r="W195" s="176">
        <f t="shared" si="39"/>
        <v>0</v>
      </c>
    </row>
    <row r="196" spans="1:23" ht="24.95" hidden="1" customHeight="1" x14ac:dyDescent="0.2">
      <c r="A196" s="40"/>
      <c r="B196" s="50"/>
      <c r="C196" s="51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>
        <f t="shared" si="38"/>
        <v>0</v>
      </c>
      <c r="P196" s="174"/>
      <c r="Q196" s="174"/>
      <c r="R196" s="174"/>
      <c r="S196" s="174"/>
      <c r="T196" s="174"/>
      <c r="U196" s="174">
        <f t="shared" si="40"/>
        <v>0</v>
      </c>
      <c r="V196" s="448"/>
      <c r="W196" s="176">
        <f t="shared" si="39"/>
        <v>0</v>
      </c>
    </row>
    <row r="197" spans="1:23" ht="24.95" hidden="1" customHeight="1" x14ac:dyDescent="0.2">
      <c r="A197" s="40"/>
      <c r="B197" s="50"/>
      <c r="C197" s="51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>
        <f t="shared" si="38"/>
        <v>0</v>
      </c>
      <c r="P197" s="174"/>
      <c r="Q197" s="174"/>
      <c r="R197" s="174"/>
      <c r="S197" s="174"/>
      <c r="T197" s="174"/>
      <c r="U197" s="174">
        <f t="shared" si="40"/>
        <v>0</v>
      </c>
      <c r="V197" s="448"/>
      <c r="W197" s="176">
        <f t="shared" si="39"/>
        <v>0</v>
      </c>
    </row>
    <row r="198" spans="1:23" ht="24.95" hidden="1" customHeight="1" x14ac:dyDescent="0.2">
      <c r="A198" s="40"/>
      <c r="B198" s="50"/>
      <c r="C198" s="51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  <c r="O198" s="174">
        <f t="shared" si="38"/>
        <v>0</v>
      </c>
      <c r="P198" s="174"/>
      <c r="Q198" s="174"/>
      <c r="R198" s="174"/>
      <c r="S198" s="174"/>
      <c r="T198" s="174"/>
      <c r="U198" s="174">
        <f t="shared" si="40"/>
        <v>0</v>
      </c>
      <c r="V198" s="448"/>
      <c r="W198" s="176">
        <f t="shared" si="39"/>
        <v>0</v>
      </c>
    </row>
    <row r="199" spans="1:23" ht="24.95" hidden="1" customHeight="1" x14ac:dyDescent="0.2">
      <c r="A199" s="40"/>
      <c r="B199" s="50"/>
      <c r="C199" s="51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>
        <f t="shared" si="38"/>
        <v>0</v>
      </c>
      <c r="P199" s="174"/>
      <c r="Q199" s="174"/>
      <c r="R199" s="174"/>
      <c r="S199" s="174"/>
      <c r="T199" s="174"/>
      <c r="U199" s="174">
        <f t="shared" si="40"/>
        <v>0</v>
      </c>
      <c r="V199" s="448"/>
      <c r="W199" s="176">
        <f t="shared" si="39"/>
        <v>0</v>
      </c>
    </row>
    <row r="200" spans="1:23" ht="24.95" hidden="1" customHeight="1" x14ac:dyDescent="0.2">
      <c r="A200" s="40"/>
      <c r="B200" s="50"/>
      <c r="C200" s="51"/>
      <c r="D200" s="174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>
        <f t="shared" si="38"/>
        <v>0</v>
      </c>
      <c r="P200" s="174"/>
      <c r="Q200" s="174"/>
      <c r="R200" s="174"/>
      <c r="S200" s="174"/>
      <c r="T200" s="174"/>
      <c r="U200" s="174">
        <f t="shared" si="40"/>
        <v>0</v>
      </c>
      <c r="V200" s="448"/>
      <c r="W200" s="176">
        <f t="shared" si="39"/>
        <v>0</v>
      </c>
    </row>
    <row r="201" spans="1:23" ht="24.95" hidden="1" customHeight="1" x14ac:dyDescent="0.2">
      <c r="A201" s="40"/>
      <c r="B201" s="50"/>
      <c r="C201" s="51"/>
      <c r="D201" s="174"/>
      <c r="E201" s="174"/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4"/>
      <c r="U201" s="174"/>
      <c r="V201" s="448"/>
      <c r="W201" s="176"/>
    </row>
    <row r="202" spans="1:23" ht="24.95" hidden="1" customHeight="1" x14ac:dyDescent="0.2">
      <c r="A202" s="40"/>
      <c r="B202" s="50"/>
      <c r="C202" s="33" t="s">
        <v>69</v>
      </c>
      <c r="D202" s="182"/>
      <c r="E202" s="174"/>
      <c r="F202" s="174"/>
      <c r="G202" s="174"/>
      <c r="H202" s="182"/>
      <c r="I202" s="174"/>
      <c r="J202" s="174"/>
      <c r="K202" s="174"/>
      <c r="L202" s="174"/>
      <c r="M202" s="174"/>
      <c r="N202" s="174"/>
      <c r="O202" s="174">
        <f t="shared" si="38"/>
        <v>0</v>
      </c>
      <c r="P202" s="174"/>
      <c r="Q202" s="174"/>
      <c r="R202" s="174"/>
      <c r="S202" s="174"/>
      <c r="T202" s="174"/>
      <c r="U202" s="174">
        <f>SUM(Q202:T202)</f>
        <v>0</v>
      </c>
      <c r="V202" s="448"/>
      <c r="W202" s="594">
        <f>O202+U202</f>
        <v>0</v>
      </c>
    </row>
    <row r="203" spans="1:23" ht="24.95" hidden="1" customHeight="1" thickBot="1" x14ac:dyDescent="0.25">
      <c r="A203" s="40"/>
      <c r="B203" s="50"/>
      <c r="C203" s="51"/>
      <c r="D203" s="174"/>
      <c r="E203" s="174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4"/>
      <c r="U203" s="592"/>
      <c r="V203" s="593"/>
      <c r="W203" s="176"/>
    </row>
    <row r="204" spans="1:23" ht="24.95" hidden="1" customHeight="1" thickTop="1" thickBot="1" x14ac:dyDescent="0.25">
      <c r="A204" s="47"/>
      <c r="B204" s="268" t="s">
        <v>188</v>
      </c>
      <c r="C204" s="44" t="s">
        <v>32</v>
      </c>
      <c r="D204" s="183">
        <f>SUM(D176:D203)</f>
        <v>0</v>
      </c>
      <c r="E204" s="183">
        <f t="shared" ref="E204:N204" si="41">SUM(E176:E203)</f>
        <v>0</v>
      </c>
      <c r="F204" s="183">
        <f t="shared" si="41"/>
        <v>0</v>
      </c>
      <c r="G204" s="183">
        <f t="shared" si="41"/>
        <v>0</v>
      </c>
      <c r="H204" s="183">
        <f t="shared" si="41"/>
        <v>0</v>
      </c>
      <c r="I204" s="183">
        <f t="shared" si="41"/>
        <v>0</v>
      </c>
      <c r="J204" s="183">
        <f t="shared" si="41"/>
        <v>0</v>
      </c>
      <c r="K204" s="183">
        <f t="shared" si="41"/>
        <v>0</v>
      </c>
      <c r="L204" s="183">
        <f t="shared" si="41"/>
        <v>0</v>
      </c>
      <c r="M204" s="416">
        <f t="shared" si="41"/>
        <v>0</v>
      </c>
      <c r="N204" s="183">
        <f t="shared" si="41"/>
        <v>0</v>
      </c>
      <c r="O204" s="183">
        <f>SUM(O176:O203)</f>
        <v>0</v>
      </c>
      <c r="P204" s="183"/>
      <c r="Q204" s="183">
        <f>SUM(Q176:Q203)</f>
        <v>0</v>
      </c>
      <c r="R204" s="211">
        <f>SUM(R176:R203)</f>
        <v>0</v>
      </c>
      <c r="S204" s="211">
        <f>SUM(S176:S203)</f>
        <v>0</v>
      </c>
      <c r="T204" s="183">
        <f>SUM(T176:T203)</f>
        <v>0</v>
      </c>
      <c r="U204" s="183">
        <f>SUM(U176:U203)</f>
        <v>0</v>
      </c>
      <c r="V204" s="172"/>
      <c r="W204" s="445">
        <f>SUM(W176:W203)</f>
        <v>0</v>
      </c>
    </row>
    <row r="205" spans="1:23" ht="24.95" hidden="1" customHeight="1" thickTop="1" thickBot="1" x14ac:dyDescent="0.25">
      <c r="A205" s="47"/>
      <c r="B205" s="43" t="s">
        <v>189</v>
      </c>
      <c r="C205" s="44" t="s">
        <v>152</v>
      </c>
      <c r="D205" s="210">
        <f>D175+D204</f>
        <v>2237053.179</v>
      </c>
      <c r="E205" s="210">
        <f t="shared" ref="E205:N205" si="42">E175+E204</f>
        <v>0</v>
      </c>
      <c r="F205" s="210">
        <f t="shared" si="42"/>
        <v>53372</v>
      </c>
      <c r="G205" s="210">
        <f t="shared" si="42"/>
        <v>8490006</v>
      </c>
      <c r="H205" s="210">
        <f t="shared" si="42"/>
        <v>2492010.318</v>
      </c>
      <c r="I205" s="210">
        <f t="shared" si="42"/>
        <v>500</v>
      </c>
      <c r="J205" s="210">
        <f t="shared" si="42"/>
        <v>200000</v>
      </c>
      <c r="K205" s="210">
        <f t="shared" si="42"/>
        <v>15184.593999999999</v>
      </c>
      <c r="L205" s="210">
        <f t="shared" si="42"/>
        <v>1355162</v>
      </c>
      <c r="M205" s="210">
        <f t="shared" si="42"/>
        <v>17800</v>
      </c>
      <c r="N205" s="210">
        <f t="shared" si="42"/>
        <v>0</v>
      </c>
      <c r="O205" s="210">
        <f>O175+O204</f>
        <v>14861088.091</v>
      </c>
      <c r="P205" s="210"/>
      <c r="Q205" s="210">
        <f>Q175+Q204</f>
        <v>4390000</v>
      </c>
      <c r="R205" s="210">
        <f>R175+R204</f>
        <v>3532804.4679999999</v>
      </c>
      <c r="S205" s="210">
        <f>S175+S204</f>
        <v>0</v>
      </c>
      <c r="T205" s="210">
        <f>T175+T204</f>
        <v>0</v>
      </c>
      <c r="U205" s="404">
        <f>U175+U204</f>
        <v>7922804.4680000003</v>
      </c>
      <c r="V205" s="460"/>
      <c r="W205" s="445">
        <f>W175+W204</f>
        <v>22783892.559</v>
      </c>
    </row>
    <row r="206" spans="1:23" ht="24.95" hidden="1" customHeight="1" thickTop="1" thickBot="1" x14ac:dyDescent="0.25">
      <c r="A206" s="40"/>
      <c r="B206" s="50"/>
      <c r="C206" s="51"/>
      <c r="D206" s="174"/>
      <c r="E206" s="174"/>
      <c r="F206" s="174"/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4"/>
      <c r="U206" s="175"/>
      <c r="V206" s="346"/>
      <c r="W206" s="176"/>
    </row>
    <row r="207" spans="1:23" ht="24.95" hidden="1" customHeight="1" thickTop="1" thickBot="1" x14ac:dyDescent="0.3">
      <c r="C207" s="2" t="s">
        <v>98</v>
      </c>
      <c r="D207" s="300">
        <v>2237053.179</v>
      </c>
      <c r="E207" s="300">
        <v>0</v>
      </c>
      <c r="F207" s="300">
        <v>53372</v>
      </c>
      <c r="G207" s="300">
        <v>8490006</v>
      </c>
      <c r="H207" s="300">
        <v>2492010.318</v>
      </c>
      <c r="I207" s="300">
        <v>500</v>
      </c>
      <c r="J207" s="300">
        <v>200000</v>
      </c>
      <c r="K207" s="300">
        <v>15184.593999999999</v>
      </c>
      <c r="L207" s="300">
        <v>1355162</v>
      </c>
      <c r="M207" s="300">
        <v>17800</v>
      </c>
      <c r="N207" s="300">
        <v>0</v>
      </c>
      <c r="O207" s="300">
        <v>14861088.091</v>
      </c>
      <c r="P207" s="300"/>
      <c r="Q207" s="300">
        <v>4390000</v>
      </c>
      <c r="R207" s="300">
        <v>3532804.4679999999</v>
      </c>
      <c r="S207" s="300">
        <v>0</v>
      </c>
      <c r="T207" s="300">
        <v>0</v>
      </c>
      <c r="U207" s="335">
        <v>7922804.4680000003</v>
      </c>
      <c r="V207" s="335"/>
      <c r="W207" s="301">
        <v>22783892.559</v>
      </c>
    </row>
    <row r="208" spans="1:23" ht="24.95" hidden="1" customHeight="1" thickTop="1" x14ac:dyDescent="0.25">
      <c r="D208" s="173"/>
      <c r="E208" s="173"/>
      <c r="F208" s="173"/>
      <c r="G208" s="173"/>
      <c r="H208" s="173"/>
      <c r="I208" s="173"/>
      <c r="J208" s="173"/>
      <c r="K208" s="173"/>
      <c r="L208" s="173"/>
      <c r="M208" s="173"/>
      <c r="N208" s="173"/>
      <c r="O208" s="173"/>
      <c r="P208" s="173"/>
      <c r="Q208" s="173"/>
      <c r="R208" s="173"/>
      <c r="S208" s="173"/>
      <c r="T208" s="173"/>
      <c r="U208" s="173"/>
      <c r="V208" s="173"/>
      <c r="W208" s="173"/>
    </row>
    <row r="209" spans="3:23" ht="24.95" hidden="1" customHeight="1" x14ac:dyDescent="0.25">
      <c r="C209" s="2" t="s">
        <v>94</v>
      </c>
      <c r="D209" s="173">
        <f>D207-D205</f>
        <v>0</v>
      </c>
      <c r="E209" s="173">
        <f t="shared" ref="E209:W209" si="43">E207-E205</f>
        <v>0</v>
      </c>
      <c r="F209" s="173">
        <f t="shared" si="43"/>
        <v>0</v>
      </c>
      <c r="G209" s="173">
        <f t="shared" si="43"/>
        <v>0</v>
      </c>
      <c r="H209" s="173">
        <f t="shared" si="43"/>
        <v>0</v>
      </c>
      <c r="I209" s="173">
        <f t="shared" si="43"/>
        <v>0</v>
      </c>
      <c r="J209" s="173">
        <f t="shared" si="43"/>
        <v>0</v>
      </c>
      <c r="K209" s="173">
        <f t="shared" si="43"/>
        <v>0</v>
      </c>
      <c r="L209" s="173">
        <f t="shared" si="43"/>
        <v>0</v>
      </c>
      <c r="M209" s="173">
        <f t="shared" si="43"/>
        <v>0</v>
      </c>
      <c r="N209" s="173">
        <f t="shared" si="43"/>
        <v>0</v>
      </c>
      <c r="O209" s="173">
        <f t="shared" si="43"/>
        <v>0</v>
      </c>
      <c r="P209" s="173"/>
      <c r="Q209" s="173">
        <f t="shared" si="43"/>
        <v>0</v>
      </c>
      <c r="R209" s="173">
        <f t="shared" si="43"/>
        <v>0</v>
      </c>
      <c r="S209" s="173">
        <f t="shared" si="43"/>
        <v>0</v>
      </c>
      <c r="T209" s="173">
        <f t="shared" si="43"/>
        <v>0</v>
      </c>
      <c r="U209" s="173">
        <f t="shared" si="43"/>
        <v>0</v>
      </c>
      <c r="V209" s="173"/>
      <c r="W209" s="173">
        <f t="shared" si="43"/>
        <v>0</v>
      </c>
    </row>
    <row r="210" spans="3:23" ht="24.95" hidden="1" customHeight="1" x14ac:dyDescent="0.25"/>
    <row r="211" spans="3:23" ht="24.95" customHeight="1" thickTop="1" x14ac:dyDescent="0.25"/>
    <row r="212" spans="3:23" ht="24.95" customHeight="1" x14ac:dyDescent="0.25">
      <c r="R212" s="29"/>
    </row>
    <row r="213" spans="3:23" ht="24.95" customHeight="1" x14ac:dyDescent="0.25"/>
    <row r="214" spans="3:23" ht="24.95" customHeight="1" x14ac:dyDescent="0.25"/>
    <row r="215" spans="3:23" ht="24.95" customHeight="1" x14ac:dyDescent="0.25"/>
    <row r="216" spans="3:23" ht="24.95" customHeight="1" x14ac:dyDescent="0.25"/>
    <row r="217" spans="3:23" ht="24.95" customHeight="1" x14ac:dyDescent="0.25"/>
    <row r="218" spans="3:23" ht="24.95" customHeight="1" x14ac:dyDescent="0.25"/>
    <row r="219" spans="3:23" ht="24.95" customHeight="1" x14ac:dyDescent="0.25"/>
    <row r="220" spans="3:23" ht="24.95" customHeight="1" x14ac:dyDescent="0.25"/>
    <row r="221" spans="3:23" ht="24.95" customHeight="1" x14ac:dyDescent="0.25"/>
    <row r="222" spans="3:23" ht="24.95" customHeight="1" x14ac:dyDescent="0.25"/>
    <row r="223" spans="3:23" ht="24.95" customHeight="1" x14ac:dyDescent="0.25"/>
    <row r="224" spans="3:23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505" spans="9:9" x14ac:dyDescent="0.25">
      <c r="I505" s="52">
        <f>-10437-1367-86-236+13-6357-200+31+71-310-1500-799-55-443-3970</f>
        <v>-25645</v>
      </c>
    </row>
  </sheetData>
  <mergeCells count="5">
    <mergeCell ref="D7:F7"/>
    <mergeCell ref="J7:K7"/>
    <mergeCell ref="Q7:T7"/>
    <mergeCell ref="A2:W2"/>
    <mergeCell ref="A4:W4"/>
  </mergeCells>
  <phoneticPr fontId="3" type="noConversion"/>
  <printOptions horizontalCentered="1" verticalCentered="1"/>
  <pageMargins left="0" right="0" top="0.51181102362204722" bottom="0.55118110236220474" header="7.874015748031496E-2" footer="7.874015748031496E-2"/>
  <pageSetup paperSize="9" scale="4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08"/>
  <sheetViews>
    <sheetView zoomScale="71" zoomScaleNormal="71" workbookViewId="0">
      <selection activeCell="A13" sqref="A13:XFD13"/>
    </sheetView>
  </sheetViews>
  <sheetFormatPr defaultRowHeight="16.5" x14ac:dyDescent="0.25"/>
  <cols>
    <col min="1" max="1" width="3.85546875" style="93" customWidth="1"/>
    <col min="2" max="2" width="10.7109375" style="1" hidden="1" customWidth="1"/>
    <col min="3" max="3" width="53.7109375" style="2" customWidth="1"/>
    <col min="4" max="5" width="12.7109375" style="2" customWidth="1"/>
    <col min="6" max="6" width="13.5703125" style="2" customWidth="1"/>
    <col min="7" max="9" width="12.7109375" style="2" customWidth="1"/>
    <col min="10" max="10" width="13.7109375" style="2" customWidth="1"/>
    <col min="11" max="11" width="14.85546875" style="2" customWidth="1"/>
    <col min="12" max="12" width="14.140625" style="2" customWidth="1"/>
    <col min="13" max="17" width="12.7109375" style="2" customWidth="1"/>
    <col min="18" max="18" width="14.7109375" style="2" customWidth="1"/>
    <col min="19" max="19" width="1.7109375" style="2" customWidth="1"/>
    <col min="20" max="20" width="13.5703125" style="2" customWidth="1"/>
    <col min="21" max="21" width="14.140625" style="2" customWidth="1"/>
    <col min="22" max="22" width="12.7109375" style="2" customWidth="1"/>
    <col min="23" max="23" width="11.85546875" style="2" customWidth="1"/>
    <col min="24" max="24" width="13.5703125" style="2" customWidth="1"/>
    <col min="25" max="25" width="16.7109375" style="2" customWidth="1"/>
    <col min="26" max="26" width="16.7109375" style="53" customWidth="1"/>
    <col min="27" max="27" width="18.28515625" style="53" customWidth="1"/>
    <col min="28" max="28" width="16.28515625" style="53" customWidth="1"/>
    <col min="29" max="31" width="10.42578125" style="53" customWidth="1"/>
    <col min="32" max="32" width="12.28515625" style="53" customWidth="1"/>
    <col min="33" max="33" width="14" style="53" customWidth="1"/>
    <col min="34" max="34" width="12.28515625" style="53" customWidth="1"/>
    <col min="35" max="36" width="10.42578125" style="53" customWidth="1"/>
    <col min="37" max="37" width="12.28515625" style="53" customWidth="1"/>
    <col min="38" max="38" width="9.140625" style="53"/>
    <col min="39" max="40" width="10.42578125" style="53" customWidth="1"/>
    <col min="41" max="41" width="12.28515625" style="53" customWidth="1"/>
    <col min="42" max="42" width="12.7109375" style="53" customWidth="1"/>
    <col min="43" max="16384" width="9.140625" style="2"/>
  </cols>
  <sheetData>
    <row r="1" spans="1:42" ht="16.5" customHeight="1" x14ac:dyDescent="0.25">
      <c r="Z1" s="191" t="s">
        <v>344</v>
      </c>
      <c r="AA1" s="191"/>
    </row>
    <row r="2" spans="1:42" ht="30" customHeight="1" x14ac:dyDescent="0.2">
      <c r="A2" s="690" t="s">
        <v>0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351"/>
    </row>
    <row r="3" spans="1:42" ht="30" customHeight="1" x14ac:dyDescent="0.2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351"/>
    </row>
    <row r="4" spans="1:42" ht="50.1" customHeight="1" x14ac:dyDescent="0.2">
      <c r="A4" s="691" t="s">
        <v>338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351"/>
    </row>
    <row r="5" spans="1:42" ht="24.95" customHeight="1" x14ac:dyDescent="0.2">
      <c r="A5" s="473"/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351"/>
    </row>
    <row r="6" spans="1:42" ht="17.25" customHeight="1" thickBo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6" t="s">
        <v>1</v>
      </c>
      <c r="AA6" s="352"/>
    </row>
    <row r="7" spans="1:42" ht="17.25" thickBot="1" x14ac:dyDescent="0.3">
      <c r="A7" s="55"/>
      <c r="B7" s="8"/>
      <c r="C7" s="9"/>
      <c r="D7" s="692" t="s">
        <v>33</v>
      </c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692"/>
      <c r="Q7" s="692"/>
      <c r="R7" s="692"/>
      <c r="S7" s="692"/>
      <c r="T7" s="692"/>
      <c r="U7" s="692"/>
      <c r="V7" s="692"/>
      <c r="W7" s="692"/>
      <c r="X7" s="692"/>
      <c r="Y7" s="692"/>
      <c r="Z7" s="692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2" ht="17.25" customHeight="1" thickTop="1" x14ac:dyDescent="0.25">
      <c r="A8" s="57"/>
      <c r="B8" s="12"/>
      <c r="C8" s="13"/>
      <c r="D8" s="693" t="s">
        <v>168</v>
      </c>
      <c r="E8" s="694"/>
      <c r="F8" s="694"/>
      <c r="G8" s="694"/>
      <c r="H8" s="694"/>
      <c r="I8" s="694"/>
      <c r="J8" s="694"/>
      <c r="K8" s="695"/>
      <c r="L8" s="696" t="s">
        <v>169</v>
      </c>
      <c r="M8" s="697"/>
      <c r="N8" s="697"/>
      <c r="O8" s="697"/>
      <c r="P8" s="697"/>
      <c r="Q8" s="695"/>
      <c r="R8" s="489" t="s">
        <v>136</v>
      </c>
      <c r="S8" s="489"/>
      <c r="T8" s="696" t="s">
        <v>170</v>
      </c>
      <c r="U8" s="697"/>
      <c r="V8" s="697"/>
      <c r="W8" s="698"/>
      <c r="X8" s="493" t="s">
        <v>147</v>
      </c>
      <c r="Y8" s="369" t="s">
        <v>2</v>
      </c>
      <c r="Z8" s="386"/>
      <c r="AA8" s="56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6"/>
    </row>
    <row r="9" spans="1:42" x14ac:dyDescent="0.25">
      <c r="A9" s="18" t="s">
        <v>8</v>
      </c>
      <c r="B9" s="12"/>
      <c r="C9" s="13" t="s">
        <v>3</v>
      </c>
      <c r="D9" s="58"/>
      <c r="E9" s="208" t="s">
        <v>38</v>
      </c>
      <c r="F9" s="59"/>
      <c r="G9" s="59" t="s">
        <v>34</v>
      </c>
      <c r="H9" s="59" t="s">
        <v>122</v>
      </c>
      <c r="I9" s="59" t="s">
        <v>123</v>
      </c>
      <c r="J9" s="59" t="s">
        <v>123</v>
      </c>
      <c r="K9" s="208"/>
      <c r="L9" s="59"/>
      <c r="M9" s="59"/>
      <c r="N9" s="59" t="s">
        <v>4</v>
      </c>
      <c r="O9" s="59" t="s">
        <v>153</v>
      </c>
      <c r="P9" s="60" t="s">
        <v>154</v>
      </c>
      <c r="Q9" s="208" t="s">
        <v>4</v>
      </c>
      <c r="R9" s="490" t="s">
        <v>137</v>
      </c>
      <c r="S9" s="490"/>
      <c r="T9" s="17" t="s">
        <v>155</v>
      </c>
      <c r="U9" s="17" t="s">
        <v>156</v>
      </c>
      <c r="V9" s="17" t="s">
        <v>233</v>
      </c>
      <c r="W9" s="17" t="s">
        <v>4</v>
      </c>
      <c r="X9" s="494" t="s">
        <v>148</v>
      </c>
      <c r="Y9" s="370" t="s">
        <v>36</v>
      </c>
      <c r="Z9" s="248" t="s">
        <v>35</v>
      </c>
      <c r="AA9" s="56"/>
      <c r="AB9" s="4"/>
      <c r="AC9" s="4"/>
      <c r="AD9" s="4"/>
      <c r="AE9" s="4"/>
      <c r="AF9" s="4"/>
      <c r="AG9" s="4"/>
      <c r="AH9" s="4"/>
      <c r="AI9" s="4"/>
      <c r="AJ9" s="689"/>
      <c r="AK9" s="689"/>
      <c r="AL9" s="4"/>
      <c r="AM9" s="4"/>
      <c r="AN9" s="4"/>
      <c r="AO9" s="4"/>
      <c r="AP9" s="56"/>
    </row>
    <row r="10" spans="1:42" ht="16.5" customHeight="1" x14ac:dyDescent="0.25">
      <c r="A10" s="11"/>
      <c r="B10" s="12"/>
      <c r="C10" s="13" t="s">
        <v>9</v>
      </c>
      <c r="D10" s="59" t="s">
        <v>37</v>
      </c>
      <c r="E10" s="59" t="s">
        <v>78</v>
      </c>
      <c r="F10" s="59" t="s">
        <v>39</v>
      </c>
      <c r="G10" s="59" t="s">
        <v>40</v>
      </c>
      <c r="H10" s="59" t="s">
        <v>124</v>
      </c>
      <c r="I10" s="59" t="s">
        <v>80</v>
      </c>
      <c r="J10" s="59" t="s">
        <v>80</v>
      </c>
      <c r="K10" s="59" t="s">
        <v>43</v>
      </c>
      <c r="L10" s="59" t="s">
        <v>157</v>
      </c>
      <c r="M10" s="59" t="s">
        <v>158</v>
      </c>
      <c r="N10" s="59" t="s">
        <v>159</v>
      </c>
      <c r="O10" s="59" t="s">
        <v>160</v>
      </c>
      <c r="P10" s="59" t="s">
        <v>51</v>
      </c>
      <c r="Q10" s="59" t="s">
        <v>159</v>
      </c>
      <c r="R10" s="491" t="s">
        <v>41</v>
      </c>
      <c r="S10" s="491"/>
      <c r="T10" s="13" t="s">
        <v>161</v>
      </c>
      <c r="U10" s="13" t="s">
        <v>141</v>
      </c>
      <c r="V10" s="13" t="s">
        <v>234</v>
      </c>
      <c r="W10" s="17" t="s">
        <v>190</v>
      </c>
      <c r="X10" s="422" t="s">
        <v>41</v>
      </c>
      <c r="Y10" s="370" t="s">
        <v>12</v>
      </c>
      <c r="Z10" s="248" t="s">
        <v>44</v>
      </c>
      <c r="AA10" s="56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56"/>
    </row>
    <row r="11" spans="1:42" x14ac:dyDescent="0.25">
      <c r="A11" s="57"/>
      <c r="B11" s="12"/>
      <c r="C11" s="13" t="s">
        <v>13</v>
      </c>
      <c r="D11" s="59" t="s">
        <v>45</v>
      </c>
      <c r="E11" s="59" t="s">
        <v>50</v>
      </c>
      <c r="F11" s="59" t="s">
        <v>41</v>
      </c>
      <c r="G11" s="59" t="s">
        <v>46</v>
      </c>
      <c r="H11" s="59" t="s">
        <v>126</v>
      </c>
      <c r="I11" s="59" t="s">
        <v>127</v>
      </c>
      <c r="J11" s="59" t="s">
        <v>127</v>
      </c>
      <c r="K11" s="59"/>
      <c r="L11" s="59"/>
      <c r="M11" s="59"/>
      <c r="N11" s="59" t="s">
        <v>80</v>
      </c>
      <c r="O11" s="59" t="s">
        <v>47</v>
      </c>
      <c r="P11" s="59"/>
      <c r="Q11" s="59" t="s">
        <v>80</v>
      </c>
      <c r="R11" s="491" t="s">
        <v>12</v>
      </c>
      <c r="S11" s="491"/>
      <c r="T11" s="13" t="s">
        <v>162</v>
      </c>
      <c r="U11" s="13" t="s">
        <v>143</v>
      </c>
      <c r="V11" s="13" t="s">
        <v>237</v>
      </c>
      <c r="W11" s="17" t="s">
        <v>191</v>
      </c>
      <c r="X11" s="422" t="s">
        <v>12</v>
      </c>
      <c r="Y11" s="103" t="s">
        <v>174</v>
      </c>
      <c r="Z11" s="248" t="s">
        <v>49</v>
      </c>
      <c r="AA11" s="353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56"/>
    </row>
    <row r="12" spans="1:42" x14ac:dyDescent="0.25">
      <c r="A12" s="57"/>
      <c r="B12" s="12"/>
      <c r="C12" s="13"/>
      <c r="D12" s="61"/>
      <c r="E12" s="59" t="s">
        <v>175</v>
      </c>
      <c r="F12" s="59"/>
      <c r="G12" s="132"/>
      <c r="H12" s="62"/>
      <c r="I12" s="132" t="s">
        <v>163</v>
      </c>
      <c r="J12" s="132" t="s">
        <v>164</v>
      </c>
      <c r="K12" s="59"/>
      <c r="L12" s="62"/>
      <c r="M12" s="59"/>
      <c r="N12" s="59" t="s">
        <v>165</v>
      </c>
      <c r="O12" s="59" t="s">
        <v>166</v>
      </c>
      <c r="P12" s="59"/>
      <c r="Q12" s="59" t="s">
        <v>166</v>
      </c>
      <c r="R12" s="492" t="s">
        <v>172</v>
      </c>
      <c r="S12" s="492"/>
      <c r="T12" s="13" t="s">
        <v>167</v>
      </c>
      <c r="U12" s="13" t="s">
        <v>48</v>
      </c>
      <c r="V12" s="13" t="s">
        <v>238</v>
      </c>
      <c r="W12" s="13" t="s">
        <v>41</v>
      </c>
      <c r="X12" s="353" t="s">
        <v>173</v>
      </c>
      <c r="Y12" s="370"/>
      <c r="Z12" s="248"/>
      <c r="AA12" s="56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56"/>
    </row>
    <row r="13" spans="1:42" hidden="1" x14ac:dyDescent="0.25">
      <c r="A13" s="121"/>
      <c r="B13" s="114"/>
      <c r="C13" s="115"/>
      <c r="D13" s="116" t="s">
        <v>196</v>
      </c>
      <c r="E13" s="16" t="s">
        <v>197</v>
      </c>
      <c r="F13" s="16" t="s">
        <v>198</v>
      </c>
      <c r="G13" s="17" t="s">
        <v>199</v>
      </c>
      <c r="H13" s="122" t="s">
        <v>200</v>
      </c>
      <c r="I13" s="13" t="s">
        <v>201</v>
      </c>
      <c r="J13" s="17" t="s">
        <v>202</v>
      </c>
      <c r="K13" s="115" t="s">
        <v>203</v>
      </c>
      <c r="L13" s="122" t="s">
        <v>204</v>
      </c>
      <c r="M13" s="122" t="s">
        <v>205</v>
      </c>
      <c r="N13" s="122" t="s">
        <v>206</v>
      </c>
      <c r="O13" s="123" t="s">
        <v>207</v>
      </c>
      <c r="P13" s="115" t="s">
        <v>208</v>
      </c>
      <c r="Q13" s="115" t="s">
        <v>209</v>
      </c>
      <c r="R13" s="115"/>
      <c r="S13" s="115"/>
      <c r="T13" s="115" t="s">
        <v>210</v>
      </c>
      <c r="U13" s="115" t="s">
        <v>211</v>
      </c>
      <c r="V13" s="115" t="s">
        <v>212</v>
      </c>
      <c r="W13" s="124" t="s">
        <v>213</v>
      </c>
      <c r="X13" s="480"/>
      <c r="Y13" s="371"/>
      <c r="Z13" s="249"/>
      <c r="AA13" s="56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56"/>
    </row>
    <row r="14" spans="1:42" ht="18" customHeight="1" x14ac:dyDescent="0.25">
      <c r="A14" s="197">
        <v>1</v>
      </c>
      <c r="B14" s="224"/>
      <c r="C14" s="221">
        <v>2</v>
      </c>
      <c r="D14" s="221">
        <v>3</v>
      </c>
      <c r="E14" s="221">
        <v>4</v>
      </c>
      <c r="F14" s="221">
        <v>5</v>
      </c>
      <c r="G14" s="221">
        <v>6</v>
      </c>
      <c r="H14" s="221">
        <v>7</v>
      </c>
      <c r="I14" s="221">
        <v>8</v>
      </c>
      <c r="J14" s="221">
        <v>9</v>
      </c>
      <c r="K14" s="221">
        <v>10</v>
      </c>
      <c r="L14" s="221">
        <v>11</v>
      </c>
      <c r="M14" s="221">
        <v>12</v>
      </c>
      <c r="N14" s="221">
        <v>13</v>
      </c>
      <c r="O14" s="221">
        <v>14</v>
      </c>
      <c r="P14" s="221">
        <v>15</v>
      </c>
      <c r="Q14" s="221">
        <v>16</v>
      </c>
      <c r="R14" s="221">
        <v>17</v>
      </c>
      <c r="S14" s="221"/>
      <c r="T14" s="221">
        <v>18</v>
      </c>
      <c r="U14" s="221">
        <v>19</v>
      </c>
      <c r="V14" s="221">
        <v>20</v>
      </c>
      <c r="W14" s="221">
        <v>21</v>
      </c>
      <c r="X14" s="495">
        <v>22</v>
      </c>
      <c r="Y14" s="372">
        <v>21</v>
      </c>
      <c r="Z14" s="250">
        <v>22</v>
      </c>
      <c r="AA14" s="354"/>
      <c r="AB14" s="4"/>
      <c r="AC14" s="4"/>
      <c r="AD14" s="4"/>
      <c r="AE14" s="4"/>
      <c r="AF14" s="4"/>
      <c r="AG14" s="4"/>
      <c r="AH14" s="4"/>
      <c r="AI14" s="4"/>
      <c r="AJ14" s="689"/>
      <c r="AK14" s="689"/>
      <c r="AL14" s="4"/>
      <c r="AM14" s="4"/>
      <c r="AN14" s="4"/>
      <c r="AO14" s="4"/>
      <c r="AP14" s="4"/>
    </row>
    <row r="15" spans="1:42" s="67" customFormat="1" ht="19.5" customHeight="1" x14ac:dyDescent="0.3">
      <c r="A15" s="63"/>
      <c r="B15" s="154"/>
      <c r="C15" s="64" t="s">
        <v>68</v>
      </c>
      <c r="D15" s="155">
        <v>145173</v>
      </c>
      <c r="E15" s="155">
        <v>34171</v>
      </c>
      <c r="F15" s="155">
        <v>4363936.5040000007</v>
      </c>
      <c r="G15" s="155">
        <v>172165</v>
      </c>
      <c r="H15" s="155">
        <v>150591.49600000001</v>
      </c>
      <c r="I15" s="155">
        <v>54512</v>
      </c>
      <c r="J15" s="155">
        <v>669332</v>
      </c>
      <c r="K15" s="155">
        <v>2321814</v>
      </c>
      <c r="L15" s="155">
        <v>1878399</v>
      </c>
      <c r="M15" s="155">
        <v>25420</v>
      </c>
      <c r="N15" s="155">
        <v>600</v>
      </c>
      <c r="O15" s="155">
        <v>10000</v>
      </c>
      <c r="P15" s="155">
        <v>0</v>
      </c>
      <c r="Q15" s="155">
        <v>440628</v>
      </c>
      <c r="R15" s="461">
        <f>SUM(D15:Q15)</f>
        <v>10266742</v>
      </c>
      <c r="S15" s="461"/>
      <c r="T15" s="155">
        <v>0</v>
      </c>
      <c r="U15" s="155">
        <v>0</v>
      </c>
      <c r="V15" s="155">
        <v>66267</v>
      </c>
      <c r="W15" s="155">
        <v>0</v>
      </c>
      <c r="X15" s="496">
        <f>SUM(T15:W15)</f>
        <v>66267</v>
      </c>
      <c r="Y15" s="373">
        <f>R15+X15</f>
        <v>10333009</v>
      </c>
      <c r="Z15" s="253">
        <v>6295958</v>
      </c>
      <c r="AA15" s="35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6"/>
    </row>
    <row r="16" spans="1:42" ht="20.100000000000001" hidden="1" customHeight="1" x14ac:dyDescent="0.25">
      <c r="A16" s="68"/>
      <c r="B16" s="140" t="s">
        <v>65</v>
      </c>
      <c r="C16" s="41" t="s">
        <v>106</v>
      </c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3"/>
      <c r="Y16" s="209">
        <f>SUM(D16:W16)</f>
        <v>0</v>
      </c>
      <c r="Z16" s="252"/>
      <c r="AA16" s="356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70"/>
    </row>
    <row r="17" spans="1:42" ht="20.100000000000001" hidden="1" customHeight="1" x14ac:dyDescent="0.25">
      <c r="A17" s="160"/>
      <c r="B17" s="27"/>
      <c r="C17" s="24" t="s">
        <v>18</v>
      </c>
      <c r="D17" s="155">
        <f>SUM(D15:D16)</f>
        <v>145173</v>
      </c>
      <c r="E17" s="155">
        <f t="shared" ref="E17:W17" si="0">SUM(E15:E16)</f>
        <v>34171</v>
      </c>
      <c r="F17" s="155">
        <f t="shared" si="0"/>
        <v>4363936.5040000007</v>
      </c>
      <c r="G17" s="155">
        <f t="shared" si="0"/>
        <v>172165</v>
      </c>
      <c r="H17" s="155">
        <f t="shared" si="0"/>
        <v>150591.49600000001</v>
      </c>
      <c r="I17" s="155">
        <f t="shared" si="0"/>
        <v>54512</v>
      </c>
      <c r="J17" s="155">
        <f t="shared" si="0"/>
        <v>669332</v>
      </c>
      <c r="K17" s="155">
        <f t="shared" si="0"/>
        <v>2321814</v>
      </c>
      <c r="L17" s="155">
        <f t="shared" si="0"/>
        <v>1878399</v>
      </c>
      <c r="M17" s="155">
        <f t="shared" si="0"/>
        <v>25420</v>
      </c>
      <c r="N17" s="155">
        <f t="shared" si="0"/>
        <v>600</v>
      </c>
      <c r="O17" s="155">
        <f t="shared" si="0"/>
        <v>10000</v>
      </c>
      <c r="P17" s="155">
        <f t="shared" si="0"/>
        <v>0</v>
      </c>
      <c r="Q17" s="155">
        <f t="shared" si="0"/>
        <v>440628</v>
      </c>
      <c r="R17" s="155"/>
      <c r="S17" s="155"/>
      <c r="T17" s="155">
        <f t="shared" si="0"/>
        <v>0</v>
      </c>
      <c r="U17" s="155">
        <f t="shared" si="0"/>
        <v>0</v>
      </c>
      <c r="V17" s="155">
        <f t="shared" si="0"/>
        <v>66267</v>
      </c>
      <c r="W17" s="155">
        <f t="shared" si="0"/>
        <v>0</v>
      </c>
      <c r="X17" s="156"/>
      <c r="Y17" s="374">
        <f>SUM(Y15:Y16)</f>
        <v>10333009</v>
      </c>
      <c r="Z17" s="253">
        <f>SUM(Z15:Z16)</f>
        <v>6295958</v>
      </c>
      <c r="AA17" s="355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70"/>
    </row>
    <row r="18" spans="1:42" ht="30" customHeight="1" x14ac:dyDescent="0.25">
      <c r="A18" s="82">
        <v>1</v>
      </c>
      <c r="B18" s="140" t="s">
        <v>194</v>
      </c>
      <c r="C18" s="28" t="s">
        <v>242</v>
      </c>
      <c r="D18" s="709"/>
      <c r="E18" s="709"/>
      <c r="F18" s="709">
        <f>2756+744</f>
        <v>3500</v>
      </c>
      <c r="G18" s="709"/>
      <c r="H18" s="709"/>
      <c r="I18" s="709"/>
      <c r="J18" s="709"/>
      <c r="K18" s="709"/>
      <c r="L18" s="709"/>
      <c r="M18" s="710">
        <f>-2756-744</f>
        <v>-3500</v>
      </c>
      <c r="N18" s="709"/>
      <c r="O18" s="709"/>
      <c r="P18" s="709"/>
      <c r="Q18" s="709"/>
      <c r="R18" s="709">
        <f t="shared" ref="R18:R94" si="1">SUM(D18:Q18)</f>
        <v>0</v>
      </c>
      <c r="S18" s="623"/>
      <c r="T18" s="623"/>
      <c r="U18" s="623"/>
      <c r="V18" s="623"/>
      <c r="W18" s="623"/>
      <c r="X18" s="712">
        <f t="shared" ref="X18:X138" si="2">SUM(T18:W18)</f>
        <v>0</v>
      </c>
      <c r="Y18" s="713">
        <f t="shared" ref="Y18:Y138" si="3">R18+X18</f>
        <v>0</v>
      </c>
      <c r="Z18" s="714"/>
      <c r="AA18" s="356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</row>
    <row r="19" spans="1:42" ht="30" customHeight="1" x14ac:dyDescent="0.25">
      <c r="A19" s="82">
        <v>2</v>
      </c>
      <c r="B19" s="140" t="s">
        <v>243</v>
      </c>
      <c r="C19" s="28" t="s">
        <v>244</v>
      </c>
      <c r="D19" s="709"/>
      <c r="E19" s="709"/>
      <c r="F19" s="709">
        <f>920+249</f>
        <v>1169</v>
      </c>
      <c r="G19" s="709"/>
      <c r="H19" s="709"/>
      <c r="I19" s="709"/>
      <c r="J19" s="709"/>
      <c r="K19" s="709"/>
      <c r="L19" s="709">
        <f>-920-249</f>
        <v>-1169</v>
      </c>
      <c r="M19" s="709"/>
      <c r="N19" s="709"/>
      <c r="O19" s="709"/>
      <c r="P19" s="709"/>
      <c r="Q19" s="709"/>
      <c r="R19" s="709">
        <f t="shared" si="1"/>
        <v>0</v>
      </c>
      <c r="S19" s="623"/>
      <c r="T19" s="623"/>
      <c r="U19" s="623"/>
      <c r="V19" s="623"/>
      <c r="W19" s="623"/>
      <c r="X19" s="712">
        <f t="shared" si="2"/>
        <v>0</v>
      </c>
      <c r="Y19" s="713">
        <f t="shared" si="3"/>
        <v>0</v>
      </c>
      <c r="Z19" s="714"/>
      <c r="AA19" s="356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70"/>
    </row>
    <row r="20" spans="1:42" ht="30" customHeight="1" x14ac:dyDescent="0.25">
      <c r="A20" s="82">
        <v>3</v>
      </c>
      <c r="B20" s="140" t="s">
        <v>245</v>
      </c>
      <c r="C20" s="28" t="s">
        <v>246</v>
      </c>
      <c r="D20" s="709"/>
      <c r="E20" s="709"/>
      <c r="F20" s="709">
        <f>1200</f>
        <v>1200</v>
      </c>
      <c r="G20" s="709"/>
      <c r="H20" s="709"/>
      <c r="I20" s="709">
        <f>-1200-1200</f>
        <v>-2400</v>
      </c>
      <c r="J20" s="709">
        <f>1200</f>
        <v>1200</v>
      </c>
      <c r="K20" s="709"/>
      <c r="L20" s="709"/>
      <c r="M20" s="709"/>
      <c r="N20" s="709"/>
      <c r="O20" s="709"/>
      <c r="P20" s="709"/>
      <c r="Q20" s="709"/>
      <c r="R20" s="709">
        <f t="shared" si="1"/>
        <v>0</v>
      </c>
      <c r="S20" s="623"/>
      <c r="T20" s="623"/>
      <c r="U20" s="623"/>
      <c r="V20" s="623"/>
      <c r="W20" s="623"/>
      <c r="X20" s="712">
        <f t="shared" si="2"/>
        <v>0</v>
      </c>
      <c r="Y20" s="713">
        <f t="shared" si="3"/>
        <v>0</v>
      </c>
      <c r="Z20" s="714"/>
      <c r="AA20" s="356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70"/>
    </row>
    <row r="21" spans="1:42" ht="30" customHeight="1" x14ac:dyDescent="0.25">
      <c r="A21" s="82">
        <v>4</v>
      </c>
      <c r="B21" s="140" t="s">
        <v>247</v>
      </c>
      <c r="C21" s="28" t="s">
        <v>253</v>
      </c>
      <c r="D21" s="709"/>
      <c r="E21" s="709"/>
      <c r="F21" s="709">
        <f>9708.25</f>
        <v>9708.25</v>
      </c>
      <c r="G21" s="709"/>
      <c r="H21" s="709"/>
      <c r="I21" s="709"/>
      <c r="J21" s="709"/>
      <c r="K21" s="709"/>
      <c r="L21" s="709"/>
      <c r="M21" s="709"/>
      <c r="N21" s="709"/>
      <c r="O21" s="709"/>
      <c r="P21" s="709"/>
      <c r="Q21" s="709"/>
      <c r="R21" s="709">
        <f t="shared" si="1"/>
        <v>9708.25</v>
      </c>
      <c r="S21" s="623"/>
      <c r="T21" s="623"/>
      <c r="U21" s="623"/>
      <c r="V21" s="623"/>
      <c r="W21" s="623"/>
      <c r="X21" s="712">
        <f t="shared" si="2"/>
        <v>0</v>
      </c>
      <c r="Y21" s="713">
        <f t="shared" si="3"/>
        <v>9708.25</v>
      </c>
      <c r="Z21" s="714">
        <f>-9708.25</f>
        <v>-9708.25</v>
      </c>
      <c r="AA21" s="356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70"/>
    </row>
    <row r="22" spans="1:42" ht="30" customHeight="1" x14ac:dyDescent="0.25">
      <c r="A22" s="82">
        <v>5</v>
      </c>
      <c r="B22" s="140" t="s">
        <v>248</v>
      </c>
      <c r="C22" s="28" t="s">
        <v>254</v>
      </c>
      <c r="D22" s="709"/>
      <c r="E22" s="709"/>
      <c r="F22" s="709">
        <f>-2399.343</f>
        <v>-2399.3429999999998</v>
      </c>
      <c r="G22" s="709"/>
      <c r="H22" s="709"/>
      <c r="I22" s="709"/>
      <c r="J22" s="709"/>
      <c r="K22" s="709"/>
      <c r="L22" s="709"/>
      <c r="M22" s="709"/>
      <c r="N22" s="709"/>
      <c r="O22" s="709"/>
      <c r="P22" s="709"/>
      <c r="Q22" s="709"/>
      <c r="R22" s="709">
        <f t="shared" si="1"/>
        <v>-2399.3429999999998</v>
      </c>
      <c r="S22" s="623"/>
      <c r="T22" s="623"/>
      <c r="U22" s="623"/>
      <c r="V22" s="623"/>
      <c r="W22" s="623"/>
      <c r="X22" s="712">
        <f t="shared" si="2"/>
        <v>0</v>
      </c>
      <c r="Y22" s="713">
        <f t="shared" si="3"/>
        <v>-2399.3429999999998</v>
      </c>
      <c r="Z22" s="714">
        <f>2399.343</f>
        <v>2399.3429999999998</v>
      </c>
      <c r="AA22" s="356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70"/>
    </row>
    <row r="23" spans="1:42" ht="30" customHeight="1" x14ac:dyDescent="0.25">
      <c r="A23" s="82">
        <v>6</v>
      </c>
      <c r="B23" s="140" t="s">
        <v>255</v>
      </c>
      <c r="C23" s="28" t="s">
        <v>256</v>
      </c>
      <c r="D23" s="709"/>
      <c r="E23" s="709"/>
      <c r="F23" s="709">
        <f>-1747.012</f>
        <v>-1747.0119999999999</v>
      </c>
      <c r="G23" s="709"/>
      <c r="H23" s="709"/>
      <c r="I23" s="709"/>
      <c r="J23" s="709"/>
      <c r="K23" s="709"/>
      <c r="L23" s="709"/>
      <c r="M23" s="709"/>
      <c r="N23" s="709"/>
      <c r="O23" s="709"/>
      <c r="P23" s="709"/>
      <c r="Q23" s="709"/>
      <c r="R23" s="709">
        <f t="shared" si="1"/>
        <v>-1747.0119999999999</v>
      </c>
      <c r="S23" s="623"/>
      <c r="T23" s="623"/>
      <c r="U23" s="623"/>
      <c r="V23" s="623"/>
      <c r="W23" s="623"/>
      <c r="X23" s="712">
        <f t="shared" ref="X23:X24" si="4">SUM(T23:W23)</f>
        <v>0</v>
      </c>
      <c r="Y23" s="713">
        <f t="shared" ref="Y23:Y24" si="5">R23+X23</f>
        <v>-1747.0119999999999</v>
      </c>
      <c r="Z23" s="714">
        <f>1747.012</f>
        <v>1747.0119999999999</v>
      </c>
      <c r="AA23" s="356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70"/>
    </row>
    <row r="24" spans="1:42" ht="30" customHeight="1" x14ac:dyDescent="0.25">
      <c r="A24" s="82">
        <v>7</v>
      </c>
      <c r="B24" s="140" t="s">
        <v>257</v>
      </c>
      <c r="C24" s="28" t="s">
        <v>258</v>
      </c>
      <c r="D24" s="709"/>
      <c r="E24" s="709"/>
      <c r="F24" s="709">
        <f>-907.923</f>
        <v>-907.923</v>
      </c>
      <c r="G24" s="709"/>
      <c r="H24" s="709"/>
      <c r="I24" s="709"/>
      <c r="J24" s="709"/>
      <c r="K24" s="709"/>
      <c r="L24" s="709"/>
      <c r="M24" s="709"/>
      <c r="N24" s="709"/>
      <c r="O24" s="709"/>
      <c r="P24" s="709"/>
      <c r="Q24" s="709"/>
      <c r="R24" s="709">
        <f t="shared" si="1"/>
        <v>-907.923</v>
      </c>
      <c r="S24" s="623"/>
      <c r="T24" s="623"/>
      <c r="U24" s="623"/>
      <c r="V24" s="623"/>
      <c r="W24" s="623"/>
      <c r="X24" s="712">
        <f t="shared" si="4"/>
        <v>0</v>
      </c>
      <c r="Y24" s="713">
        <f t="shared" si="5"/>
        <v>-907.923</v>
      </c>
      <c r="Z24" s="714">
        <f>907.923</f>
        <v>907.923</v>
      </c>
      <c r="AA24" s="356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70"/>
    </row>
    <row r="25" spans="1:42" ht="30" customHeight="1" x14ac:dyDescent="0.25">
      <c r="A25" s="82">
        <v>8</v>
      </c>
      <c r="B25" s="140" t="s">
        <v>249</v>
      </c>
      <c r="C25" s="28" t="s">
        <v>250</v>
      </c>
      <c r="D25" s="709"/>
      <c r="E25" s="709"/>
      <c r="F25" s="709"/>
      <c r="G25" s="709"/>
      <c r="H25" s="709"/>
      <c r="I25" s="709"/>
      <c r="J25" s="709"/>
      <c r="K25" s="709">
        <f>-2500</f>
        <v>-2500</v>
      </c>
      <c r="L25" s="709"/>
      <c r="M25" s="709">
        <f>1969+531</f>
        <v>2500</v>
      </c>
      <c r="N25" s="709"/>
      <c r="O25" s="709"/>
      <c r="P25" s="709"/>
      <c r="Q25" s="709"/>
      <c r="R25" s="709">
        <f t="shared" si="1"/>
        <v>0</v>
      </c>
      <c r="S25" s="623"/>
      <c r="T25" s="623"/>
      <c r="U25" s="623"/>
      <c r="V25" s="623"/>
      <c r="W25" s="623"/>
      <c r="X25" s="712">
        <f t="shared" si="2"/>
        <v>0</v>
      </c>
      <c r="Y25" s="713">
        <f t="shared" si="3"/>
        <v>0</v>
      </c>
      <c r="Z25" s="714"/>
      <c r="AA25" s="356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70"/>
    </row>
    <row r="26" spans="1:42" ht="30" customHeight="1" x14ac:dyDescent="0.25">
      <c r="A26" s="82">
        <v>9</v>
      </c>
      <c r="B26" s="621" t="s">
        <v>251</v>
      </c>
      <c r="C26" s="28" t="s">
        <v>252</v>
      </c>
      <c r="D26" s="709"/>
      <c r="E26" s="709"/>
      <c r="F26" s="709">
        <f>324</f>
        <v>324</v>
      </c>
      <c r="G26" s="709"/>
      <c r="H26" s="709"/>
      <c r="I26" s="709"/>
      <c r="J26" s="709"/>
      <c r="K26" s="709">
        <v>1200</v>
      </c>
      <c r="L26" s="709"/>
      <c r="M26" s="709"/>
      <c r="N26" s="709"/>
      <c r="O26" s="709"/>
      <c r="P26" s="709"/>
      <c r="Q26" s="709"/>
      <c r="R26" s="709">
        <f t="shared" si="1"/>
        <v>1524</v>
      </c>
      <c r="S26" s="623"/>
      <c r="T26" s="623"/>
      <c r="U26" s="623"/>
      <c r="V26" s="623"/>
      <c r="W26" s="623"/>
      <c r="X26" s="712">
        <f t="shared" si="2"/>
        <v>0</v>
      </c>
      <c r="Y26" s="713">
        <f t="shared" si="3"/>
        <v>1524</v>
      </c>
      <c r="Z26" s="714"/>
      <c r="AA26" s="356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70"/>
    </row>
    <row r="27" spans="1:42" ht="30" customHeight="1" x14ac:dyDescent="0.25">
      <c r="A27" s="82">
        <v>10</v>
      </c>
      <c r="B27" s="621" t="s">
        <v>259</v>
      </c>
      <c r="C27" s="28" t="s">
        <v>260</v>
      </c>
      <c r="D27" s="709"/>
      <c r="E27" s="709"/>
      <c r="F27" s="709">
        <f>30+1072+298</f>
        <v>1400</v>
      </c>
      <c r="G27" s="709"/>
      <c r="H27" s="709"/>
      <c r="I27" s="709"/>
      <c r="J27" s="709"/>
      <c r="K27" s="709">
        <f>-2000</f>
        <v>-2000</v>
      </c>
      <c r="L27" s="709">
        <f>472+128</f>
        <v>600</v>
      </c>
      <c r="M27" s="709"/>
      <c r="N27" s="709"/>
      <c r="O27" s="709"/>
      <c r="P27" s="709"/>
      <c r="Q27" s="709"/>
      <c r="R27" s="709">
        <f t="shared" si="1"/>
        <v>0</v>
      </c>
      <c r="S27" s="623"/>
      <c r="T27" s="623"/>
      <c r="U27" s="623"/>
      <c r="V27" s="623"/>
      <c r="W27" s="623"/>
      <c r="X27" s="712">
        <f t="shared" si="2"/>
        <v>0</v>
      </c>
      <c r="Y27" s="713">
        <f t="shared" si="3"/>
        <v>0</v>
      </c>
      <c r="Z27" s="714"/>
      <c r="AA27" s="356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70"/>
    </row>
    <row r="28" spans="1:42" ht="30" customHeight="1" x14ac:dyDescent="0.25">
      <c r="A28" s="82">
        <v>11</v>
      </c>
      <c r="B28" s="621" t="s">
        <v>261</v>
      </c>
      <c r="C28" s="28" t="s">
        <v>262</v>
      </c>
      <c r="D28" s="709">
        <f>200</f>
        <v>200</v>
      </c>
      <c r="E28" s="709">
        <f>70+50</f>
        <v>120</v>
      </c>
      <c r="F28" s="709">
        <f>394+106</f>
        <v>500</v>
      </c>
      <c r="G28" s="709"/>
      <c r="H28" s="709"/>
      <c r="I28" s="709"/>
      <c r="J28" s="709">
        <f>100</f>
        <v>100</v>
      </c>
      <c r="K28" s="709">
        <f>-1000</f>
        <v>-1000</v>
      </c>
      <c r="L28" s="709">
        <f>63+17</f>
        <v>80</v>
      </c>
      <c r="M28" s="709"/>
      <c r="N28" s="709"/>
      <c r="O28" s="709"/>
      <c r="P28" s="709"/>
      <c r="Q28" s="709"/>
      <c r="R28" s="709">
        <f t="shared" si="1"/>
        <v>0</v>
      </c>
      <c r="S28" s="623"/>
      <c r="T28" s="623"/>
      <c r="U28" s="623"/>
      <c r="V28" s="623"/>
      <c r="W28" s="623"/>
      <c r="X28" s="712">
        <f t="shared" ref="X28:X32" si="6">SUM(T28:W28)</f>
        <v>0</v>
      </c>
      <c r="Y28" s="713">
        <f t="shared" ref="Y28:Y32" si="7">R28+X28</f>
        <v>0</v>
      </c>
      <c r="Z28" s="714"/>
      <c r="AA28" s="356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70"/>
    </row>
    <row r="29" spans="1:42" ht="30" customHeight="1" x14ac:dyDescent="0.25">
      <c r="A29" s="82">
        <v>12</v>
      </c>
      <c r="B29" s="621" t="s">
        <v>263</v>
      </c>
      <c r="C29" s="28" t="s">
        <v>264</v>
      </c>
      <c r="D29" s="709">
        <f>3713</f>
        <v>3713</v>
      </c>
      <c r="E29" s="709">
        <f>463+260+150</f>
        <v>873</v>
      </c>
      <c r="F29" s="709">
        <f>10+100+120+175+109</f>
        <v>514</v>
      </c>
      <c r="G29" s="709"/>
      <c r="H29" s="709"/>
      <c r="I29" s="709"/>
      <c r="J29" s="709">
        <f>400</f>
        <v>400</v>
      </c>
      <c r="K29" s="709">
        <f>-5500</f>
        <v>-5500</v>
      </c>
      <c r="L29" s="709"/>
      <c r="M29" s="709"/>
      <c r="N29" s="709"/>
      <c r="O29" s="709"/>
      <c r="P29" s="709"/>
      <c r="Q29" s="709"/>
      <c r="R29" s="709">
        <f t="shared" si="1"/>
        <v>0</v>
      </c>
      <c r="S29" s="623"/>
      <c r="T29" s="623"/>
      <c r="U29" s="623"/>
      <c r="V29" s="623"/>
      <c r="W29" s="623"/>
      <c r="X29" s="712">
        <f t="shared" si="6"/>
        <v>0</v>
      </c>
      <c r="Y29" s="713">
        <f t="shared" si="7"/>
        <v>0</v>
      </c>
      <c r="Z29" s="714"/>
      <c r="AA29" s="356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70"/>
    </row>
    <row r="30" spans="1:42" ht="30" customHeight="1" x14ac:dyDescent="0.25">
      <c r="A30" s="82">
        <v>13</v>
      </c>
      <c r="B30" s="621" t="s">
        <v>265</v>
      </c>
      <c r="C30" s="28" t="s">
        <v>266</v>
      </c>
      <c r="D30" s="709"/>
      <c r="E30" s="709"/>
      <c r="F30" s="709"/>
      <c r="G30" s="709"/>
      <c r="H30" s="709"/>
      <c r="I30" s="709"/>
      <c r="J30" s="709"/>
      <c r="K30" s="709">
        <f>-20447</f>
        <v>-20447</v>
      </c>
      <c r="L30" s="709">
        <f>16100+4347</f>
        <v>20447</v>
      </c>
      <c r="M30" s="709"/>
      <c r="N30" s="709"/>
      <c r="O30" s="709"/>
      <c r="P30" s="709"/>
      <c r="Q30" s="709"/>
      <c r="R30" s="709">
        <f t="shared" si="1"/>
        <v>0</v>
      </c>
      <c r="S30" s="623"/>
      <c r="T30" s="623"/>
      <c r="U30" s="623"/>
      <c r="V30" s="623"/>
      <c r="W30" s="623"/>
      <c r="X30" s="712">
        <f t="shared" si="6"/>
        <v>0</v>
      </c>
      <c r="Y30" s="713">
        <f t="shared" si="7"/>
        <v>0</v>
      </c>
      <c r="Z30" s="714"/>
      <c r="AA30" s="356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70"/>
    </row>
    <row r="31" spans="1:42" ht="30" customHeight="1" x14ac:dyDescent="0.25">
      <c r="A31" s="82">
        <v>14</v>
      </c>
      <c r="B31" s="621" t="s">
        <v>267</v>
      </c>
      <c r="C31" s="28" t="s">
        <v>273</v>
      </c>
      <c r="D31" s="709"/>
      <c r="E31" s="709"/>
      <c r="F31" s="709"/>
      <c r="G31" s="709"/>
      <c r="H31" s="709"/>
      <c r="I31" s="709"/>
      <c r="J31" s="709"/>
      <c r="K31" s="709">
        <f>-35650</f>
        <v>-35650</v>
      </c>
      <c r="L31" s="709"/>
      <c r="M31" s="709"/>
      <c r="N31" s="709"/>
      <c r="O31" s="709"/>
      <c r="P31" s="709"/>
      <c r="Q31" s="709"/>
      <c r="R31" s="709">
        <f t="shared" si="1"/>
        <v>-35650</v>
      </c>
      <c r="S31" s="623"/>
      <c r="T31" s="623"/>
      <c r="U31" s="623"/>
      <c r="V31" s="623"/>
      <c r="W31" s="623"/>
      <c r="X31" s="712">
        <f t="shared" si="6"/>
        <v>0</v>
      </c>
      <c r="Y31" s="713">
        <f t="shared" si="7"/>
        <v>-35650</v>
      </c>
      <c r="Z31" s="714">
        <f>35650</f>
        <v>35650</v>
      </c>
      <c r="AA31" s="356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70"/>
    </row>
    <row r="32" spans="1:42" ht="30" customHeight="1" x14ac:dyDescent="0.25">
      <c r="A32" s="82">
        <v>15</v>
      </c>
      <c r="B32" s="621" t="s">
        <v>268</v>
      </c>
      <c r="C32" s="28" t="s">
        <v>277</v>
      </c>
      <c r="D32" s="709"/>
      <c r="E32" s="709"/>
      <c r="F32" s="709"/>
      <c r="G32" s="709">
        <f>500</f>
        <v>500</v>
      </c>
      <c r="H32" s="709"/>
      <c r="I32" s="709"/>
      <c r="J32" s="709"/>
      <c r="K32" s="709"/>
      <c r="L32" s="709"/>
      <c r="M32" s="709"/>
      <c r="N32" s="709"/>
      <c r="O32" s="709"/>
      <c r="P32" s="709"/>
      <c r="Q32" s="709"/>
      <c r="R32" s="709">
        <f t="shared" si="1"/>
        <v>500</v>
      </c>
      <c r="S32" s="623"/>
      <c r="T32" s="623"/>
      <c r="U32" s="623"/>
      <c r="V32" s="623"/>
      <c r="W32" s="623"/>
      <c r="X32" s="712">
        <f t="shared" si="6"/>
        <v>0</v>
      </c>
      <c r="Y32" s="713">
        <f t="shared" si="7"/>
        <v>500</v>
      </c>
      <c r="Z32" s="714"/>
      <c r="AA32" s="356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70"/>
    </row>
    <row r="33" spans="1:42" ht="24.95" customHeight="1" x14ac:dyDescent="0.25">
      <c r="A33" s="82">
        <v>16</v>
      </c>
      <c r="B33" s="621" t="s">
        <v>269</v>
      </c>
      <c r="C33" s="28" t="s">
        <v>270</v>
      </c>
      <c r="D33" s="709"/>
      <c r="E33" s="709"/>
      <c r="F33" s="709"/>
      <c r="G33" s="709"/>
      <c r="H33" s="709"/>
      <c r="I33" s="709"/>
      <c r="J33" s="709"/>
      <c r="K33" s="709">
        <f>-12152</f>
        <v>-12152</v>
      </c>
      <c r="L33" s="709"/>
      <c r="M33" s="709"/>
      <c r="N33" s="709"/>
      <c r="O33" s="709"/>
      <c r="P33" s="709"/>
      <c r="Q33" s="709"/>
      <c r="R33" s="709">
        <f t="shared" si="1"/>
        <v>-12152</v>
      </c>
      <c r="S33" s="623"/>
      <c r="T33" s="623"/>
      <c r="U33" s="623"/>
      <c r="V33" s="623"/>
      <c r="W33" s="623"/>
      <c r="X33" s="712">
        <f t="shared" si="2"/>
        <v>0</v>
      </c>
      <c r="Y33" s="713">
        <f t="shared" si="3"/>
        <v>-12152</v>
      </c>
      <c r="Z33" s="714">
        <f>12152</f>
        <v>12152</v>
      </c>
      <c r="AA33" s="356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70"/>
    </row>
    <row r="34" spans="1:42" ht="24.95" customHeight="1" x14ac:dyDescent="0.25">
      <c r="A34" s="82">
        <v>17</v>
      </c>
      <c r="B34" s="141" t="s">
        <v>278</v>
      </c>
      <c r="C34" s="28" t="s">
        <v>279</v>
      </c>
      <c r="D34" s="709"/>
      <c r="E34" s="709"/>
      <c r="F34" s="709"/>
      <c r="G34" s="709"/>
      <c r="H34" s="709"/>
      <c r="I34" s="709"/>
      <c r="J34" s="709"/>
      <c r="K34" s="709"/>
      <c r="L34" s="709"/>
      <c r="M34" s="709"/>
      <c r="N34" s="709"/>
      <c r="O34" s="709"/>
      <c r="P34" s="709"/>
      <c r="Q34" s="709"/>
      <c r="R34" s="709">
        <f t="shared" si="1"/>
        <v>0</v>
      </c>
      <c r="S34" s="623"/>
      <c r="T34" s="623"/>
      <c r="U34" s="623"/>
      <c r="V34" s="623"/>
      <c r="W34" s="623"/>
      <c r="X34" s="712">
        <f t="shared" si="2"/>
        <v>0</v>
      </c>
      <c r="Y34" s="713">
        <f t="shared" si="3"/>
        <v>0</v>
      </c>
      <c r="Z34" s="714">
        <f>1712.309</f>
        <v>1712.309</v>
      </c>
      <c r="AA34" s="356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70"/>
    </row>
    <row r="35" spans="1:42" ht="24.95" customHeight="1" x14ac:dyDescent="0.25">
      <c r="A35" s="82">
        <v>18</v>
      </c>
      <c r="B35" s="141" t="s">
        <v>278</v>
      </c>
      <c r="C35" s="28" t="s">
        <v>282</v>
      </c>
      <c r="D35" s="709"/>
      <c r="E35" s="709"/>
      <c r="F35" s="709"/>
      <c r="G35" s="709"/>
      <c r="H35" s="709"/>
      <c r="I35" s="709"/>
      <c r="J35" s="709"/>
      <c r="K35" s="709"/>
      <c r="L35" s="709"/>
      <c r="M35" s="709"/>
      <c r="N35" s="709"/>
      <c r="O35" s="709"/>
      <c r="P35" s="709"/>
      <c r="Q35" s="709"/>
      <c r="R35" s="709">
        <f t="shared" si="1"/>
        <v>0</v>
      </c>
      <c r="S35" s="623"/>
      <c r="T35" s="623"/>
      <c r="U35" s="623"/>
      <c r="V35" s="623"/>
      <c r="W35" s="623"/>
      <c r="X35" s="712">
        <f t="shared" si="2"/>
        <v>0</v>
      </c>
      <c r="Y35" s="713">
        <f t="shared" si="3"/>
        <v>0</v>
      </c>
      <c r="Z35" s="714">
        <f>4438.98</f>
        <v>4438.9799999999996</v>
      </c>
      <c r="AA35" s="356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70"/>
    </row>
    <row r="36" spans="1:42" ht="24.95" customHeight="1" x14ac:dyDescent="0.25">
      <c r="A36" s="82">
        <v>19</v>
      </c>
      <c r="B36" s="141" t="s">
        <v>278</v>
      </c>
      <c r="C36" s="28" t="s">
        <v>283</v>
      </c>
      <c r="D36" s="709"/>
      <c r="E36" s="709"/>
      <c r="F36" s="709"/>
      <c r="G36" s="709"/>
      <c r="H36" s="709"/>
      <c r="I36" s="709"/>
      <c r="J36" s="709"/>
      <c r="K36" s="709"/>
      <c r="L36" s="709"/>
      <c r="M36" s="709"/>
      <c r="N36" s="709"/>
      <c r="O36" s="709"/>
      <c r="P36" s="709"/>
      <c r="Q36" s="709"/>
      <c r="R36" s="709">
        <f t="shared" si="1"/>
        <v>0</v>
      </c>
      <c r="S36" s="623"/>
      <c r="T36" s="623"/>
      <c r="U36" s="623"/>
      <c r="V36" s="623"/>
      <c r="W36" s="623"/>
      <c r="X36" s="712">
        <f t="shared" si="2"/>
        <v>0</v>
      </c>
      <c r="Y36" s="713">
        <f t="shared" si="3"/>
        <v>0</v>
      </c>
      <c r="Z36" s="714">
        <f>4156.817</f>
        <v>4156.817</v>
      </c>
      <c r="AA36" s="356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70"/>
    </row>
    <row r="37" spans="1:42" ht="24.95" customHeight="1" x14ac:dyDescent="0.25">
      <c r="A37" s="82">
        <v>20</v>
      </c>
      <c r="B37" s="141" t="s">
        <v>284</v>
      </c>
      <c r="C37" s="28" t="s">
        <v>285</v>
      </c>
      <c r="D37" s="709"/>
      <c r="E37" s="709"/>
      <c r="F37" s="709"/>
      <c r="G37" s="709"/>
      <c r="H37" s="709"/>
      <c r="I37" s="709"/>
      <c r="J37" s="709"/>
      <c r="K37" s="709"/>
      <c r="L37" s="709"/>
      <c r="M37" s="709"/>
      <c r="N37" s="709"/>
      <c r="O37" s="709"/>
      <c r="P37" s="709"/>
      <c r="Q37" s="709"/>
      <c r="R37" s="709">
        <f t="shared" si="1"/>
        <v>0</v>
      </c>
      <c r="S37" s="623"/>
      <c r="T37" s="623"/>
      <c r="U37" s="623"/>
      <c r="V37" s="623"/>
      <c r="W37" s="623"/>
      <c r="X37" s="712">
        <f>SUM(T37:W37)</f>
        <v>0</v>
      </c>
      <c r="Y37" s="713">
        <v>0</v>
      </c>
      <c r="Z37" s="714">
        <f>21666.502</f>
        <v>21666.502</v>
      </c>
      <c r="AA37" s="356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70"/>
    </row>
    <row r="38" spans="1:42" ht="24.95" customHeight="1" x14ac:dyDescent="0.25">
      <c r="A38" s="82">
        <v>21</v>
      </c>
      <c r="B38" s="141" t="s">
        <v>286</v>
      </c>
      <c r="C38" s="28" t="s">
        <v>291</v>
      </c>
      <c r="D38" s="709"/>
      <c r="E38" s="709"/>
      <c r="F38" s="709"/>
      <c r="G38" s="709"/>
      <c r="H38" s="709"/>
      <c r="I38" s="709"/>
      <c r="J38" s="709"/>
      <c r="K38" s="709"/>
      <c r="L38" s="709"/>
      <c r="M38" s="709"/>
      <c r="N38" s="709"/>
      <c r="O38" s="709"/>
      <c r="P38" s="709"/>
      <c r="Q38" s="709"/>
      <c r="R38" s="709">
        <f t="shared" si="1"/>
        <v>0</v>
      </c>
      <c r="S38" s="623"/>
      <c r="T38" s="623"/>
      <c r="U38" s="623"/>
      <c r="V38" s="623"/>
      <c r="W38" s="623"/>
      <c r="X38" s="712">
        <f t="shared" si="2"/>
        <v>0</v>
      </c>
      <c r="Y38" s="713">
        <f t="shared" si="3"/>
        <v>0</v>
      </c>
      <c r="Z38" s="714">
        <f>4597.889</f>
        <v>4597.8890000000001</v>
      </c>
      <c r="AA38" s="356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70"/>
    </row>
    <row r="39" spans="1:42" ht="24.95" customHeight="1" x14ac:dyDescent="0.25">
      <c r="A39" s="82">
        <v>22</v>
      </c>
      <c r="B39" s="232" t="s">
        <v>288</v>
      </c>
      <c r="C39" s="28" t="s">
        <v>289</v>
      </c>
      <c r="D39" s="709"/>
      <c r="E39" s="709"/>
      <c r="F39" s="709"/>
      <c r="G39" s="709"/>
      <c r="H39" s="709"/>
      <c r="I39" s="709"/>
      <c r="J39" s="709">
        <f>50</f>
        <v>50</v>
      </c>
      <c r="K39" s="709">
        <f>-50</f>
        <v>-50</v>
      </c>
      <c r="L39" s="709"/>
      <c r="M39" s="709"/>
      <c r="N39" s="709"/>
      <c r="O39" s="709"/>
      <c r="P39" s="709"/>
      <c r="Q39" s="709"/>
      <c r="R39" s="709">
        <f t="shared" si="1"/>
        <v>0</v>
      </c>
      <c r="S39" s="623"/>
      <c r="T39" s="623"/>
      <c r="U39" s="623"/>
      <c r="V39" s="623"/>
      <c r="W39" s="623"/>
      <c r="X39" s="712">
        <f t="shared" si="2"/>
        <v>0</v>
      </c>
      <c r="Y39" s="713">
        <f t="shared" si="3"/>
        <v>0</v>
      </c>
      <c r="Z39" s="714"/>
      <c r="AA39" s="356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70"/>
    </row>
    <row r="40" spans="1:42" ht="24.95" customHeight="1" x14ac:dyDescent="0.25">
      <c r="A40" s="82">
        <v>23</v>
      </c>
      <c r="B40" s="141" t="s">
        <v>295</v>
      </c>
      <c r="C40" s="28" t="s">
        <v>294</v>
      </c>
      <c r="D40" s="709"/>
      <c r="E40" s="709"/>
      <c r="F40" s="709"/>
      <c r="G40" s="709"/>
      <c r="H40" s="709"/>
      <c r="I40" s="709"/>
      <c r="J40" s="709"/>
      <c r="K40" s="709"/>
      <c r="L40" s="709">
        <f>162+44</f>
        <v>206</v>
      </c>
      <c r="M40" s="709"/>
      <c r="N40" s="709"/>
      <c r="O40" s="709"/>
      <c r="P40" s="709"/>
      <c r="Q40" s="709"/>
      <c r="R40" s="709">
        <f t="shared" si="1"/>
        <v>206</v>
      </c>
      <c r="S40" s="623"/>
      <c r="T40" s="623"/>
      <c r="U40" s="623"/>
      <c r="V40" s="623"/>
      <c r="W40" s="623"/>
      <c r="X40" s="712">
        <f t="shared" si="2"/>
        <v>0</v>
      </c>
      <c r="Y40" s="713">
        <f t="shared" si="3"/>
        <v>206</v>
      </c>
      <c r="Z40" s="714"/>
      <c r="AA40" s="356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70"/>
    </row>
    <row r="41" spans="1:42" ht="33" customHeight="1" x14ac:dyDescent="0.25">
      <c r="A41" s="82">
        <v>24</v>
      </c>
      <c r="B41" s="141" t="s">
        <v>297</v>
      </c>
      <c r="C41" s="28" t="s">
        <v>296</v>
      </c>
      <c r="D41" s="709"/>
      <c r="E41" s="709"/>
      <c r="F41" s="709"/>
      <c r="G41" s="709"/>
      <c r="H41" s="709"/>
      <c r="I41" s="709"/>
      <c r="J41" s="709"/>
      <c r="K41" s="709">
        <f>1187</f>
        <v>1187</v>
      </c>
      <c r="L41" s="709"/>
      <c r="M41" s="709"/>
      <c r="N41" s="709"/>
      <c r="O41" s="709"/>
      <c r="P41" s="709"/>
      <c r="Q41" s="709"/>
      <c r="R41" s="709">
        <f t="shared" si="1"/>
        <v>1187</v>
      </c>
      <c r="S41" s="623"/>
      <c r="T41" s="623"/>
      <c r="U41" s="623"/>
      <c r="V41" s="623"/>
      <c r="W41" s="623"/>
      <c r="X41" s="712">
        <f>SUM(T41:W41)</f>
        <v>0</v>
      </c>
      <c r="Y41" s="713">
        <f>R41+X41</f>
        <v>1187</v>
      </c>
      <c r="Z41" s="714"/>
      <c r="AA41" s="356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70"/>
    </row>
    <row r="42" spans="1:42" ht="24.95" customHeight="1" x14ac:dyDescent="0.25">
      <c r="A42" s="82">
        <v>25</v>
      </c>
      <c r="B42" s="141" t="s">
        <v>298</v>
      </c>
      <c r="C42" s="33" t="s">
        <v>300</v>
      </c>
      <c r="D42" s="709"/>
      <c r="E42" s="709"/>
      <c r="F42" s="709"/>
      <c r="G42" s="709"/>
      <c r="H42" s="709"/>
      <c r="I42" s="709"/>
      <c r="J42" s="709"/>
      <c r="K42" s="709"/>
      <c r="L42" s="709"/>
      <c r="M42" s="709"/>
      <c r="N42" s="709"/>
      <c r="O42" s="709"/>
      <c r="P42" s="709"/>
      <c r="Q42" s="709"/>
      <c r="R42" s="709">
        <f t="shared" si="1"/>
        <v>0</v>
      </c>
      <c r="S42" s="623"/>
      <c r="T42" s="623"/>
      <c r="U42" s="711">
        <f>2960000+780000</f>
        <v>3740000</v>
      </c>
      <c r="V42" s="709"/>
      <c r="W42" s="623"/>
      <c r="X42" s="715">
        <f t="shared" si="2"/>
        <v>3740000</v>
      </c>
      <c r="Y42" s="713">
        <f t="shared" si="3"/>
        <v>3740000</v>
      </c>
      <c r="Z42" s="714"/>
      <c r="AA42" s="356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70"/>
    </row>
    <row r="43" spans="1:42" ht="24.95" customHeight="1" x14ac:dyDescent="0.25">
      <c r="A43" s="82">
        <v>26</v>
      </c>
      <c r="B43" s="672" t="s">
        <v>301</v>
      </c>
      <c r="C43" s="28" t="s">
        <v>302</v>
      </c>
      <c r="D43" s="709"/>
      <c r="E43" s="709"/>
      <c r="F43" s="709">
        <v>-3.5000000000000003E-2</v>
      </c>
      <c r="G43" s="709"/>
      <c r="H43" s="709"/>
      <c r="I43" s="709"/>
      <c r="J43" s="709"/>
      <c r="K43" s="709"/>
      <c r="L43" s="709"/>
      <c r="M43" s="709"/>
      <c r="N43" s="709"/>
      <c r="O43" s="709"/>
      <c r="P43" s="709"/>
      <c r="Q43" s="709"/>
      <c r="R43" s="709">
        <f>SUM(D43:Q43)</f>
        <v>-3.5000000000000003E-2</v>
      </c>
      <c r="S43" s="623"/>
      <c r="T43" s="623"/>
      <c r="U43" s="709"/>
      <c r="V43" s="710">
        <v>3.5000000000000003E-2</v>
      </c>
      <c r="W43" s="623"/>
      <c r="X43" s="712">
        <f t="shared" si="2"/>
        <v>3.5000000000000003E-2</v>
      </c>
      <c r="Y43" s="713">
        <f>R43+X43</f>
        <v>0</v>
      </c>
      <c r="Z43" s="714"/>
      <c r="AA43" s="356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70"/>
    </row>
    <row r="44" spans="1:42" ht="24.95" customHeight="1" x14ac:dyDescent="0.25">
      <c r="A44" s="82">
        <v>27</v>
      </c>
      <c r="B44" s="675" t="s">
        <v>305</v>
      </c>
      <c r="C44" s="28" t="s">
        <v>306</v>
      </c>
      <c r="D44" s="709"/>
      <c r="E44" s="709"/>
      <c r="F44" s="709">
        <f>780+211</f>
        <v>991</v>
      </c>
      <c r="G44" s="709"/>
      <c r="H44" s="709"/>
      <c r="I44" s="709"/>
      <c r="J44" s="709"/>
      <c r="K44" s="709"/>
      <c r="L44" s="709">
        <f>-780-211</f>
        <v>-991</v>
      </c>
      <c r="M44" s="709"/>
      <c r="N44" s="709"/>
      <c r="O44" s="709"/>
      <c r="P44" s="709"/>
      <c r="Q44" s="709"/>
      <c r="R44" s="709">
        <f t="shared" ref="R44:R50" si="8">SUM(D44:Q44)</f>
        <v>0</v>
      </c>
      <c r="S44" s="623"/>
      <c r="T44" s="623"/>
      <c r="U44" s="623"/>
      <c r="V44" s="624"/>
      <c r="W44" s="623"/>
      <c r="X44" s="712">
        <f t="shared" si="2"/>
        <v>0</v>
      </c>
      <c r="Y44" s="713">
        <f t="shared" ref="Y44:Y50" si="9">R44+X44</f>
        <v>0</v>
      </c>
      <c r="Z44" s="714"/>
      <c r="AA44" s="356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70"/>
    </row>
    <row r="45" spans="1:42" ht="24.95" customHeight="1" x14ac:dyDescent="0.25">
      <c r="A45" s="82">
        <v>28</v>
      </c>
      <c r="B45" s="675" t="s">
        <v>307</v>
      </c>
      <c r="C45" s="28" t="s">
        <v>289</v>
      </c>
      <c r="D45" s="709"/>
      <c r="E45" s="709"/>
      <c r="F45" s="709"/>
      <c r="G45" s="709"/>
      <c r="H45" s="709"/>
      <c r="I45" s="709"/>
      <c r="J45" s="709">
        <f>150</f>
        <v>150</v>
      </c>
      <c r="K45" s="709">
        <f>-150</f>
        <v>-150</v>
      </c>
      <c r="L45" s="709"/>
      <c r="M45" s="709"/>
      <c r="N45" s="709"/>
      <c r="O45" s="709"/>
      <c r="P45" s="709"/>
      <c r="Q45" s="709"/>
      <c r="R45" s="709">
        <f t="shared" si="8"/>
        <v>0</v>
      </c>
      <c r="S45" s="623"/>
      <c r="T45" s="623"/>
      <c r="U45" s="623"/>
      <c r="V45" s="624"/>
      <c r="W45" s="623"/>
      <c r="X45" s="712">
        <f t="shared" si="2"/>
        <v>0</v>
      </c>
      <c r="Y45" s="713">
        <f t="shared" si="9"/>
        <v>0</v>
      </c>
      <c r="Z45" s="714"/>
      <c r="AA45" s="356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70"/>
    </row>
    <row r="46" spans="1:42" ht="24.95" customHeight="1" x14ac:dyDescent="0.25">
      <c r="A46" s="82">
        <v>29</v>
      </c>
      <c r="B46" s="675" t="s">
        <v>308</v>
      </c>
      <c r="C46" s="28" t="s">
        <v>309</v>
      </c>
      <c r="D46" s="709"/>
      <c r="E46" s="709"/>
      <c r="F46" s="709">
        <f>-2700-729</f>
        <v>-3429</v>
      </c>
      <c r="G46" s="709"/>
      <c r="H46" s="709"/>
      <c r="I46" s="709"/>
      <c r="J46" s="709"/>
      <c r="K46" s="709"/>
      <c r="L46" s="709">
        <f>2700+729</f>
        <v>3429</v>
      </c>
      <c r="M46" s="709"/>
      <c r="N46" s="709"/>
      <c r="O46" s="709"/>
      <c r="P46" s="709"/>
      <c r="Q46" s="709"/>
      <c r="R46" s="709">
        <f t="shared" si="8"/>
        <v>0</v>
      </c>
      <c r="S46" s="623"/>
      <c r="T46" s="623"/>
      <c r="U46" s="623"/>
      <c r="V46" s="624"/>
      <c r="W46" s="623"/>
      <c r="X46" s="712">
        <f t="shared" si="2"/>
        <v>0</v>
      </c>
      <c r="Y46" s="713">
        <f t="shared" si="9"/>
        <v>0</v>
      </c>
      <c r="Z46" s="714"/>
      <c r="AA46" s="356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70"/>
    </row>
    <row r="47" spans="1:42" ht="24.95" customHeight="1" x14ac:dyDescent="0.25">
      <c r="A47" s="82">
        <v>30</v>
      </c>
      <c r="B47" s="675" t="s">
        <v>310</v>
      </c>
      <c r="C47" s="28" t="s">
        <v>311</v>
      </c>
      <c r="D47" s="709"/>
      <c r="E47" s="709"/>
      <c r="F47" s="709"/>
      <c r="G47" s="709"/>
      <c r="H47" s="709"/>
      <c r="I47" s="709"/>
      <c r="J47" s="709"/>
      <c r="K47" s="709">
        <f>-3810</f>
        <v>-3810</v>
      </c>
      <c r="L47" s="709"/>
      <c r="M47" s="709"/>
      <c r="N47" s="709"/>
      <c r="O47" s="709"/>
      <c r="P47" s="709"/>
      <c r="Q47" s="709"/>
      <c r="R47" s="709">
        <f t="shared" si="8"/>
        <v>-3810</v>
      </c>
      <c r="S47" s="623"/>
      <c r="T47" s="623"/>
      <c r="U47" s="623"/>
      <c r="V47" s="624"/>
      <c r="W47" s="623"/>
      <c r="X47" s="712">
        <f t="shared" si="2"/>
        <v>0</v>
      </c>
      <c r="Y47" s="713">
        <f t="shared" si="9"/>
        <v>-3810</v>
      </c>
      <c r="Z47" s="714">
        <f>3810</f>
        <v>3810</v>
      </c>
      <c r="AA47" s="356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70"/>
    </row>
    <row r="48" spans="1:42" ht="24.95" customHeight="1" x14ac:dyDescent="0.25">
      <c r="A48" s="82">
        <v>31</v>
      </c>
      <c r="B48" s="675" t="s">
        <v>314</v>
      </c>
      <c r="C48" s="28" t="s">
        <v>315</v>
      </c>
      <c r="D48" s="709"/>
      <c r="E48" s="709"/>
      <c r="F48" s="709">
        <f>700+189</f>
        <v>889</v>
      </c>
      <c r="G48" s="709"/>
      <c r="H48" s="709"/>
      <c r="I48" s="709"/>
      <c r="J48" s="709"/>
      <c r="K48" s="709">
        <f>-889</f>
        <v>-889</v>
      </c>
      <c r="L48" s="709"/>
      <c r="M48" s="709"/>
      <c r="N48" s="709"/>
      <c r="O48" s="709"/>
      <c r="P48" s="709"/>
      <c r="Q48" s="709"/>
      <c r="R48" s="709">
        <f t="shared" si="8"/>
        <v>0</v>
      </c>
      <c r="S48" s="623"/>
      <c r="T48" s="623"/>
      <c r="U48" s="623"/>
      <c r="V48" s="624"/>
      <c r="W48" s="623"/>
      <c r="X48" s="712">
        <f t="shared" si="2"/>
        <v>0</v>
      </c>
      <c r="Y48" s="713">
        <f t="shared" si="9"/>
        <v>0</v>
      </c>
      <c r="Z48" s="714"/>
      <c r="AA48" s="356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70"/>
    </row>
    <row r="49" spans="1:42" ht="24.95" customHeight="1" x14ac:dyDescent="0.25">
      <c r="A49" s="82">
        <v>32</v>
      </c>
      <c r="B49" s="675" t="s">
        <v>316</v>
      </c>
      <c r="C49" s="28" t="s">
        <v>317</v>
      </c>
      <c r="D49" s="709"/>
      <c r="E49" s="709"/>
      <c r="F49" s="709"/>
      <c r="G49" s="709"/>
      <c r="H49" s="709"/>
      <c r="I49" s="709"/>
      <c r="J49" s="709"/>
      <c r="K49" s="709">
        <f>15184.594</f>
        <v>15184.593999999999</v>
      </c>
      <c r="L49" s="709"/>
      <c r="M49" s="709"/>
      <c r="N49" s="709"/>
      <c r="O49" s="709"/>
      <c r="P49" s="709"/>
      <c r="Q49" s="709"/>
      <c r="R49" s="709">
        <f t="shared" si="8"/>
        <v>15184.593999999999</v>
      </c>
      <c r="S49" s="623"/>
      <c r="T49" s="623"/>
      <c r="U49" s="623"/>
      <c r="V49" s="624"/>
      <c r="W49" s="623"/>
      <c r="X49" s="712">
        <f t="shared" si="2"/>
        <v>0</v>
      </c>
      <c r="Y49" s="713">
        <f t="shared" si="9"/>
        <v>15184.593999999999</v>
      </c>
      <c r="Z49" s="714"/>
      <c r="AA49" s="356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70"/>
    </row>
    <row r="50" spans="1:42" ht="24.95" customHeight="1" x14ac:dyDescent="0.25">
      <c r="A50" s="82">
        <v>33</v>
      </c>
      <c r="B50" s="675" t="s">
        <v>318</v>
      </c>
      <c r="C50" s="28" t="s">
        <v>289</v>
      </c>
      <c r="D50" s="709"/>
      <c r="E50" s="709"/>
      <c r="F50" s="709"/>
      <c r="G50" s="709"/>
      <c r="H50" s="709"/>
      <c r="I50" s="709"/>
      <c r="J50" s="709">
        <f>50</f>
        <v>50</v>
      </c>
      <c r="K50" s="709">
        <f>-50</f>
        <v>-50</v>
      </c>
      <c r="L50" s="709"/>
      <c r="M50" s="709"/>
      <c r="N50" s="709"/>
      <c r="O50" s="709"/>
      <c r="P50" s="709"/>
      <c r="Q50" s="709"/>
      <c r="R50" s="709">
        <f t="shared" si="8"/>
        <v>0</v>
      </c>
      <c r="S50" s="623"/>
      <c r="T50" s="623"/>
      <c r="U50" s="623"/>
      <c r="V50" s="624"/>
      <c r="W50" s="623"/>
      <c r="X50" s="712">
        <f t="shared" si="2"/>
        <v>0</v>
      </c>
      <c r="Y50" s="713">
        <f t="shared" si="9"/>
        <v>0</v>
      </c>
      <c r="Z50" s="714"/>
      <c r="AA50" s="356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70"/>
    </row>
    <row r="51" spans="1:42" ht="24.95" customHeight="1" x14ac:dyDescent="0.25">
      <c r="A51" s="82">
        <v>34</v>
      </c>
      <c r="B51" s="141" t="s">
        <v>303</v>
      </c>
      <c r="C51" s="28" t="s">
        <v>304</v>
      </c>
      <c r="D51" s="709"/>
      <c r="E51" s="709"/>
      <c r="F51" s="709"/>
      <c r="G51" s="709"/>
      <c r="H51" s="709"/>
      <c r="I51" s="709"/>
      <c r="J51" s="709"/>
      <c r="K51" s="709"/>
      <c r="L51" s="709">
        <f>-5669-1531</f>
        <v>-7200</v>
      </c>
      <c r="M51" s="709"/>
      <c r="N51" s="709"/>
      <c r="O51" s="709"/>
      <c r="P51" s="709"/>
      <c r="Q51" s="709"/>
      <c r="R51" s="709">
        <f t="shared" si="1"/>
        <v>-7200</v>
      </c>
      <c r="S51" s="623"/>
      <c r="T51" s="623"/>
      <c r="U51" s="623"/>
      <c r="V51" s="623"/>
      <c r="W51" s="623"/>
      <c r="X51" s="712">
        <f t="shared" si="2"/>
        <v>0</v>
      </c>
      <c r="Y51" s="713">
        <f t="shared" si="3"/>
        <v>-7200</v>
      </c>
      <c r="Z51" s="714">
        <f>7200</f>
        <v>7200</v>
      </c>
      <c r="AA51" s="356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70"/>
    </row>
    <row r="52" spans="1:42" ht="24.95" customHeight="1" x14ac:dyDescent="0.25">
      <c r="A52" s="82">
        <v>35</v>
      </c>
      <c r="B52" s="232" t="s">
        <v>319</v>
      </c>
      <c r="C52" s="33" t="s">
        <v>320</v>
      </c>
      <c r="D52" s="709">
        <f>146</f>
        <v>146</v>
      </c>
      <c r="E52" s="709">
        <f>39+26</f>
        <v>65</v>
      </c>
      <c r="F52" s="709">
        <f>-166-45</f>
        <v>-211</v>
      </c>
      <c r="G52" s="709"/>
      <c r="H52" s="709"/>
      <c r="I52" s="709"/>
      <c r="J52" s="709"/>
      <c r="K52" s="709"/>
      <c r="L52" s="709"/>
      <c r="M52" s="709"/>
      <c r="N52" s="709"/>
      <c r="O52" s="709"/>
      <c r="P52" s="709"/>
      <c r="Q52" s="709"/>
      <c r="R52" s="709">
        <f t="shared" si="1"/>
        <v>0</v>
      </c>
      <c r="S52" s="623"/>
      <c r="T52" s="623"/>
      <c r="U52" s="623"/>
      <c r="V52" s="623"/>
      <c r="W52" s="623"/>
      <c r="X52" s="712">
        <f t="shared" si="2"/>
        <v>0</v>
      </c>
      <c r="Y52" s="713">
        <f t="shared" si="3"/>
        <v>0</v>
      </c>
      <c r="Z52" s="714"/>
      <c r="AA52" s="356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70"/>
    </row>
    <row r="53" spans="1:42" ht="24.95" customHeight="1" x14ac:dyDescent="0.25">
      <c r="A53" s="82">
        <v>36</v>
      </c>
      <c r="B53" s="232" t="s">
        <v>321</v>
      </c>
      <c r="C53" s="28" t="s">
        <v>331</v>
      </c>
      <c r="D53" s="709"/>
      <c r="E53" s="709"/>
      <c r="F53" s="709"/>
      <c r="G53" s="709"/>
      <c r="H53" s="709"/>
      <c r="I53" s="709"/>
      <c r="J53" s="709"/>
      <c r="K53" s="709">
        <f>-4966</f>
        <v>-4966</v>
      </c>
      <c r="L53" s="709">
        <f>3910+1056</f>
        <v>4966</v>
      </c>
      <c r="M53" s="709"/>
      <c r="N53" s="709"/>
      <c r="O53" s="709"/>
      <c r="P53" s="709"/>
      <c r="Q53" s="709"/>
      <c r="R53" s="709">
        <f t="shared" si="1"/>
        <v>0</v>
      </c>
      <c r="S53" s="623"/>
      <c r="T53" s="623"/>
      <c r="U53" s="623"/>
      <c r="V53" s="623"/>
      <c r="W53" s="623"/>
      <c r="X53" s="712">
        <f>SUM(T53:W53)</f>
        <v>0</v>
      </c>
      <c r="Y53" s="713">
        <f>R53+X53</f>
        <v>0</v>
      </c>
      <c r="Z53" s="714"/>
      <c r="AA53" s="356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70"/>
    </row>
    <row r="54" spans="1:42" ht="24.95" customHeight="1" x14ac:dyDescent="0.25">
      <c r="A54" s="82">
        <v>37</v>
      </c>
      <c r="B54" s="232" t="s">
        <v>322</v>
      </c>
      <c r="C54" s="28" t="s">
        <v>323</v>
      </c>
      <c r="D54" s="709"/>
      <c r="E54" s="709"/>
      <c r="F54" s="709"/>
      <c r="G54" s="709"/>
      <c r="H54" s="709"/>
      <c r="I54" s="709"/>
      <c r="J54" s="709"/>
      <c r="K54" s="709">
        <f>-4275</f>
        <v>-4275</v>
      </c>
      <c r="L54" s="709"/>
      <c r="M54" s="709"/>
      <c r="N54" s="709"/>
      <c r="O54" s="709"/>
      <c r="P54" s="709"/>
      <c r="Q54" s="709"/>
      <c r="R54" s="709">
        <f t="shared" si="1"/>
        <v>-4275</v>
      </c>
      <c r="S54" s="623"/>
      <c r="T54" s="623"/>
      <c r="U54" s="623"/>
      <c r="V54" s="623"/>
      <c r="W54" s="623"/>
      <c r="X54" s="712">
        <f>SUM(T54:W54)</f>
        <v>0</v>
      </c>
      <c r="Y54" s="713">
        <f>R54+X54</f>
        <v>-4275</v>
      </c>
      <c r="Z54" s="714">
        <f>4275</f>
        <v>4275</v>
      </c>
      <c r="AA54" s="356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70"/>
    </row>
    <row r="55" spans="1:42" ht="24.95" customHeight="1" x14ac:dyDescent="0.25">
      <c r="A55" s="82">
        <v>38</v>
      </c>
      <c r="B55" s="232" t="s">
        <v>326</v>
      </c>
      <c r="C55" s="28" t="s">
        <v>289</v>
      </c>
      <c r="D55" s="709"/>
      <c r="E55" s="709"/>
      <c r="F55" s="709"/>
      <c r="G55" s="709"/>
      <c r="H55" s="709"/>
      <c r="I55" s="709"/>
      <c r="J55" s="709">
        <f>110+46</f>
        <v>156</v>
      </c>
      <c r="K55" s="709">
        <f>-156</f>
        <v>-156</v>
      </c>
      <c r="L55" s="709"/>
      <c r="M55" s="709"/>
      <c r="N55" s="709"/>
      <c r="O55" s="709"/>
      <c r="P55" s="709"/>
      <c r="Q55" s="709"/>
      <c r="R55" s="709">
        <f t="shared" si="1"/>
        <v>0</v>
      </c>
      <c r="S55" s="623"/>
      <c r="T55" s="623"/>
      <c r="U55" s="623"/>
      <c r="V55" s="623"/>
      <c r="W55" s="623"/>
      <c r="X55" s="712">
        <f t="shared" ref="X55:X78" si="10">SUM(T55:W55)</f>
        <v>0</v>
      </c>
      <c r="Y55" s="713">
        <f t="shared" ref="Y55:Y84" si="11">R55+X55</f>
        <v>0</v>
      </c>
      <c r="Z55" s="714"/>
      <c r="AA55" s="356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70"/>
    </row>
    <row r="56" spans="1:42" ht="24.95" customHeight="1" x14ac:dyDescent="0.25">
      <c r="A56" s="82">
        <v>39</v>
      </c>
      <c r="B56" s="232" t="s">
        <v>327</v>
      </c>
      <c r="C56" s="28" t="s">
        <v>328</v>
      </c>
      <c r="D56" s="709"/>
      <c r="E56" s="709"/>
      <c r="F56" s="709"/>
      <c r="G56" s="709"/>
      <c r="H56" s="709"/>
      <c r="I56" s="709"/>
      <c r="J56" s="709">
        <f>50</f>
        <v>50</v>
      </c>
      <c r="K56" s="709">
        <f>-50</f>
        <v>-50</v>
      </c>
      <c r="L56" s="709"/>
      <c r="M56" s="709"/>
      <c r="N56" s="709"/>
      <c r="O56" s="709"/>
      <c r="P56" s="709"/>
      <c r="Q56" s="709"/>
      <c r="R56" s="709">
        <f t="shared" si="1"/>
        <v>0</v>
      </c>
      <c r="S56" s="623"/>
      <c r="T56" s="623"/>
      <c r="U56" s="623"/>
      <c r="V56" s="623"/>
      <c r="W56" s="623"/>
      <c r="X56" s="712">
        <f t="shared" si="10"/>
        <v>0</v>
      </c>
      <c r="Y56" s="713">
        <f t="shared" si="11"/>
        <v>0</v>
      </c>
      <c r="Z56" s="714"/>
      <c r="AA56" s="356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70"/>
    </row>
    <row r="57" spans="1:42" ht="24.95" customHeight="1" x14ac:dyDescent="0.25">
      <c r="A57" s="82">
        <v>40</v>
      </c>
      <c r="B57" s="232" t="s">
        <v>329</v>
      </c>
      <c r="C57" s="39" t="s">
        <v>330</v>
      </c>
      <c r="D57" s="709"/>
      <c r="E57" s="709"/>
      <c r="F57" s="709"/>
      <c r="G57" s="709"/>
      <c r="H57" s="709"/>
      <c r="I57" s="709"/>
      <c r="J57" s="709"/>
      <c r="K57" s="709">
        <f>-2500</f>
        <v>-2500</v>
      </c>
      <c r="L57" s="709"/>
      <c r="M57" s="709"/>
      <c r="N57" s="709"/>
      <c r="O57" s="709"/>
      <c r="P57" s="709"/>
      <c r="Q57" s="709">
        <f>2500</f>
        <v>2500</v>
      </c>
      <c r="R57" s="709">
        <f t="shared" si="1"/>
        <v>0</v>
      </c>
      <c r="S57" s="623"/>
      <c r="T57" s="623"/>
      <c r="U57" s="623"/>
      <c r="V57" s="623"/>
      <c r="W57" s="623"/>
      <c r="X57" s="712">
        <f t="shared" si="10"/>
        <v>0</v>
      </c>
      <c r="Y57" s="713">
        <f t="shared" si="11"/>
        <v>0</v>
      </c>
      <c r="Z57" s="714"/>
      <c r="AA57" s="356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70"/>
    </row>
    <row r="58" spans="1:42" ht="24.95" customHeight="1" x14ac:dyDescent="0.25">
      <c r="A58" s="82">
        <v>41</v>
      </c>
      <c r="B58" s="232" t="s">
        <v>333</v>
      </c>
      <c r="C58" s="39" t="s">
        <v>334</v>
      </c>
      <c r="D58" s="709"/>
      <c r="E58" s="709"/>
      <c r="F58" s="709">
        <f>-340-92</f>
        <v>-432</v>
      </c>
      <c r="G58" s="709"/>
      <c r="H58" s="709"/>
      <c r="I58" s="709"/>
      <c r="J58" s="709"/>
      <c r="K58" s="709"/>
      <c r="L58" s="709">
        <f>340+92</f>
        <v>432</v>
      </c>
      <c r="M58" s="709"/>
      <c r="N58" s="709"/>
      <c r="O58" s="709"/>
      <c r="P58" s="709"/>
      <c r="Q58" s="709"/>
      <c r="R58" s="709">
        <f t="shared" si="1"/>
        <v>0</v>
      </c>
      <c r="S58" s="623"/>
      <c r="T58" s="623"/>
      <c r="U58" s="623"/>
      <c r="V58" s="623"/>
      <c r="W58" s="623"/>
      <c r="X58" s="712">
        <f t="shared" si="10"/>
        <v>0</v>
      </c>
      <c r="Y58" s="713">
        <f t="shared" si="11"/>
        <v>0</v>
      </c>
      <c r="Z58" s="714"/>
      <c r="AA58" s="356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70"/>
    </row>
    <row r="59" spans="1:42" ht="24.95" customHeight="1" x14ac:dyDescent="0.25">
      <c r="A59" s="82">
        <v>42</v>
      </c>
      <c r="B59" s="232" t="s">
        <v>335</v>
      </c>
      <c r="C59" s="28" t="s">
        <v>328</v>
      </c>
      <c r="D59" s="709"/>
      <c r="E59" s="709"/>
      <c r="F59" s="709"/>
      <c r="G59" s="709"/>
      <c r="H59" s="709"/>
      <c r="I59" s="709"/>
      <c r="J59" s="709">
        <f>350</f>
        <v>350</v>
      </c>
      <c r="K59" s="709">
        <f>-350</f>
        <v>-350</v>
      </c>
      <c r="L59" s="709"/>
      <c r="M59" s="709"/>
      <c r="N59" s="709"/>
      <c r="O59" s="709"/>
      <c r="P59" s="709"/>
      <c r="Q59" s="709"/>
      <c r="R59" s="709">
        <f t="shared" si="1"/>
        <v>0</v>
      </c>
      <c r="S59" s="623"/>
      <c r="T59" s="623"/>
      <c r="U59" s="623"/>
      <c r="V59" s="623"/>
      <c r="W59" s="623"/>
      <c r="X59" s="712">
        <f t="shared" si="10"/>
        <v>0</v>
      </c>
      <c r="Y59" s="713">
        <f t="shared" si="11"/>
        <v>0</v>
      </c>
      <c r="Z59" s="714"/>
      <c r="AA59" s="356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70"/>
    </row>
    <row r="60" spans="1:42" ht="24.95" customHeight="1" x14ac:dyDescent="0.25">
      <c r="A60" s="82">
        <v>43</v>
      </c>
      <c r="B60" s="677" t="s">
        <v>337</v>
      </c>
      <c r="C60" s="39" t="s">
        <v>336</v>
      </c>
      <c r="D60" s="709"/>
      <c r="E60" s="709"/>
      <c r="F60" s="709">
        <f>200</f>
        <v>200</v>
      </c>
      <c r="G60" s="709"/>
      <c r="H60" s="709"/>
      <c r="I60" s="709"/>
      <c r="J60" s="709">
        <f>-200</f>
        <v>-200</v>
      </c>
      <c r="K60" s="709"/>
      <c r="L60" s="709"/>
      <c r="M60" s="709"/>
      <c r="N60" s="709"/>
      <c r="O60" s="709"/>
      <c r="P60" s="709"/>
      <c r="Q60" s="709"/>
      <c r="R60" s="709">
        <f t="shared" si="1"/>
        <v>0</v>
      </c>
      <c r="S60" s="623"/>
      <c r="T60" s="623"/>
      <c r="U60" s="623"/>
      <c r="V60" s="623"/>
      <c r="W60" s="623"/>
      <c r="X60" s="712">
        <f t="shared" si="10"/>
        <v>0</v>
      </c>
      <c r="Y60" s="713">
        <f t="shared" si="11"/>
        <v>0</v>
      </c>
      <c r="Z60" s="714"/>
      <c r="AA60" s="356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70"/>
    </row>
    <row r="61" spans="1:42" ht="24.95" hidden="1" customHeight="1" x14ac:dyDescent="0.25">
      <c r="A61" s="82"/>
      <c r="B61" s="232"/>
      <c r="C61" s="39"/>
      <c r="D61" s="623"/>
      <c r="E61" s="623"/>
      <c r="F61" s="623"/>
      <c r="G61" s="623"/>
      <c r="H61" s="623"/>
      <c r="I61" s="623"/>
      <c r="J61" s="623"/>
      <c r="K61" s="623"/>
      <c r="L61" s="623"/>
      <c r="M61" s="623"/>
      <c r="N61" s="623"/>
      <c r="O61" s="623"/>
      <c r="P61" s="623"/>
      <c r="Q61" s="623"/>
      <c r="R61" s="623">
        <f t="shared" si="1"/>
        <v>0</v>
      </c>
      <c r="S61" s="623"/>
      <c r="T61" s="623"/>
      <c r="U61" s="623"/>
      <c r="V61" s="623"/>
      <c r="W61" s="623"/>
      <c r="X61" s="625">
        <f t="shared" si="10"/>
        <v>0</v>
      </c>
      <c r="Y61" s="626">
        <f t="shared" si="11"/>
        <v>0</v>
      </c>
      <c r="Z61" s="627"/>
      <c r="AA61" s="356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70"/>
    </row>
    <row r="62" spans="1:42" ht="24.95" hidden="1" customHeight="1" x14ac:dyDescent="0.25">
      <c r="A62" s="82"/>
      <c r="B62" s="232"/>
      <c r="C62" s="39"/>
      <c r="D62" s="623"/>
      <c r="E62" s="623"/>
      <c r="F62" s="623"/>
      <c r="G62" s="623"/>
      <c r="H62" s="623"/>
      <c r="I62" s="623"/>
      <c r="J62" s="623"/>
      <c r="K62" s="623"/>
      <c r="L62" s="623"/>
      <c r="M62" s="623"/>
      <c r="N62" s="623"/>
      <c r="O62" s="623"/>
      <c r="P62" s="623"/>
      <c r="Q62" s="623"/>
      <c r="R62" s="623">
        <f t="shared" si="1"/>
        <v>0</v>
      </c>
      <c r="S62" s="623"/>
      <c r="T62" s="623"/>
      <c r="U62" s="623"/>
      <c r="V62" s="623"/>
      <c r="W62" s="623"/>
      <c r="X62" s="625">
        <f t="shared" si="10"/>
        <v>0</v>
      </c>
      <c r="Y62" s="626">
        <f t="shared" si="11"/>
        <v>0</v>
      </c>
      <c r="Z62" s="627"/>
      <c r="AA62" s="356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70"/>
    </row>
    <row r="63" spans="1:42" ht="24.95" hidden="1" customHeight="1" x14ac:dyDescent="0.25">
      <c r="A63" s="82"/>
      <c r="B63" s="232"/>
      <c r="C63" s="39"/>
      <c r="D63" s="623"/>
      <c r="E63" s="623"/>
      <c r="F63" s="623"/>
      <c r="G63" s="623"/>
      <c r="H63" s="623"/>
      <c r="I63" s="623"/>
      <c r="J63" s="623"/>
      <c r="K63" s="623"/>
      <c r="L63" s="623"/>
      <c r="M63" s="623"/>
      <c r="N63" s="623"/>
      <c r="O63" s="623"/>
      <c r="P63" s="623"/>
      <c r="Q63" s="623"/>
      <c r="R63" s="623">
        <f t="shared" si="1"/>
        <v>0</v>
      </c>
      <c r="S63" s="623"/>
      <c r="T63" s="623"/>
      <c r="U63" s="623"/>
      <c r="V63" s="623"/>
      <c r="W63" s="623"/>
      <c r="X63" s="625">
        <f t="shared" si="10"/>
        <v>0</v>
      </c>
      <c r="Y63" s="626">
        <f t="shared" si="11"/>
        <v>0</v>
      </c>
      <c r="Z63" s="627"/>
      <c r="AA63" s="356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70"/>
    </row>
    <row r="64" spans="1:42" ht="24.95" hidden="1" customHeight="1" x14ac:dyDescent="0.25">
      <c r="A64" s="82"/>
      <c r="B64" s="232"/>
      <c r="C64" s="39"/>
      <c r="D64" s="623"/>
      <c r="E64" s="623"/>
      <c r="F64" s="623"/>
      <c r="G64" s="623"/>
      <c r="H64" s="623"/>
      <c r="I64" s="623"/>
      <c r="J64" s="623"/>
      <c r="K64" s="623"/>
      <c r="L64" s="623"/>
      <c r="M64" s="623"/>
      <c r="N64" s="623"/>
      <c r="O64" s="623"/>
      <c r="P64" s="623"/>
      <c r="Q64" s="623"/>
      <c r="R64" s="623">
        <f t="shared" si="1"/>
        <v>0</v>
      </c>
      <c r="S64" s="623"/>
      <c r="T64" s="623"/>
      <c r="U64" s="623"/>
      <c r="V64" s="623"/>
      <c r="W64" s="623"/>
      <c r="X64" s="625">
        <f t="shared" si="10"/>
        <v>0</v>
      </c>
      <c r="Y64" s="626">
        <f t="shared" si="11"/>
        <v>0</v>
      </c>
      <c r="Z64" s="627"/>
      <c r="AA64" s="356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70"/>
    </row>
    <row r="65" spans="1:42" ht="24.95" hidden="1" customHeight="1" x14ac:dyDescent="0.25">
      <c r="A65" s="82"/>
      <c r="B65" s="232"/>
      <c r="C65" s="39"/>
      <c r="D65" s="623"/>
      <c r="E65" s="623"/>
      <c r="F65" s="623"/>
      <c r="G65" s="623"/>
      <c r="H65" s="623"/>
      <c r="I65" s="623"/>
      <c r="J65" s="623"/>
      <c r="K65" s="623"/>
      <c r="L65" s="623"/>
      <c r="M65" s="623"/>
      <c r="N65" s="623"/>
      <c r="O65" s="623"/>
      <c r="P65" s="623"/>
      <c r="Q65" s="623"/>
      <c r="R65" s="623">
        <f t="shared" si="1"/>
        <v>0</v>
      </c>
      <c r="S65" s="623"/>
      <c r="T65" s="623"/>
      <c r="U65" s="623"/>
      <c r="V65" s="623"/>
      <c r="W65" s="623"/>
      <c r="X65" s="625">
        <f t="shared" si="10"/>
        <v>0</v>
      </c>
      <c r="Y65" s="626">
        <f t="shared" si="11"/>
        <v>0</v>
      </c>
      <c r="Z65" s="627"/>
      <c r="AA65" s="356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70"/>
    </row>
    <row r="66" spans="1:42" ht="24.95" hidden="1" customHeight="1" x14ac:dyDescent="0.25">
      <c r="A66" s="82"/>
      <c r="B66" s="232"/>
      <c r="C66" s="39"/>
      <c r="D66" s="623"/>
      <c r="E66" s="623"/>
      <c r="F66" s="623"/>
      <c r="G66" s="623"/>
      <c r="H66" s="623"/>
      <c r="I66" s="623"/>
      <c r="J66" s="623"/>
      <c r="K66" s="623"/>
      <c r="L66" s="623"/>
      <c r="M66" s="623"/>
      <c r="N66" s="623"/>
      <c r="O66" s="623"/>
      <c r="P66" s="623"/>
      <c r="Q66" s="623"/>
      <c r="R66" s="623">
        <f t="shared" si="1"/>
        <v>0</v>
      </c>
      <c r="S66" s="623"/>
      <c r="T66" s="623"/>
      <c r="U66" s="623"/>
      <c r="V66" s="623"/>
      <c r="W66" s="623"/>
      <c r="X66" s="625">
        <f t="shared" ref="X66:X74" si="12">SUM(T66:W66)</f>
        <v>0</v>
      </c>
      <c r="Y66" s="626">
        <f t="shared" ref="Y66:Y74" si="13">R66+X66</f>
        <v>0</v>
      </c>
      <c r="Z66" s="627"/>
      <c r="AA66" s="356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70"/>
    </row>
    <row r="67" spans="1:42" ht="24.95" hidden="1" customHeight="1" x14ac:dyDescent="0.25">
      <c r="A67" s="82"/>
      <c r="B67" s="232"/>
      <c r="C67" s="39"/>
      <c r="D67" s="623"/>
      <c r="E67" s="623"/>
      <c r="F67" s="623"/>
      <c r="G67" s="623"/>
      <c r="H67" s="623"/>
      <c r="I67" s="623"/>
      <c r="J67" s="623"/>
      <c r="K67" s="623"/>
      <c r="L67" s="623"/>
      <c r="M67" s="623"/>
      <c r="N67" s="623"/>
      <c r="O67" s="623"/>
      <c r="P67" s="623"/>
      <c r="Q67" s="623"/>
      <c r="R67" s="623">
        <f t="shared" si="1"/>
        <v>0</v>
      </c>
      <c r="S67" s="623"/>
      <c r="T67" s="623"/>
      <c r="U67" s="623"/>
      <c r="V67" s="623"/>
      <c r="W67" s="623"/>
      <c r="X67" s="625">
        <f t="shared" si="12"/>
        <v>0</v>
      </c>
      <c r="Y67" s="626">
        <f t="shared" si="13"/>
        <v>0</v>
      </c>
      <c r="Z67" s="627"/>
      <c r="AA67" s="356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70"/>
    </row>
    <row r="68" spans="1:42" ht="24.95" hidden="1" customHeight="1" x14ac:dyDescent="0.25">
      <c r="A68" s="82"/>
      <c r="B68" s="232"/>
      <c r="C68" s="39"/>
      <c r="D68" s="623"/>
      <c r="E68" s="623"/>
      <c r="F68" s="623"/>
      <c r="G68" s="623"/>
      <c r="H68" s="623"/>
      <c r="I68" s="623"/>
      <c r="J68" s="623"/>
      <c r="K68" s="623"/>
      <c r="L68" s="623"/>
      <c r="M68" s="623"/>
      <c r="N68" s="623"/>
      <c r="O68" s="623"/>
      <c r="P68" s="623"/>
      <c r="Q68" s="623"/>
      <c r="R68" s="623">
        <f t="shared" si="1"/>
        <v>0</v>
      </c>
      <c r="S68" s="623"/>
      <c r="T68" s="623"/>
      <c r="U68" s="623"/>
      <c r="V68" s="623"/>
      <c r="W68" s="623"/>
      <c r="X68" s="625">
        <f t="shared" si="12"/>
        <v>0</v>
      </c>
      <c r="Y68" s="626">
        <f t="shared" si="13"/>
        <v>0</v>
      </c>
      <c r="Z68" s="627"/>
      <c r="AA68" s="356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70"/>
    </row>
    <row r="69" spans="1:42" ht="24.95" hidden="1" customHeight="1" x14ac:dyDescent="0.25">
      <c r="A69" s="82"/>
      <c r="B69" s="232"/>
      <c r="C69" s="39"/>
      <c r="D69" s="623"/>
      <c r="E69" s="623"/>
      <c r="F69" s="623"/>
      <c r="G69" s="623"/>
      <c r="H69" s="623"/>
      <c r="I69" s="623"/>
      <c r="J69" s="623"/>
      <c r="K69" s="623"/>
      <c r="L69" s="623"/>
      <c r="M69" s="623"/>
      <c r="N69" s="623"/>
      <c r="O69" s="623"/>
      <c r="P69" s="623"/>
      <c r="Q69" s="623"/>
      <c r="R69" s="623">
        <f t="shared" si="1"/>
        <v>0</v>
      </c>
      <c r="S69" s="623"/>
      <c r="T69" s="623"/>
      <c r="U69" s="623"/>
      <c r="V69" s="623"/>
      <c r="W69" s="623"/>
      <c r="X69" s="625">
        <f t="shared" si="12"/>
        <v>0</v>
      </c>
      <c r="Y69" s="626">
        <f t="shared" si="13"/>
        <v>0</v>
      </c>
      <c r="Z69" s="627"/>
      <c r="AA69" s="356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0"/>
    </row>
    <row r="70" spans="1:42" ht="24.95" hidden="1" customHeight="1" x14ac:dyDescent="0.25">
      <c r="A70" s="82"/>
      <c r="B70" s="232"/>
      <c r="C70" s="39"/>
      <c r="D70" s="623"/>
      <c r="E70" s="623"/>
      <c r="F70" s="623"/>
      <c r="G70" s="623"/>
      <c r="H70" s="623"/>
      <c r="I70" s="623"/>
      <c r="J70" s="623"/>
      <c r="K70" s="623"/>
      <c r="L70" s="623"/>
      <c r="M70" s="623"/>
      <c r="N70" s="623"/>
      <c r="O70" s="623"/>
      <c r="P70" s="623"/>
      <c r="Q70" s="623"/>
      <c r="R70" s="623">
        <f t="shared" si="1"/>
        <v>0</v>
      </c>
      <c r="S70" s="623"/>
      <c r="T70" s="623"/>
      <c r="U70" s="623"/>
      <c r="V70" s="623"/>
      <c r="W70" s="623"/>
      <c r="X70" s="625">
        <f t="shared" si="12"/>
        <v>0</v>
      </c>
      <c r="Y70" s="626">
        <f t="shared" si="13"/>
        <v>0</v>
      </c>
      <c r="Z70" s="627"/>
      <c r="AA70" s="356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70"/>
    </row>
    <row r="71" spans="1:42" ht="24.95" hidden="1" customHeight="1" x14ac:dyDescent="0.25">
      <c r="A71" s="82"/>
      <c r="B71" s="644"/>
      <c r="C71" s="39"/>
      <c r="D71" s="623"/>
      <c r="E71" s="623"/>
      <c r="F71" s="623"/>
      <c r="G71" s="623"/>
      <c r="H71" s="623"/>
      <c r="I71" s="623"/>
      <c r="J71" s="623"/>
      <c r="K71" s="623"/>
      <c r="L71" s="623"/>
      <c r="M71" s="623"/>
      <c r="N71" s="623"/>
      <c r="O71" s="623"/>
      <c r="P71" s="623"/>
      <c r="Q71" s="623"/>
      <c r="R71" s="623">
        <f t="shared" si="1"/>
        <v>0</v>
      </c>
      <c r="S71" s="623"/>
      <c r="T71" s="623"/>
      <c r="U71" s="623"/>
      <c r="V71" s="623"/>
      <c r="W71" s="623"/>
      <c r="X71" s="625">
        <f t="shared" si="12"/>
        <v>0</v>
      </c>
      <c r="Y71" s="626">
        <f t="shared" si="13"/>
        <v>0</v>
      </c>
      <c r="Z71" s="627"/>
      <c r="AA71" s="356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70"/>
    </row>
    <row r="72" spans="1:42" ht="24.95" hidden="1" customHeight="1" x14ac:dyDescent="0.25">
      <c r="A72" s="82"/>
      <c r="B72" s="232"/>
      <c r="C72" s="39"/>
      <c r="D72" s="623"/>
      <c r="E72" s="623"/>
      <c r="F72" s="623"/>
      <c r="G72" s="623"/>
      <c r="H72" s="623"/>
      <c r="I72" s="623"/>
      <c r="J72" s="623"/>
      <c r="K72" s="623"/>
      <c r="L72" s="623"/>
      <c r="M72" s="623"/>
      <c r="N72" s="623"/>
      <c r="O72" s="623"/>
      <c r="P72" s="623"/>
      <c r="Q72" s="623"/>
      <c r="R72" s="623">
        <f t="shared" si="1"/>
        <v>0</v>
      </c>
      <c r="S72" s="623"/>
      <c r="T72" s="623"/>
      <c r="U72" s="623"/>
      <c r="V72" s="623"/>
      <c r="W72" s="623"/>
      <c r="X72" s="625">
        <f t="shared" si="12"/>
        <v>0</v>
      </c>
      <c r="Y72" s="626">
        <f t="shared" si="13"/>
        <v>0</v>
      </c>
      <c r="Z72" s="627"/>
      <c r="AA72" s="356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70"/>
    </row>
    <row r="73" spans="1:42" ht="24.95" hidden="1" customHeight="1" x14ac:dyDescent="0.25">
      <c r="A73" s="82"/>
      <c r="B73" s="232"/>
      <c r="C73" s="39"/>
      <c r="D73" s="623"/>
      <c r="E73" s="623"/>
      <c r="F73" s="623"/>
      <c r="G73" s="623"/>
      <c r="H73" s="623"/>
      <c r="I73" s="623"/>
      <c r="J73" s="623"/>
      <c r="K73" s="623"/>
      <c r="L73" s="623"/>
      <c r="M73" s="623"/>
      <c r="N73" s="623"/>
      <c r="O73" s="623"/>
      <c r="P73" s="623"/>
      <c r="Q73" s="623"/>
      <c r="R73" s="623">
        <f t="shared" si="1"/>
        <v>0</v>
      </c>
      <c r="S73" s="623"/>
      <c r="T73" s="623"/>
      <c r="U73" s="623"/>
      <c r="V73" s="623"/>
      <c r="W73" s="623"/>
      <c r="X73" s="625">
        <f t="shared" si="12"/>
        <v>0</v>
      </c>
      <c r="Y73" s="626">
        <f t="shared" si="13"/>
        <v>0</v>
      </c>
      <c r="Z73" s="627"/>
      <c r="AA73" s="356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70"/>
    </row>
    <row r="74" spans="1:42" ht="24.95" hidden="1" customHeight="1" x14ac:dyDescent="0.25">
      <c r="A74" s="82"/>
      <c r="B74" s="232"/>
      <c r="C74" s="39"/>
      <c r="D74" s="623"/>
      <c r="E74" s="623"/>
      <c r="F74" s="623"/>
      <c r="G74" s="623"/>
      <c r="H74" s="623"/>
      <c r="I74" s="623"/>
      <c r="J74" s="623"/>
      <c r="K74" s="623"/>
      <c r="L74" s="623"/>
      <c r="M74" s="623"/>
      <c r="N74" s="623"/>
      <c r="O74" s="623"/>
      <c r="P74" s="623"/>
      <c r="Q74" s="623"/>
      <c r="R74" s="623">
        <f t="shared" si="1"/>
        <v>0</v>
      </c>
      <c r="S74" s="623"/>
      <c r="T74" s="623"/>
      <c r="U74" s="623"/>
      <c r="V74" s="623"/>
      <c r="W74" s="623"/>
      <c r="X74" s="625">
        <f t="shared" si="12"/>
        <v>0</v>
      </c>
      <c r="Y74" s="626">
        <f t="shared" si="13"/>
        <v>0</v>
      </c>
      <c r="Z74" s="627"/>
      <c r="AA74" s="356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70"/>
    </row>
    <row r="75" spans="1:42" ht="24.95" hidden="1" customHeight="1" x14ac:dyDescent="0.25">
      <c r="A75" s="82"/>
      <c r="B75" s="232"/>
      <c r="C75" s="39"/>
      <c r="D75" s="623"/>
      <c r="E75" s="623"/>
      <c r="F75" s="623"/>
      <c r="G75" s="623"/>
      <c r="H75" s="623"/>
      <c r="I75" s="623"/>
      <c r="J75" s="623"/>
      <c r="K75" s="623"/>
      <c r="L75" s="623"/>
      <c r="M75" s="623"/>
      <c r="N75" s="623"/>
      <c r="O75" s="623"/>
      <c r="P75" s="623"/>
      <c r="Q75" s="623"/>
      <c r="R75" s="623">
        <f t="shared" si="1"/>
        <v>0</v>
      </c>
      <c r="S75" s="623"/>
      <c r="T75" s="623"/>
      <c r="U75" s="623"/>
      <c r="V75" s="623"/>
      <c r="W75" s="623"/>
      <c r="X75" s="625">
        <f t="shared" si="10"/>
        <v>0</v>
      </c>
      <c r="Y75" s="626">
        <f t="shared" si="11"/>
        <v>0</v>
      </c>
      <c r="Z75" s="627"/>
      <c r="AA75" s="356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70"/>
    </row>
    <row r="76" spans="1:42" ht="24.95" hidden="1" customHeight="1" x14ac:dyDescent="0.25">
      <c r="A76" s="82"/>
      <c r="B76" s="232"/>
      <c r="C76" s="39"/>
      <c r="D76" s="623"/>
      <c r="E76" s="623"/>
      <c r="F76" s="623"/>
      <c r="G76" s="623"/>
      <c r="H76" s="623"/>
      <c r="I76" s="623"/>
      <c r="J76" s="623"/>
      <c r="K76" s="623"/>
      <c r="L76" s="623"/>
      <c r="M76" s="623"/>
      <c r="N76" s="623"/>
      <c r="O76" s="623"/>
      <c r="P76" s="623"/>
      <c r="Q76" s="623"/>
      <c r="R76" s="623">
        <f t="shared" si="1"/>
        <v>0</v>
      </c>
      <c r="S76" s="623"/>
      <c r="T76" s="623"/>
      <c r="U76" s="623"/>
      <c r="V76" s="623"/>
      <c r="W76" s="623"/>
      <c r="X76" s="625">
        <f t="shared" si="10"/>
        <v>0</v>
      </c>
      <c r="Y76" s="626">
        <f t="shared" si="11"/>
        <v>0</v>
      </c>
      <c r="Z76" s="627"/>
      <c r="AA76" s="356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70"/>
    </row>
    <row r="77" spans="1:42" ht="24.95" hidden="1" customHeight="1" x14ac:dyDescent="0.25">
      <c r="A77" s="82"/>
      <c r="B77" s="232"/>
      <c r="C77" s="39"/>
      <c r="D77" s="623"/>
      <c r="E77" s="623"/>
      <c r="F77" s="623"/>
      <c r="G77" s="623"/>
      <c r="H77" s="623"/>
      <c r="I77" s="623"/>
      <c r="J77" s="623"/>
      <c r="K77" s="623"/>
      <c r="L77" s="623"/>
      <c r="M77" s="623"/>
      <c r="N77" s="623"/>
      <c r="O77" s="623"/>
      <c r="P77" s="623"/>
      <c r="Q77" s="623"/>
      <c r="R77" s="623">
        <f t="shared" si="1"/>
        <v>0</v>
      </c>
      <c r="S77" s="623"/>
      <c r="T77" s="623"/>
      <c r="U77" s="623"/>
      <c r="V77" s="623"/>
      <c r="W77" s="623"/>
      <c r="X77" s="625">
        <f t="shared" si="10"/>
        <v>0</v>
      </c>
      <c r="Y77" s="626">
        <f t="shared" si="11"/>
        <v>0</v>
      </c>
      <c r="Z77" s="627"/>
      <c r="AA77" s="356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70"/>
    </row>
    <row r="78" spans="1:42" ht="24.95" hidden="1" customHeight="1" x14ac:dyDescent="0.25">
      <c r="A78" s="82"/>
      <c r="B78" s="232"/>
      <c r="C78" s="39"/>
      <c r="D78" s="623"/>
      <c r="E78" s="623"/>
      <c r="F78" s="623"/>
      <c r="G78" s="623"/>
      <c r="H78" s="623"/>
      <c r="I78" s="623"/>
      <c r="J78" s="623"/>
      <c r="K78" s="623"/>
      <c r="L78" s="623"/>
      <c r="M78" s="623"/>
      <c r="N78" s="623"/>
      <c r="O78" s="623"/>
      <c r="P78" s="623"/>
      <c r="Q78" s="623"/>
      <c r="R78" s="623">
        <f t="shared" si="1"/>
        <v>0</v>
      </c>
      <c r="S78" s="623"/>
      <c r="T78" s="623"/>
      <c r="U78" s="623"/>
      <c r="V78" s="623"/>
      <c r="W78" s="623"/>
      <c r="X78" s="625">
        <f t="shared" si="10"/>
        <v>0</v>
      </c>
      <c r="Y78" s="626">
        <f t="shared" si="11"/>
        <v>0</v>
      </c>
      <c r="Z78" s="627"/>
      <c r="AA78" s="356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70"/>
    </row>
    <row r="79" spans="1:42" ht="24.95" hidden="1" customHeight="1" x14ac:dyDescent="0.25">
      <c r="A79" s="82"/>
      <c r="B79" s="232"/>
      <c r="C79" s="39"/>
      <c r="D79" s="623"/>
      <c r="E79" s="623"/>
      <c r="F79" s="623"/>
      <c r="G79" s="623"/>
      <c r="H79" s="623"/>
      <c r="I79" s="623"/>
      <c r="J79" s="623"/>
      <c r="K79" s="623"/>
      <c r="L79" s="623"/>
      <c r="M79" s="623"/>
      <c r="N79" s="623"/>
      <c r="O79" s="623"/>
      <c r="P79" s="623"/>
      <c r="Q79" s="623"/>
      <c r="R79" s="623">
        <f t="shared" si="1"/>
        <v>0</v>
      </c>
      <c r="S79" s="623"/>
      <c r="T79" s="623"/>
      <c r="U79" s="623"/>
      <c r="V79" s="623"/>
      <c r="W79" s="623"/>
      <c r="X79" s="625">
        <f t="shared" si="2"/>
        <v>0</v>
      </c>
      <c r="Y79" s="626">
        <f t="shared" si="11"/>
        <v>0</v>
      </c>
      <c r="Z79" s="627"/>
      <c r="AA79" s="356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70"/>
    </row>
    <row r="80" spans="1:42" ht="29.45" hidden="1" customHeight="1" x14ac:dyDescent="0.25">
      <c r="A80" s="82"/>
      <c r="B80" s="232"/>
      <c r="C80" s="39"/>
      <c r="D80" s="623"/>
      <c r="E80" s="623"/>
      <c r="F80" s="623"/>
      <c r="G80" s="623"/>
      <c r="H80" s="623"/>
      <c r="I80" s="623"/>
      <c r="J80" s="623"/>
      <c r="K80" s="623"/>
      <c r="L80" s="623"/>
      <c r="M80" s="623"/>
      <c r="N80" s="623"/>
      <c r="O80" s="623"/>
      <c r="P80" s="623"/>
      <c r="Q80" s="623"/>
      <c r="R80" s="623">
        <f t="shared" si="1"/>
        <v>0</v>
      </c>
      <c r="S80" s="623"/>
      <c r="T80" s="623"/>
      <c r="U80" s="623"/>
      <c r="V80" s="623"/>
      <c r="W80" s="623"/>
      <c r="X80" s="625">
        <f t="shared" ref="X80:X93" si="14">SUM(T80:W80)</f>
        <v>0</v>
      </c>
      <c r="Y80" s="626">
        <f t="shared" si="11"/>
        <v>0</v>
      </c>
      <c r="Z80" s="627"/>
      <c r="AA80" s="356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70"/>
    </row>
    <row r="81" spans="1:42" ht="24.95" hidden="1" customHeight="1" x14ac:dyDescent="0.25">
      <c r="A81" s="82"/>
      <c r="B81" s="232"/>
      <c r="C81" s="39"/>
      <c r="D81" s="623"/>
      <c r="E81" s="623"/>
      <c r="F81" s="623"/>
      <c r="G81" s="623"/>
      <c r="H81" s="623"/>
      <c r="I81" s="623"/>
      <c r="J81" s="623"/>
      <c r="K81" s="623"/>
      <c r="L81" s="623"/>
      <c r="M81" s="623"/>
      <c r="N81" s="623"/>
      <c r="O81" s="623"/>
      <c r="P81" s="623"/>
      <c r="Q81" s="623"/>
      <c r="R81" s="623">
        <f t="shared" si="1"/>
        <v>0</v>
      </c>
      <c r="S81" s="623"/>
      <c r="T81" s="623"/>
      <c r="U81" s="623"/>
      <c r="V81" s="623"/>
      <c r="W81" s="623"/>
      <c r="X81" s="625">
        <f t="shared" si="14"/>
        <v>0</v>
      </c>
      <c r="Y81" s="626">
        <f t="shared" si="11"/>
        <v>0</v>
      </c>
      <c r="Z81" s="627"/>
      <c r="AA81" s="356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70"/>
    </row>
    <row r="82" spans="1:42" ht="24.95" hidden="1" customHeight="1" x14ac:dyDescent="0.25">
      <c r="A82" s="82"/>
      <c r="B82" s="232"/>
      <c r="C82" s="39"/>
      <c r="D82" s="623"/>
      <c r="E82" s="623"/>
      <c r="F82" s="623"/>
      <c r="G82" s="623"/>
      <c r="H82" s="623"/>
      <c r="I82" s="623"/>
      <c r="J82" s="623"/>
      <c r="K82" s="623"/>
      <c r="L82" s="623"/>
      <c r="M82" s="623"/>
      <c r="N82" s="623"/>
      <c r="O82" s="623"/>
      <c r="P82" s="623"/>
      <c r="Q82" s="623"/>
      <c r="R82" s="623">
        <f t="shared" si="1"/>
        <v>0</v>
      </c>
      <c r="S82" s="623"/>
      <c r="T82" s="623"/>
      <c r="U82" s="623"/>
      <c r="V82" s="623"/>
      <c r="W82" s="623"/>
      <c r="X82" s="625">
        <f t="shared" si="14"/>
        <v>0</v>
      </c>
      <c r="Y82" s="626">
        <f t="shared" si="11"/>
        <v>0</v>
      </c>
      <c r="Z82" s="627"/>
      <c r="AA82" s="356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70"/>
    </row>
    <row r="83" spans="1:42" ht="24.95" hidden="1" customHeight="1" x14ac:dyDescent="0.25">
      <c r="A83" s="82"/>
      <c r="B83" s="232"/>
      <c r="C83" s="39"/>
      <c r="D83" s="623"/>
      <c r="E83" s="623"/>
      <c r="F83" s="623"/>
      <c r="G83" s="623"/>
      <c r="H83" s="623"/>
      <c r="I83" s="623"/>
      <c r="J83" s="623"/>
      <c r="K83" s="623"/>
      <c r="L83" s="623"/>
      <c r="M83" s="623"/>
      <c r="N83" s="623"/>
      <c r="O83" s="623"/>
      <c r="P83" s="623"/>
      <c r="Q83" s="623"/>
      <c r="R83" s="623">
        <f t="shared" si="1"/>
        <v>0</v>
      </c>
      <c r="S83" s="623"/>
      <c r="T83" s="623"/>
      <c r="U83" s="623"/>
      <c r="V83" s="623"/>
      <c r="W83" s="623"/>
      <c r="X83" s="625">
        <f>SUM(T83:W83)</f>
        <v>0</v>
      </c>
      <c r="Y83" s="626">
        <f>R83+X83</f>
        <v>0</v>
      </c>
      <c r="Z83" s="627"/>
      <c r="AA83" s="356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70"/>
    </row>
    <row r="84" spans="1:42" ht="24.95" hidden="1" customHeight="1" x14ac:dyDescent="0.25">
      <c r="A84" s="82"/>
      <c r="B84" s="232"/>
      <c r="C84" s="39"/>
      <c r="D84" s="623"/>
      <c r="E84" s="623"/>
      <c r="F84" s="623"/>
      <c r="G84" s="623"/>
      <c r="H84" s="623"/>
      <c r="I84" s="623"/>
      <c r="J84" s="623"/>
      <c r="K84" s="623"/>
      <c r="L84" s="623"/>
      <c r="M84" s="623"/>
      <c r="N84" s="623"/>
      <c r="O84" s="623"/>
      <c r="P84" s="623"/>
      <c r="Q84" s="623"/>
      <c r="R84" s="623">
        <f t="shared" si="1"/>
        <v>0</v>
      </c>
      <c r="S84" s="623"/>
      <c r="T84" s="623"/>
      <c r="U84" s="623"/>
      <c r="V84" s="623"/>
      <c r="W84" s="623"/>
      <c r="X84" s="625">
        <f t="shared" si="14"/>
        <v>0</v>
      </c>
      <c r="Y84" s="626">
        <f t="shared" si="11"/>
        <v>0</v>
      </c>
      <c r="Z84" s="627"/>
      <c r="AA84" s="356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70"/>
    </row>
    <row r="85" spans="1:42" ht="24.95" hidden="1" customHeight="1" x14ac:dyDescent="0.25">
      <c r="A85" s="82"/>
      <c r="B85" s="232"/>
      <c r="C85" s="39"/>
      <c r="D85" s="623"/>
      <c r="E85" s="623"/>
      <c r="F85" s="623"/>
      <c r="G85" s="623"/>
      <c r="H85" s="623"/>
      <c r="I85" s="623"/>
      <c r="J85" s="623"/>
      <c r="K85" s="623"/>
      <c r="L85" s="623"/>
      <c r="M85" s="623"/>
      <c r="N85" s="623"/>
      <c r="O85" s="623"/>
      <c r="P85" s="623"/>
      <c r="Q85" s="623"/>
      <c r="R85" s="623">
        <f t="shared" si="1"/>
        <v>0</v>
      </c>
      <c r="S85" s="623"/>
      <c r="T85" s="623"/>
      <c r="U85" s="623"/>
      <c r="V85" s="623"/>
      <c r="W85" s="623"/>
      <c r="X85" s="625">
        <f t="shared" si="14"/>
        <v>0</v>
      </c>
      <c r="Y85" s="626">
        <f t="shared" ref="Y85:Y93" si="15">R85+X85</f>
        <v>0</v>
      </c>
      <c r="Z85" s="627"/>
      <c r="AA85" s="356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70"/>
    </row>
    <row r="86" spans="1:42" ht="24.95" hidden="1" customHeight="1" x14ac:dyDescent="0.25">
      <c r="A86" s="82"/>
      <c r="B86" s="232"/>
      <c r="C86" s="39"/>
      <c r="D86" s="623"/>
      <c r="E86" s="623"/>
      <c r="F86" s="623"/>
      <c r="G86" s="623"/>
      <c r="H86" s="623"/>
      <c r="I86" s="623"/>
      <c r="J86" s="623"/>
      <c r="K86" s="623"/>
      <c r="L86" s="623"/>
      <c r="M86" s="623"/>
      <c r="N86" s="623"/>
      <c r="O86" s="623"/>
      <c r="P86" s="623"/>
      <c r="Q86" s="623"/>
      <c r="R86" s="623">
        <f t="shared" si="1"/>
        <v>0</v>
      </c>
      <c r="S86" s="623"/>
      <c r="T86" s="623"/>
      <c r="U86" s="623"/>
      <c r="V86" s="623"/>
      <c r="W86" s="623"/>
      <c r="X86" s="625">
        <f t="shared" si="14"/>
        <v>0</v>
      </c>
      <c r="Y86" s="626">
        <f t="shared" si="15"/>
        <v>0</v>
      </c>
      <c r="Z86" s="627"/>
      <c r="AA86" s="356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70"/>
    </row>
    <row r="87" spans="1:42" ht="24.95" hidden="1" customHeight="1" x14ac:dyDescent="0.25">
      <c r="A87" s="231"/>
      <c r="B87" s="232"/>
      <c r="C87" s="39"/>
      <c r="D87" s="623"/>
      <c r="E87" s="623"/>
      <c r="F87" s="623"/>
      <c r="G87" s="623"/>
      <c r="H87" s="623"/>
      <c r="I87" s="623"/>
      <c r="J87" s="623"/>
      <c r="K87" s="623"/>
      <c r="L87" s="623"/>
      <c r="M87" s="623"/>
      <c r="N87" s="623"/>
      <c r="O87" s="623"/>
      <c r="P87" s="623"/>
      <c r="Q87" s="623"/>
      <c r="R87" s="623">
        <f t="shared" si="1"/>
        <v>0</v>
      </c>
      <c r="S87" s="623"/>
      <c r="T87" s="623"/>
      <c r="U87" s="623"/>
      <c r="V87" s="623"/>
      <c r="W87" s="623"/>
      <c r="X87" s="625">
        <f t="shared" si="14"/>
        <v>0</v>
      </c>
      <c r="Y87" s="626">
        <f t="shared" si="15"/>
        <v>0</v>
      </c>
      <c r="Z87" s="627"/>
      <c r="AA87" s="356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70"/>
    </row>
    <row r="88" spans="1:42" ht="24.95" hidden="1" customHeight="1" x14ac:dyDescent="0.25">
      <c r="A88" s="82"/>
      <c r="C88" s="39"/>
      <c r="D88" s="623"/>
      <c r="E88" s="623"/>
      <c r="F88" s="623"/>
      <c r="G88" s="623"/>
      <c r="H88" s="623"/>
      <c r="I88" s="623"/>
      <c r="J88" s="623"/>
      <c r="K88" s="623"/>
      <c r="L88" s="623"/>
      <c r="M88" s="623"/>
      <c r="N88" s="623"/>
      <c r="O88" s="623"/>
      <c r="P88" s="623"/>
      <c r="Q88" s="623"/>
      <c r="R88" s="623">
        <f t="shared" si="1"/>
        <v>0</v>
      </c>
      <c r="S88" s="623"/>
      <c r="T88" s="623"/>
      <c r="U88" s="623"/>
      <c r="V88" s="623"/>
      <c r="W88" s="623"/>
      <c r="X88" s="625">
        <f t="shared" si="14"/>
        <v>0</v>
      </c>
      <c r="Y88" s="626">
        <f t="shared" si="15"/>
        <v>0</v>
      </c>
      <c r="Z88" s="627"/>
      <c r="AA88" s="356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70"/>
    </row>
    <row r="89" spans="1:42" ht="24.95" hidden="1" customHeight="1" x14ac:dyDescent="0.25">
      <c r="A89" s="82"/>
      <c r="C89" s="141"/>
      <c r="D89" s="623"/>
      <c r="E89" s="623"/>
      <c r="F89" s="623"/>
      <c r="G89" s="623"/>
      <c r="H89" s="623"/>
      <c r="I89" s="623"/>
      <c r="J89" s="623"/>
      <c r="K89" s="623"/>
      <c r="L89" s="623"/>
      <c r="M89" s="623"/>
      <c r="N89" s="623"/>
      <c r="O89" s="623"/>
      <c r="P89" s="623"/>
      <c r="Q89" s="623"/>
      <c r="R89" s="623">
        <f t="shared" si="1"/>
        <v>0</v>
      </c>
      <c r="S89" s="623"/>
      <c r="T89" s="623"/>
      <c r="U89" s="623"/>
      <c r="V89" s="623"/>
      <c r="W89" s="623"/>
      <c r="X89" s="625">
        <f t="shared" si="14"/>
        <v>0</v>
      </c>
      <c r="Y89" s="626">
        <f t="shared" si="15"/>
        <v>0</v>
      </c>
      <c r="Z89" s="627"/>
      <c r="AA89" s="356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70"/>
    </row>
    <row r="90" spans="1:42" ht="24.95" hidden="1" customHeight="1" x14ac:dyDescent="0.25">
      <c r="A90" s="82"/>
      <c r="B90" s="141"/>
      <c r="C90" s="39"/>
      <c r="D90" s="623"/>
      <c r="E90" s="623"/>
      <c r="F90" s="623"/>
      <c r="G90" s="623"/>
      <c r="H90" s="623"/>
      <c r="I90" s="623"/>
      <c r="J90" s="623"/>
      <c r="K90" s="623"/>
      <c r="L90" s="623"/>
      <c r="M90" s="623"/>
      <c r="N90" s="623"/>
      <c r="O90" s="623"/>
      <c r="P90" s="623"/>
      <c r="Q90" s="623"/>
      <c r="R90" s="623">
        <f t="shared" si="1"/>
        <v>0</v>
      </c>
      <c r="S90" s="623"/>
      <c r="T90" s="623"/>
      <c r="U90" s="623"/>
      <c r="V90" s="623"/>
      <c r="W90" s="623"/>
      <c r="X90" s="625">
        <f t="shared" si="14"/>
        <v>0</v>
      </c>
      <c r="Y90" s="626">
        <f t="shared" si="15"/>
        <v>0</v>
      </c>
      <c r="Z90" s="627"/>
      <c r="AA90" s="356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70"/>
    </row>
    <row r="91" spans="1:42" ht="24.95" hidden="1" customHeight="1" x14ac:dyDescent="0.25">
      <c r="A91" s="82"/>
      <c r="B91" s="141"/>
      <c r="C91" s="39"/>
      <c r="D91" s="623"/>
      <c r="E91" s="623"/>
      <c r="F91" s="623"/>
      <c r="G91" s="623"/>
      <c r="H91" s="623"/>
      <c r="I91" s="623"/>
      <c r="J91" s="623"/>
      <c r="K91" s="623"/>
      <c r="L91" s="623"/>
      <c r="M91" s="623"/>
      <c r="N91" s="623"/>
      <c r="O91" s="623"/>
      <c r="P91" s="623"/>
      <c r="Q91" s="623"/>
      <c r="R91" s="623">
        <f t="shared" si="1"/>
        <v>0</v>
      </c>
      <c r="S91" s="623"/>
      <c r="T91" s="623"/>
      <c r="U91" s="623"/>
      <c r="V91" s="623"/>
      <c r="W91" s="623"/>
      <c r="X91" s="625">
        <f t="shared" si="14"/>
        <v>0</v>
      </c>
      <c r="Y91" s="626">
        <f t="shared" si="15"/>
        <v>0</v>
      </c>
      <c r="Z91" s="627"/>
      <c r="AA91" s="356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70"/>
    </row>
    <row r="92" spans="1:42" ht="24.95" hidden="1" customHeight="1" x14ac:dyDescent="0.25">
      <c r="A92" s="82"/>
      <c r="B92" s="141"/>
      <c r="C92" s="39"/>
      <c r="D92" s="623"/>
      <c r="E92" s="623"/>
      <c r="F92" s="623"/>
      <c r="G92" s="623"/>
      <c r="H92" s="623"/>
      <c r="I92" s="623"/>
      <c r="J92" s="623"/>
      <c r="K92" s="623"/>
      <c r="L92" s="623"/>
      <c r="M92" s="623"/>
      <c r="N92" s="623"/>
      <c r="O92" s="623"/>
      <c r="P92" s="623"/>
      <c r="Q92" s="623"/>
      <c r="R92" s="623">
        <f t="shared" si="1"/>
        <v>0</v>
      </c>
      <c r="S92" s="623"/>
      <c r="T92" s="623"/>
      <c r="U92" s="623"/>
      <c r="V92" s="623"/>
      <c r="W92" s="623"/>
      <c r="X92" s="625">
        <f t="shared" si="14"/>
        <v>0</v>
      </c>
      <c r="Y92" s="626">
        <f t="shared" si="15"/>
        <v>0</v>
      </c>
      <c r="Z92" s="627"/>
      <c r="AA92" s="356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70"/>
    </row>
    <row r="93" spans="1:42" ht="24.95" hidden="1" customHeight="1" x14ac:dyDescent="0.25">
      <c r="A93" s="82"/>
      <c r="B93" s="141"/>
      <c r="C93" s="39"/>
      <c r="D93" s="623"/>
      <c r="E93" s="623"/>
      <c r="F93" s="623"/>
      <c r="G93" s="623"/>
      <c r="H93" s="623"/>
      <c r="I93" s="623"/>
      <c r="J93" s="623"/>
      <c r="K93" s="623"/>
      <c r="L93" s="623"/>
      <c r="M93" s="623"/>
      <c r="N93" s="623"/>
      <c r="O93" s="623"/>
      <c r="P93" s="623"/>
      <c r="Q93" s="623"/>
      <c r="R93" s="623">
        <f t="shared" si="1"/>
        <v>0</v>
      </c>
      <c r="S93" s="623"/>
      <c r="T93" s="623"/>
      <c r="U93" s="623"/>
      <c r="V93" s="623"/>
      <c r="W93" s="623"/>
      <c r="X93" s="625">
        <f t="shared" si="14"/>
        <v>0</v>
      </c>
      <c r="Y93" s="626">
        <f t="shared" si="15"/>
        <v>0</v>
      </c>
      <c r="Z93" s="627"/>
      <c r="AA93" s="356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70"/>
    </row>
    <row r="94" spans="1:42" ht="30" hidden="1" customHeight="1" x14ac:dyDescent="0.25">
      <c r="A94" s="82"/>
      <c r="B94" s="141"/>
      <c r="C94" s="28"/>
      <c r="D94" s="623"/>
      <c r="E94" s="623"/>
      <c r="F94" s="623"/>
      <c r="G94" s="623"/>
      <c r="H94" s="623"/>
      <c r="I94" s="623"/>
      <c r="J94" s="623"/>
      <c r="K94" s="623"/>
      <c r="L94" s="623"/>
      <c r="M94" s="623"/>
      <c r="N94" s="623"/>
      <c r="O94" s="623"/>
      <c r="P94" s="623"/>
      <c r="Q94" s="623"/>
      <c r="R94" s="623">
        <f t="shared" si="1"/>
        <v>0</v>
      </c>
      <c r="S94" s="623"/>
      <c r="T94" s="623"/>
      <c r="U94" s="623"/>
      <c r="V94" s="623"/>
      <c r="W94" s="623"/>
      <c r="X94" s="625">
        <f t="shared" si="2"/>
        <v>0</v>
      </c>
      <c r="Y94" s="626">
        <f t="shared" si="3"/>
        <v>0</v>
      </c>
      <c r="Z94" s="627"/>
      <c r="AA94" s="356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70"/>
    </row>
    <row r="95" spans="1:42" ht="17.25" customHeight="1" thickBot="1" x14ac:dyDescent="0.25">
      <c r="A95" s="82"/>
      <c r="B95" s="129"/>
      <c r="C95" s="163"/>
      <c r="D95" s="628"/>
      <c r="E95" s="628"/>
      <c r="F95" s="628"/>
      <c r="G95" s="628"/>
      <c r="H95" s="628"/>
      <c r="I95" s="628"/>
      <c r="J95" s="628"/>
      <c r="K95" s="628"/>
      <c r="L95" s="628"/>
      <c r="M95" s="628"/>
      <c r="N95" s="628"/>
      <c r="O95" s="628"/>
      <c r="P95" s="628"/>
      <c r="Q95" s="628"/>
      <c r="R95" s="628"/>
      <c r="S95" s="628"/>
      <c r="T95" s="628"/>
      <c r="U95" s="628"/>
      <c r="V95" s="628"/>
      <c r="W95" s="628"/>
      <c r="X95" s="629"/>
      <c r="Y95" s="645"/>
      <c r="Z95" s="630"/>
      <c r="AA95" s="356"/>
    </row>
    <row r="96" spans="1:42" ht="35.1" customHeight="1" thickTop="1" thickBot="1" x14ac:dyDescent="0.25">
      <c r="A96" s="138"/>
      <c r="B96" s="90"/>
      <c r="C96" s="44" t="s">
        <v>19</v>
      </c>
      <c r="D96" s="131">
        <f t="shared" ref="D96:Q96" si="16">SUM(D18:D95)</f>
        <v>4059</v>
      </c>
      <c r="E96" s="131">
        <f t="shared" si="16"/>
        <v>1058</v>
      </c>
      <c r="F96" s="131">
        <f t="shared" si="16"/>
        <v>11268.936999999998</v>
      </c>
      <c r="G96" s="131">
        <f t="shared" si="16"/>
        <v>500</v>
      </c>
      <c r="H96" s="131">
        <f t="shared" si="16"/>
        <v>0</v>
      </c>
      <c r="I96" s="131">
        <f t="shared" si="16"/>
        <v>-2400</v>
      </c>
      <c r="J96" s="131">
        <f t="shared" si="16"/>
        <v>2306</v>
      </c>
      <c r="K96" s="131">
        <f t="shared" si="16"/>
        <v>-78923.406000000003</v>
      </c>
      <c r="L96" s="131">
        <f t="shared" si="16"/>
        <v>20800</v>
      </c>
      <c r="M96" s="131">
        <f t="shared" si="16"/>
        <v>-1000</v>
      </c>
      <c r="N96" s="131">
        <f t="shared" si="16"/>
        <v>0</v>
      </c>
      <c r="O96" s="131">
        <f t="shared" si="16"/>
        <v>0</v>
      </c>
      <c r="P96" s="131">
        <f t="shared" si="16"/>
        <v>0</v>
      </c>
      <c r="Q96" s="131">
        <f t="shared" si="16"/>
        <v>2500</v>
      </c>
      <c r="R96" s="131">
        <f>SUM(D96:Q96)</f>
        <v>-39831.469000000005</v>
      </c>
      <c r="S96" s="131"/>
      <c r="T96" s="131">
        <f>SUM(T18:T95)</f>
        <v>0</v>
      </c>
      <c r="U96" s="131">
        <f>SUM(U18:U95)</f>
        <v>3740000</v>
      </c>
      <c r="V96" s="131">
        <f>SUM(V18:V95)</f>
        <v>3.5000000000000003E-2</v>
      </c>
      <c r="W96" s="131">
        <f>SUM(W18:W95)</f>
        <v>0</v>
      </c>
      <c r="X96" s="368">
        <f>SUM(X18:X95)</f>
        <v>3740000.0350000001</v>
      </c>
      <c r="Y96" s="368">
        <f t="shared" si="3"/>
        <v>3700168.5660000001</v>
      </c>
      <c r="Z96" s="708">
        <f>SUM(Z18:Z95)</f>
        <v>95005.524999999994</v>
      </c>
      <c r="AA96" s="357"/>
    </row>
    <row r="97" spans="1:74" ht="9.9499999999999993" hidden="1" customHeight="1" thickTop="1" x14ac:dyDescent="0.2">
      <c r="A97" s="647"/>
      <c r="B97" s="193"/>
      <c r="C97" s="194"/>
      <c r="D97" s="648"/>
      <c r="E97" s="648"/>
      <c r="F97" s="648"/>
      <c r="G97" s="648"/>
      <c r="H97" s="648"/>
      <c r="I97" s="648"/>
      <c r="J97" s="648"/>
      <c r="K97" s="648"/>
      <c r="L97" s="648"/>
      <c r="M97" s="648"/>
      <c r="N97" s="648"/>
      <c r="O97" s="648"/>
      <c r="P97" s="648"/>
      <c r="Q97" s="648"/>
      <c r="R97" s="648"/>
      <c r="S97" s="648"/>
      <c r="T97" s="648"/>
      <c r="U97" s="648"/>
      <c r="V97" s="648"/>
      <c r="W97" s="648"/>
      <c r="X97" s="649"/>
      <c r="Y97" s="649"/>
      <c r="Z97" s="650"/>
      <c r="AA97" s="357"/>
    </row>
    <row r="98" spans="1:74" ht="24.95" hidden="1" customHeight="1" x14ac:dyDescent="0.2">
      <c r="A98" s="651"/>
      <c r="B98" s="234"/>
      <c r="C98" s="652"/>
      <c r="D98" s="653"/>
      <c r="E98" s="653"/>
      <c r="F98" s="653"/>
      <c r="G98" s="653"/>
      <c r="H98" s="653"/>
      <c r="I98" s="653"/>
      <c r="J98" s="653"/>
      <c r="K98" s="653"/>
      <c r="L98" s="653"/>
      <c r="M98" s="653"/>
      <c r="N98" s="653"/>
      <c r="O98" s="653"/>
      <c r="P98" s="653"/>
      <c r="Q98" s="653"/>
      <c r="R98" s="653">
        <f>SUM(D98:Q98)</f>
        <v>0</v>
      </c>
      <c r="S98" s="653"/>
      <c r="T98" s="653"/>
      <c r="U98" s="653"/>
      <c r="V98" s="653"/>
      <c r="W98" s="653"/>
      <c r="X98" s="654">
        <f>SUM(T98:W98)</f>
        <v>0</v>
      </c>
      <c r="Y98" s="655">
        <f>R98+X98</f>
        <v>0</v>
      </c>
      <c r="Z98" s="656"/>
      <c r="AA98" s="357"/>
    </row>
    <row r="99" spans="1:74" ht="9.9499999999999993" hidden="1" customHeight="1" thickTop="1" thickBot="1" x14ac:dyDescent="0.25">
      <c r="A99" s="657"/>
      <c r="B99" s="202"/>
      <c r="C99" s="203"/>
      <c r="D99" s="658"/>
      <c r="E99" s="658"/>
      <c r="F99" s="658"/>
      <c r="G99" s="658"/>
      <c r="H99" s="658"/>
      <c r="I99" s="658"/>
      <c r="J99" s="658"/>
      <c r="K99" s="658"/>
      <c r="L99" s="658"/>
      <c r="M99" s="658"/>
      <c r="N99" s="658"/>
      <c r="O99" s="658"/>
      <c r="P99" s="658"/>
      <c r="Q99" s="658"/>
      <c r="R99" s="658"/>
      <c r="S99" s="658"/>
      <c r="T99" s="658"/>
      <c r="U99" s="658"/>
      <c r="V99" s="658"/>
      <c r="W99" s="658"/>
      <c r="X99" s="659"/>
      <c r="Y99" s="659"/>
      <c r="Z99" s="660"/>
      <c r="AA99" s="357"/>
    </row>
    <row r="100" spans="1:74" ht="35.1" customHeight="1" thickTop="1" thickBot="1" x14ac:dyDescent="0.25">
      <c r="A100" s="138"/>
      <c r="B100" s="90"/>
      <c r="C100" s="44" t="s">
        <v>151</v>
      </c>
      <c r="D100" s="131">
        <f t="shared" ref="D100:K100" si="17">D17+D96</f>
        <v>149232</v>
      </c>
      <c r="E100" s="131">
        <f t="shared" si="17"/>
        <v>35229</v>
      </c>
      <c r="F100" s="131">
        <f t="shared" si="17"/>
        <v>4375205.4410000006</v>
      </c>
      <c r="G100" s="131">
        <f t="shared" si="17"/>
        <v>172665</v>
      </c>
      <c r="H100" s="131">
        <f t="shared" si="17"/>
        <v>150591.49600000001</v>
      </c>
      <c r="I100" s="131">
        <f t="shared" si="17"/>
        <v>52112</v>
      </c>
      <c r="J100" s="131">
        <f t="shared" si="17"/>
        <v>671638</v>
      </c>
      <c r="K100" s="131">
        <f t="shared" si="17"/>
        <v>2242890.594</v>
      </c>
      <c r="L100" s="131">
        <f>L17+L96+L98</f>
        <v>1899199</v>
      </c>
      <c r="M100" s="131">
        <f>M17+M96</f>
        <v>24420</v>
      </c>
      <c r="N100" s="131">
        <f>N17+N96</f>
        <v>600</v>
      </c>
      <c r="O100" s="131">
        <f>O17+O96</f>
        <v>10000</v>
      </c>
      <c r="P100" s="131">
        <f>P17+P96</f>
        <v>0</v>
      </c>
      <c r="Q100" s="131">
        <f>Q17+Q96</f>
        <v>443128</v>
      </c>
      <c r="R100" s="131">
        <f>SUM(D100:Q100)</f>
        <v>10226910.531000001</v>
      </c>
      <c r="S100" s="131"/>
      <c r="T100" s="131">
        <f>T17+T96</f>
        <v>0</v>
      </c>
      <c r="U100" s="131">
        <f>U17+U96</f>
        <v>3740000</v>
      </c>
      <c r="V100" s="131">
        <f>V17+V96</f>
        <v>66267.035000000003</v>
      </c>
      <c r="W100" s="131">
        <f>W17+W96</f>
        <v>0</v>
      </c>
      <c r="X100" s="368">
        <f t="shared" si="2"/>
        <v>3806267.0350000001</v>
      </c>
      <c r="Y100" s="368">
        <f>R100+X100</f>
        <v>14033177.566000002</v>
      </c>
      <c r="Z100" s="708">
        <f>Z17+Z96+Z98</f>
        <v>6390963.5250000004</v>
      </c>
      <c r="AA100" s="358"/>
      <c r="AB100" s="85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</row>
    <row r="101" spans="1:74" ht="17.25" hidden="1" customHeight="1" thickTop="1" x14ac:dyDescent="0.2">
      <c r="A101" s="26"/>
      <c r="B101" s="139" t="s">
        <v>22</v>
      </c>
      <c r="C101" s="94" t="s">
        <v>144</v>
      </c>
      <c r="D101" s="95"/>
      <c r="E101" s="95"/>
      <c r="F101" s="95"/>
      <c r="G101" s="95"/>
      <c r="H101" s="95"/>
      <c r="I101" s="95"/>
      <c r="J101" s="95"/>
      <c r="K101" s="95">
        <f>845+70000+200000+338894</f>
        <v>609739</v>
      </c>
      <c r="L101" s="95"/>
      <c r="M101" s="95"/>
      <c r="N101" s="95"/>
      <c r="O101" s="95"/>
      <c r="P101" s="95"/>
      <c r="Q101" s="95"/>
      <c r="R101" s="95">
        <f t="shared" ref="R101:R144" si="18">SUM(D101:Q101)</f>
        <v>609739</v>
      </c>
      <c r="S101" s="95"/>
      <c r="T101" s="95"/>
      <c r="U101" s="95"/>
      <c r="V101" s="95"/>
      <c r="W101" s="95"/>
      <c r="X101" s="99">
        <f t="shared" si="2"/>
        <v>0</v>
      </c>
      <c r="Y101" s="375">
        <f t="shared" si="3"/>
        <v>609739</v>
      </c>
      <c r="Z101" s="387">
        <v>1048</v>
      </c>
      <c r="AA101" s="359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</row>
    <row r="102" spans="1:74" ht="16.5" hidden="1" customHeight="1" x14ac:dyDescent="0.2">
      <c r="A102" s="26"/>
      <c r="B102" s="74" t="s">
        <v>66</v>
      </c>
      <c r="C102" s="96" t="s">
        <v>144</v>
      </c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>
        <f t="shared" si="18"/>
        <v>0</v>
      </c>
      <c r="S102" s="133"/>
      <c r="T102" s="133"/>
      <c r="U102" s="133"/>
      <c r="V102" s="133"/>
      <c r="W102" s="133"/>
      <c r="X102" s="481">
        <f t="shared" si="2"/>
        <v>0</v>
      </c>
      <c r="Y102" s="376">
        <f t="shared" si="3"/>
        <v>0</v>
      </c>
      <c r="Z102" s="388"/>
      <c r="AA102" s="359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</row>
    <row r="103" spans="1:74" ht="16.5" hidden="1" customHeight="1" x14ac:dyDescent="0.2">
      <c r="A103" s="26"/>
      <c r="B103" s="74" t="s">
        <v>24</v>
      </c>
      <c r="C103" s="96" t="s">
        <v>144</v>
      </c>
      <c r="D103" s="97"/>
      <c r="E103" s="97"/>
      <c r="F103" s="702">
        <f>0.468+52952</f>
        <v>52952.468000000001</v>
      </c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>
        <f t="shared" si="18"/>
        <v>52952.468000000001</v>
      </c>
      <c r="S103" s="97"/>
      <c r="T103" s="97"/>
      <c r="U103" s="97"/>
      <c r="V103" s="97"/>
      <c r="W103" s="97"/>
      <c r="X103" s="100">
        <f t="shared" si="2"/>
        <v>0</v>
      </c>
      <c r="Y103" s="376">
        <f t="shared" si="3"/>
        <v>52952.468000000001</v>
      </c>
      <c r="Z103" s="389"/>
      <c r="AA103" s="359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</row>
    <row r="104" spans="1:74" ht="16.5" hidden="1" customHeight="1" x14ac:dyDescent="0.2">
      <c r="A104" s="26"/>
      <c r="B104" s="74" t="s">
        <v>64</v>
      </c>
      <c r="C104" s="96" t="s">
        <v>144</v>
      </c>
      <c r="D104" s="97"/>
      <c r="E104" s="97"/>
      <c r="F104" s="97">
        <v>885</v>
      </c>
      <c r="G104" s="97"/>
      <c r="H104" s="97"/>
      <c r="I104" s="97"/>
      <c r="J104" s="97"/>
      <c r="K104" s="97"/>
      <c r="L104" s="97"/>
      <c r="M104" s="97"/>
      <c r="O104" s="97"/>
      <c r="P104" s="97"/>
      <c r="Q104" s="97"/>
      <c r="R104" s="97">
        <f t="shared" si="18"/>
        <v>885</v>
      </c>
      <c r="S104" s="97"/>
      <c r="T104" s="97"/>
      <c r="U104" s="97"/>
      <c r="V104" s="97"/>
      <c r="W104" s="97"/>
      <c r="X104" s="100">
        <f t="shared" si="2"/>
        <v>0</v>
      </c>
      <c r="Y104" s="376">
        <f t="shared" si="3"/>
        <v>885</v>
      </c>
      <c r="Z104" s="389"/>
      <c r="AA104" s="359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</row>
    <row r="105" spans="1:74" ht="16.5" hidden="1" customHeight="1" x14ac:dyDescent="0.2">
      <c r="A105" s="26"/>
      <c r="B105" s="74" t="s">
        <v>81</v>
      </c>
      <c r="C105" s="96" t="s">
        <v>144</v>
      </c>
      <c r="D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>
        <f t="shared" si="18"/>
        <v>0</v>
      </c>
      <c r="S105" s="97"/>
      <c r="T105" s="97"/>
      <c r="U105" s="97"/>
      <c r="V105" s="97"/>
      <c r="W105" s="97"/>
      <c r="X105" s="100">
        <f t="shared" si="2"/>
        <v>0</v>
      </c>
      <c r="Y105" s="376">
        <f t="shared" si="3"/>
        <v>0</v>
      </c>
      <c r="Z105" s="389"/>
      <c r="AA105" s="359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</row>
    <row r="106" spans="1:74" ht="16.5" hidden="1" customHeight="1" x14ac:dyDescent="0.2">
      <c r="A106" s="26"/>
      <c r="B106" s="74" t="s">
        <v>54</v>
      </c>
      <c r="C106" s="96" t="s">
        <v>144</v>
      </c>
      <c r="D106" s="97"/>
      <c r="E106" s="97"/>
      <c r="F106" s="97"/>
      <c r="G106" s="97"/>
      <c r="H106" s="97"/>
      <c r="I106" s="97"/>
      <c r="J106" s="97">
        <v>884</v>
      </c>
      <c r="K106" s="97">
        <v>2000</v>
      </c>
      <c r="L106" s="97"/>
      <c r="M106" s="97"/>
      <c r="N106" s="97"/>
      <c r="O106" s="97"/>
      <c r="P106" s="97"/>
      <c r="Q106" s="97"/>
      <c r="R106" s="97">
        <f t="shared" si="18"/>
        <v>2884</v>
      </c>
      <c r="S106" s="97"/>
      <c r="T106" s="97"/>
      <c r="U106" s="97"/>
      <c r="V106" s="97"/>
      <c r="W106" s="97"/>
      <c r="X106" s="100">
        <f t="shared" si="2"/>
        <v>0</v>
      </c>
      <c r="Y106" s="376">
        <f t="shared" si="3"/>
        <v>2884</v>
      </c>
      <c r="Z106" s="389"/>
      <c r="AA106" s="359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</row>
    <row r="107" spans="1:74" ht="16.5" hidden="1" customHeight="1" x14ac:dyDescent="0.2">
      <c r="A107" s="26"/>
      <c r="B107" s="74" t="s">
        <v>55</v>
      </c>
      <c r="C107" s="96" t="s">
        <v>144</v>
      </c>
      <c r="D107" s="97"/>
      <c r="E107" s="97"/>
      <c r="F107" s="97"/>
      <c r="G107" s="97"/>
      <c r="H107" s="97"/>
      <c r="I107" s="97"/>
      <c r="J107" s="97"/>
      <c r="K107" s="97">
        <v>600</v>
      </c>
      <c r="L107" s="97"/>
      <c r="M107" s="97"/>
      <c r="N107" s="97"/>
      <c r="O107" s="97"/>
      <c r="P107" s="97"/>
      <c r="Q107" s="97">
        <v>1000</v>
      </c>
      <c r="R107" s="97">
        <f t="shared" si="18"/>
        <v>1600</v>
      </c>
      <c r="S107" s="97"/>
      <c r="T107" s="97"/>
      <c r="U107" s="97"/>
      <c r="V107" s="97"/>
      <c r="W107" s="97"/>
      <c r="X107" s="100">
        <f t="shared" si="2"/>
        <v>0</v>
      </c>
      <c r="Y107" s="376">
        <f t="shared" si="3"/>
        <v>1600</v>
      </c>
      <c r="Z107" s="389"/>
      <c r="AA107" s="359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</row>
    <row r="108" spans="1:74" ht="16.5" hidden="1" customHeight="1" x14ac:dyDescent="0.2">
      <c r="A108" s="26"/>
      <c r="B108" s="74" t="s">
        <v>56</v>
      </c>
      <c r="C108" s="96" t="s">
        <v>144</v>
      </c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>
        <f t="shared" si="18"/>
        <v>0</v>
      </c>
      <c r="S108" s="97"/>
      <c r="T108" s="97"/>
      <c r="U108" s="97"/>
      <c r="V108" s="97"/>
      <c r="W108" s="97"/>
      <c r="X108" s="100">
        <f t="shared" si="2"/>
        <v>0</v>
      </c>
      <c r="Y108" s="376">
        <f t="shared" si="3"/>
        <v>0</v>
      </c>
      <c r="Z108" s="389"/>
      <c r="AA108" s="359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</row>
    <row r="109" spans="1:74" ht="16.5" hidden="1" customHeight="1" x14ac:dyDescent="0.2">
      <c r="A109" s="26"/>
      <c r="B109" s="74" t="s">
        <v>57</v>
      </c>
      <c r="C109" s="96" t="s">
        <v>144</v>
      </c>
      <c r="D109" s="97">
        <v>675</v>
      </c>
      <c r="E109" s="97">
        <v>166</v>
      </c>
      <c r="F109" s="97">
        <f>255+69</f>
        <v>324</v>
      </c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>
        <f t="shared" si="18"/>
        <v>1165</v>
      </c>
      <c r="S109" s="97"/>
      <c r="T109" s="97"/>
      <c r="U109" s="97"/>
      <c r="V109" s="97"/>
      <c r="W109" s="97"/>
      <c r="X109" s="100">
        <f t="shared" si="2"/>
        <v>0</v>
      </c>
      <c r="Y109" s="376">
        <f t="shared" si="3"/>
        <v>1165</v>
      </c>
      <c r="Z109" s="389"/>
      <c r="AA109" s="359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</row>
    <row r="110" spans="1:74" ht="16.5" hidden="1" customHeight="1" x14ac:dyDescent="0.2">
      <c r="A110" s="26"/>
      <c r="B110" s="74" t="s">
        <v>58</v>
      </c>
      <c r="C110" s="96" t="s">
        <v>144</v>
      </c>
      <c r="D110" s="97"/>
      <c r="E110" s="97"/>
      <c r="F110" s="97">
        <f>24+7</f>
        <v>31</v>
      </c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>
        <f t="shared" si="18"/>
        <v>31</v>
      </c>
      <c r="S110" s="97"/>
      <c r="T110" s="97"/>
      <c r="U110" s="97"/>
      <c r="V110" s="97"/>
      <c r="W110" s="97"/>
      <c r="X110" s="100">
        <f t="shared" si="2"/>
        <v>0</v>
      </c>
      <c r="Y110" s="376">
        <f t="shared" si="3"/>
        <v>31</v>
      </c>
      <c r="Z110" s="389"/>
      <c r="AA110" s="359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</row>
    <row r="111" spans="1:74" ht="16.5" hidden="1" customHeight="1" x14ac:dyDescent="0.2">
      <c r="A111" s="26"/>
      <c r="B111" s="74" t="s">
        <v>192</v>
      </c>
      <c r="C111" s="96" t="s">
        <v>144</v>
      </c>
      <c r="D111" s="97"/>
      <c r="E111" s="97"/>
      <c r="F111" s="97">
        <f>319+86</f>
        <v>405</v>
      </c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>
        <f t="shared" si="18"/>
        <v>405</v>
      </c>
      <c r="S111" s="97"/>
      <c r="T111" s="97"/>
      <c r="U111" s="97"/>
      <c r="V111" s="97"/>
      <c r="W111" s="97"/>
      <c r="X111" s="100">
        <f t="shared" si="2"/>
        <v>0</v>
      </c>
      <c r="Y111" s="376">
        <f t="shared" si="3"/>
        <v>405</v>
      </c>
      <c r="Z111" s="389"/>
      <c r="AA111" s="359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</row>
    <row r="112" spans="1:74" ht="16.5" hidden="1" customHeight="1" x14ac:dyDescent="0.2">
      <c r="A112" s="26"/>
      <c r="B112" s="74" t="s">
        <v>60</v>
      </c>
      <c r="C112" s="96" t="s">
        <v>144</v>
      </c>
      <c r="D112" s="97"/>
      <c r="E112" s="97"/>
      <c r="F112" s="97">
        <f>470+30100+8120</f>
        <v>38690</v>
      </c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>
        <f t="shared" si="18"/>
        <v>38690</v>
      </c>
      <c r="S112" s="97"/>
      <c r="T112" s="97"/>
      <c r="U112" s="97"/>
      <c r="V112" s="97"/>
      <c r="W112" s="97"/>
      <c r="X112" s="100">
        <f t="shared" si="2"/>
        <v>0</v>
      </c>
      <c r="Y112" s="376">
        <f t="shared" si="3"/>
        <v>38690</v>
      </c>
      <c r="Z112" s="389"/>
      <c r="AA112" s="359"/>
      <c r="AB112" s="85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</row>
    <row r="113" spans="1:74" ht="16.5" hidden="1" customHeight="1" x14ac:dyDescent="0.2">
      <c r="A113" s="26"/>
      <c r="B113" s="74" t="s">
        <v>82</v>
      </c>
      <c r="C113" s="96" t="s">
        <v>144</v>
      </c>
      <c r="D113" s="97"/>
      <c r="E113" s="97"/>
      <c r="F113" s="97">
        <f>6984+1886+950+257+3200+864+780+7500+2025+1500+405+1563+422+393+107+1000+270</f>
        <v>30106</v>
      </c>
      <c r="G113" s="97"/>
      <c r="H113" s="97"/>
      <c r="I113" s="97"/>
      <c r="J113" s="97"/>
      <c r="K113" s="97"/>
      <c r="L113" s="97">
        <f>58075+15680</f>
        <v>73755</v>
      </c>
      <c r="M113" s="97"/>
      <c r="N113" s="97"/>
      <c r="O113" s="97"/>
      <c r="P113" s="97"/>
      <c r="Q113" s="97"/>
      <c r="R113" s="97">
        <f t="shared" si="18"/>
        <v>103861</v>
      </c>
      <c r="S113" s="97"/>
      <c r="T113" s="97"/>
      <c r="U113" s="97"/>
      <c r="V113" s="97"/>
      <c r="W113" s="97"/>
      <c r="X113" s="100">
        <f t="shared" si="2"/>
        <v>0</v>
      </c>
      <c r="Y113" s="376">
        <f t="shared" si="3"/>
        <v>103861</v>
      </c>
      <c r="Z113" s="389"/>
      <c r="AA113" s="359"/>
      <c r="AB113" s="85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</row>
    <row r="114" spans="1:74" ht="16.5" hidden="1" customHeight="1" x14ac:dyDescent="0.2">
      <c r="A114" s="26"/>
      <c r="B114" s="74" t="s">
        <v>229</v>
      </c>
      <c r="C114" s="96" t="s">
        <v>144</v>
      </c>
      <c r="D114" s="97">
        <v>4000</v>
      </c>
      <c r="E114" s="97">
        <v>880</v>
      </c>
      <c r="F114" s="97">
        <v>917</v>
      </c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>
        <f t="shared" si="18"/>
        <v>5797</v>
      </c>
      <c r="S114" s="97"/>
      <c r="T114" s="97"/>
      <c r="U114" s="97"/>
      <c r="V114" s="97"/>
      <c r="W114" s="97"/>
      <c r="X114" s="100">
        <f>SUM(T114:W114)</f>
        <v>0</v>
      </c>
      <c r="Y114" s="376">
        <f>R114+X114</f>
        <v>5797</v>
      </c>
      <c r="Z114" s="389"/>
      <c r="AA114" s="359"/>
      <c r="AB114" s="85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</row>
    <row r="115" spans="1:74" ht="16.5" hidden="1" customHeight="1" x14ac:dyDescent="0.2">
      <c r="A115" s="26"/>
      <c r="B115" s="74" t="s">
        <v>61</v>
      </c>
      <c r="C115" s="96" t="s">
        <v>144</v>
      </c>
      <c r="D115" s="97">
        <v>111</v>
      </c>
      <c r="E115" s="97">
        <v>121</v>
      </c>
      <c r="F115" s="97">
        <f>298+52000+14040+760+205+1600+421</f>
        <v>69324</v>
      </c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>
        <f t="shared" si="18"/>
        <v>69556</v>
      </c>
      <c r="S115" s="97"/>
      <c r="T115" s="97"/>
      <c r="U115" s="97"/>
      <c r="V115" s="97"/>
      <c r="W115" s="97"/>
      <c r="X115" s="100">
        <f t="shared" si="2"/>
        <v>0</v>
      </c>
      <c r="Y115" s="376">
        <f t="shared" si="3"/>
        <v>69556</v>
      </c>
      <c r="Z115" s="389"/>
      <c r="AA115" s="359"/>
      <c r="AB115" s="85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</row>
    <row r="116" spans="1:74" ht="16.5" hidden="1" customHeight="1" x14ac:dyDescent="0.2">
      <c r="A116" s="26"/>
      <c r="B116" s="75" t="s">
        <v>26</v>
      </c>
      <c r="C116" s="98" t="s">
        <v>144</v>
      </c>
      <c r="D116" s="97"/>
      <c r="E116" s="97"/>
      <c r="F116" s="97">
        <f>512+138+1291+1625+249+227+61+165+45+195+53</f>
        <v>4561</v>
      </c>
      <c r="G116" s="97">
        <v>3275</v>
      </c>
      <c r="H116" s="97"/>
      <c r="I116" s="97"/>
      <c r="J116" s="97">
        <f>526+2330+3980</f>
        <v>6836</v>
      </c>
      <c r="K116" s="97"/>
      <c r="L116" s="97"/>
      <c r="M116" s="97"/>
      <c r="N116" s="97"/>
      <c r="O116" s="97"/>
      <c r="P116" s="97"/>
      <c r="Q116" s="97"/>
      <c r="R116" s="97">
        <f t="shared" si="18"/>
        <v>14672</v>
      </c>
      <c r="S116" s="97"/>
      <c r="T116" s="97"/>
      <c r="U116" s="97"/>
      <c r="V116" s="97"/>
      <c r="W116" s="97"/>
      <c r="X116" s="100">
        <f t="shared" si="2"/>
        <v>0</v>
      </c>
      <c r="Y116" s="376">
        <f t="shared" si="3"/>
        <v>14672</v>
      </c>
      <c r="Z116" s="389"/>
      <c r="AA116" s="359"/>
      <c r="AB116" s="85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</row>
    <row r="117" spans="1:74" ht="16.5" hidden="1" customHeight="1" x14ac:dyDescent="0.2">
      <c r="A117" s="26"/>
      <c r="B117" s="75" t="s">
        <v>72</v>
      </c>
      <c r="C117" s="98" t="s">
        <v>144</v>
      </c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>
        <f t="shared" si="18"/>
        <v>0</v>
      </c>
      <c r="S117" s="97"/>
      <c r="T117" s="97"/>
      <c r="U117" s="97"/>
      <c r="V117" s="97"/>
      <c r="W117" s="97"/>
      <c r="X117" s="100">
        <f t="shared" si="2"/>
        <v>0</v>
      </c>
      <c r="Y117" s="376">
        <f t="shared" si="3"/>
        <v>0</v>
      </c>
      <c r="Z117" s="389">
        <f>13710+30661</f>
        <v>44371</v>
      </c>
      <c r="AA117" s="359"/>
      <c r="AB117" s="85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</row>
    <row r="118" spans="1:74" ht="16.5" hidden="1" customHeight="1" x14ac:dyDescent="0.2">
      <c r="A118" s="26"/>
      <c r="B118" s="75" t="s">
        <v>27</v>
      </c>
      <c r="C118" s="98" t="s">
        <v>144</v>
      </c>
      <c r="D118" s="97"/>
      <c r="E118" s="97"/>
      <c r="F118" s="97">
        <f>1055+1000+270</f>
        <v>2325</v>
      </c>
      <c r="G118" s="97">
        <f>10000+500+6600+800+2100+1000+500</f>
        <v>21500</v>
      </c>
      <c r="H118" s="97"/>
      <c r="I118" s="97"/>
      <c r="J118" s="97">
        <f>2170+770+2247</f>
        <v>5187</v>
      </c>
      <c r="K118" s="97"/>
      <c r="L118" s="97"/>
      <c r="M118" s="97"/>
      <c r="N118" s="97"/>
      <c r="O118" s="97"/>
      <c r="P118" s="97"/>
      <c r="Q118" s="97">
        <v>600</v>
      </c>
      <c r="R118" s="97">
        <f t="shared" si="18"/>
        <v>29612</v>
      </c>
      <c r="S118" s="97"/>
      <c r="T118" s="97"/>
      <c r="U118" s="97"/>
      <c r="V118" s="97"/>
      <c r="W118" s="97"/>
      <c r="X118" s="100">
        <f t="shared" si="2"/>
        <v>0</v>
      </c>
      <c r="Y118" s="376">
        <f t="shared" si="3"/>
        <v>29612</v>
      </c>
      <c r="Z118" s="389"/>
      <c r="AA118" s="359"/>
      <c r="AB118" s="85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</row>
    <row r="119" spans="1:74" ht="16.5" hidden="1" customHeight="1" x14ac:dyDescent="0.2">
      <c r="A119" s="26"/>
      <c r="B119" s="75" t="s">
        <v>342</v>
      </c>
      <c r="C119" s="98" t="s">
        <v>144</v>
      </c>
      <c r="D119" s="97"/>
      <c r="E119" s="97"/>
      <c r="F119" s="97"/>
      <c r="G119" s="97"/>
      <c r="H119" s="97"/>
      <c r="I119" s="97"/>
      <c r="J119" s="97"/>
      <c r="K119" s="97"/>
      <c r="L119" s="97"/>
      <c r="M119" s="97">
        <f>4892+1321</f>
        <v>6213</v>
      </c>
      <c r="N119" s="97"/>
      <c r="O119" s="97"/>
      <c r="P119" s="97"/>
      <c r="Q119" s="97"/>
      <c r="R119" s="97">
        <f t="shared" si="18"/>
        <v>6213</v>
      </c>
      <c r="S119" s="97"/>
      <c r="T119" s="97"/>
      <c r="U119" s="97"/>
      <c r="V119" s="97"/>
      <c r="W119" s="97"/>
      <c r="X119" s="100">
        <f t="shared" si="2"/>
        <v>0</v>
      </c>
      <c r="Y119" s="376">
        <f t="shared" si="3"/>
        <v>6213</v>
      </c>
      <c r="Z119" s="389"/>
      <c r="AA119" s="359"/>
      <c r="AB119" s="85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</row>
    <row r="120" spans="1:74" ht="16.5" hidden="1" customHeight="1" x14ac:dyDescent="0.2">
      <c r="A120" s="26"/>
      <c r="B120" s="32">
        <v>103</v>
      </c>
      <c r="C120" s="98" t="s">
        <v>144</v>
      </c>
      <c r="D120" s="97"/>
      <c r="E120" s="97"/>
      <c r="F120" s="97">
        <f>85+23</f>
        <v>108</v>
      </c>
      <c r="G120" s="97"/>
      <c r="H120" s="97"/>
      <c r="I120" s="97"/>
      <c r="J120" s="97"/>
      <c r="K120" s="97"/>
      <c r="L120" s="97"/>
      <c r="M120" s="97">
        <f>3151+851</f>
        <v>4002</v>
      </c>
      <c r="N120" s="97"/>
      <c r="O120" s="97"/>
      <c r="P120" s="97"/>
      <c r="Q120" s="97"/>
      <c r="R120" s="97">
        <f t="shared" si="18"/>
        <v>4110</v>
      </c>
      <c r="S120" s="97"/>
      <c r="T120" s="97"/>
      <c r="U120" s="97"/>
      <c r="V120" s="97"/>
      <c r="W120" s="97"/>
      <c r="X120" s="100">
        <f t="shared" si="2"/>
        <v>0</v>
      </c>
      <c r="Y120" s="376">
        <f t="shared" si="3"/>
        <v>4110</v>
      </c>
      <c r="Z120" s="389"/>
      <c r="AA120" s="359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</row>
    <row r="121" spans="1:74" ht="16.5" hidden="1" customHeight="1" x14ac:dyDescent="0.2">
      <c r="A121" s="26"/>
      <c r="B121" s="32">
        <v>105</v>
      </c>
      <c r="C121" s="98" t="s">
        <v>144</v>
      </c>
      <c r="D121" s="97"/>
      <c r="E121" s="97"/>
      <c r="F121" s="97">
        <f>3008+812+925+250+1233+333+487+132+855+231+676+183+2904+784+282+76</f>
        <v>13171</v>
      </c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>
        <f t="shared" si="18"/>
        <v>13171</v>
      </c>
      <c r="S121" s="97"/>
      <c r="T121" s="97"/>
      <c r="U121" s="97"/>
      <c r="V121" s="97"/>
      <c r="W121" s="97"/>
      <c r="X121" s="100">
        <f t="shared" si="2"/>
        <v>0</v>
      </c>
      <c r="Y121" s="376">
        <f t="shared" si="3"/>
        <v>13171</v>
      </c>
      <c r="Z121" s="389"/>
      <c r="AA121" s="359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</row>
    <row r="122" spans="1:74" ht="16.5" hidden="1" customHeight="1" x14ac:dyDescent="0.2">
      <c r="A122" s="26"/>
      <c r="B122" s="32">
        <v>106</v>
      </c>
      <c r="C122" s="98" t="s">
        <v>144</v>
      </c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>
        <f t="shared" si="18"/>
        <v>0</v>
      </c>
      <c r="S122" s="97"/>
      <c r="T122" s="97"/>
      <c r="U122" s="97"/>
      <c r="V122" s="97"/>
      <c r="W122" s="97"/>
      <c r="X122" s="100">
        <f t="shared" si="2"/>
        <v>0</v>
      </c>
      <c r="Y122" s="376">
        <f t="shared" si="3"/>
        <v>0</v>
      </c>
      <c r="Z122" s="389"/>
      <c r="AA122" s="359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</row>
    <row r="123" spans="1:74" ht="16.5" hidden="1" customHeight="1" x14ac:dyDescent="0.2">
      <c r="A123" s="26"/>
      <c r="B123" s="32">
        <v>111</v>
      </c>
      <c r="C123" s="98" t="s">
        <v>144</v>
      </c>
      <c r="D123" s="97"/>
      <c r="E123" s="97"/>
      <c r="F123" s="97">
        <f>450+122+80+15135+4088</f>
        <v>19875</v>
      </c>
      <c r="G123" s="97"/>
      <c r="H123" s="97"/>
      <c r="I123" s="97"/>
      <c r="J123" s="97"/>
      <c r="K123" s="97"/>
      <c r="L123" s="97"/>
      <c r="M123" s="97">
        <f>136+36+1891+510</f>
        <v>2573</v>
      </c>
      <c r="N123" s="97"/>
      <c r="O123" s="97"/>
      <c r="P123" s="97"/>
      <c r="Q123" s="97">
        <f>6230+20089+2881+86230</f>
        <v>115430</v>
      </c>
      <c r="R123" s="97">
        <f t="shared" si="18"/>
        <v>137878</v>
      </c>
      <c r="S123" s="97"/>
      <c r="T123" s="97"/>
      <c r="U123" s="97"/>
      <c r="V123" s="97"/>
      <c r="W123" s="97"/>
      <c r="X123" s="100">
        <f t="shared" si="2"/>
        <v>0</v>
      </c>
      <c r="Y123" s="376">
        <f t="shared" si="3"/>
        <v>137878</v>
      </c>
      <c r="Z123" s="389"/>
      <c r="AA123" s="359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</row>
    <row r="124" spans="1:74" ht="16.5" hidden="1" customHeight="1" x14ac:dyDescent="0.2">
      <c r="A124" s="26"/>
      <c r="B124" s="32">
        <v>112</v>
      </c>
      <c r="C124" s="98" t="s">
        <v>144</v>
      </c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>
        <f t="shared" si="18"/>
        <v>0</v>
      </c>
      <c r="S124" s="97"/>
      <c r="T124" s="97"/>
      <c r="U124" s="97"/>
      <c r="V124" s="97"/>
      <c r="W124" s="97"/>
      <c r="X124" s="100">
        <f t="shared" si="2"/>
        <v>0</v>
      </c>
      <c r="Y124" s="376">
        <f t="shared" si="3"/>
        <v>0</v>
      </c>
      <c r="Z124" s="389"/>
      <c r="AA124" s="359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</row>
    <row r="125" spans="1:74" ht="16.5" hidden="1" customHeight="1" x14ac:dyDescent="0.2">
      <c r="A125" s="26"/>
      <c r="B125" s="32">
        <v>120</v>
      </c>
      <c r="C125" s="76" t="s">
        <v>144</v>
      </c>
      <c r="D125" s="77"/>
      <c r="E125" s="77"/>
      <c r="F125" s="77">
        <f>90+24+90+24+3359+901+3310+12290+3315+3692+996+672</f>
        <v>28763</v>
      </c>
      <c r="G125" s="77"/>
      <c r="H125" s="77"/>
      <c r="I125" s="78"/>
      <c r="J125" s="78"/>
      <c r="K125" s="78"/>
      <c r="L125" s="78">
        <f>4268+1152+451+122+14989+4046+533+144+113000+30510+8409+2269+1984+536</f>
        <v>182413</v>
      </c>
      <c r="M125" s="78"/>
      <c r="N125" s="78"/>
      <c r="O125" s="78"/>
      <c r="P125" s="78"/>
      <c r="Q125" s="78"/>
      <c r="R125" s="78">
        <f t="shared" si="18"/>
        <v>211176</v>
      </c>
      <c r="S125" s="78"/>
      <c r="T125" s="78"/>
      <c r="U125" s="78"/>
      <c r="V125" s="78"/>
      <c r="W125" s="78"/>
      <c r="X125" s="482">
        <f t="shared" si="2"/>
        <v>0</v>
      </c>
      <c r="Y125" s="376">
        <f t="shared" si="3"/>
        <v>211176</v>
      </c>
      <c r="Z125" s="390"/>
      <c r="AA125" s="360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</row>
    <row r="126" spans="1:74" ht="16.5" hidden="1" customHeight="1" x14ac:dyDescent="0.2">
      <c r="A126" s="26"/>
      <c r="B126" s="32">
        <v>121</v>
      </c>
      <c r="C126" s="76" t="s">
        <v>144</v>
      </c>
      <c r="D126" s="77"/>
      <c r="E126" s="77"/>
      <c r="F126" s="97">
        <f>450+122+80+450+122+80+712+233+61+17+35953+9708+2574+695+1308+353+500+135+2378+643+700+189+484+131+300+81+2086+563+699+180+1388+385+8998+2430</f>
        <v>75188</v>
      </c>
      <c r="G126" s="77"/>
      <c r="H126" s="77"/>
      <c r="I126" s="78"/>
      <c r="J126" s="78">
        <f>785</f>
        <v>785</v>
      </c>
      <c r="K126" s="78"/>
      <c r="L126" s="97">
        <f>2743+741+78894+21301+92109+20867+58420+15773+45079+12172+12937+3497+10218+2759+11014+2974+9449+2551+20920+5649+3000+810+24975+6744+2843+768+1544+417+108236+29224</f>
        <v>608628</v>
      </c>
      <c r="M126" s="78"/>
      <c r="N126" s="78">
        <v>57243</v>
      </c>
      <c r="O126" s="78"/>
      <c r="P126" s="78"/>
      <c r="Q126" s="78"/>
      <c r="R126" s="78">
        <f t="shared" si="18"/>
        <v>741844</v>
      </c>
      <c r="S126" s="78"/>
      <c r="T126" s="78"/>
      <c r="U126" s="78"/>
      <c r="V126" s="78"/>
      <c r="W126" s="78"/>
      <c r="X126" s="482">
        <f t="shared" si="2"/>
        <v>0</v>
      </c>
      <c r="Y126" s="376">
        <f t="shared" si="3"/>
        <v>741844</v>
      </c>
      <c r="Z126" s="390"/>
      <c r="AA126" s="361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</row>
    <row r="127" spans="1:74" ht="16.5" hidden="1" customHeight="1" x14ac:dyDescent="0.2">
      <c r="A127" s="26"/>
      <c r="B127" s="32">
        <v>150</v>
      </c>
      <c r="C127" s="76" t="s">
        <v>144</v>
      </c>
      <c r="D127" s="77"/>
      <c r="E127" s="77"/>
      <c r="F127" s="97">
        <f>6806+197+53+35+345+93</f>
        <v>7529</v>
      </c>
      <c r="G127" s="77"/>
      <c r="H127" s="77"/>
      <c r="I127" s="78"/>
      <c r="J127" s="78"/>
      <c r="K127" s="78"/>
      <c r="L127" s="78">
        <f>2050+554</f>
        <v>2604</v>
      </c>
      <c r="M127" s="78"/>
      <c r="N127" s="78"/>
      <c r="O127" s="78"/>
      <c r="P127" s="78"/>
      <c r="Q127" s="78"/>
      <c r="R127" s="78">
        <f t="shared" si="18"/>
        <v>10133</v>
      </c>
      <c r="S127" s="78"/>
      <c r="T127" s="78"/>
      <c r="U127" s="78"/>
      <c r="V127" s="78"/>
      <c r="W127" s="78"/>
      <c r="X127" s="482">
        <f t="shared" si="2"/>
        <v>0</v>
      </c>
      <c r="Y127" s="376">
        <f t="shared" si="3"/>
        <v>10133</v>
      </c>
      <c r="Z127" s="390"/>
      <c r="AA127" s="361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</row>
    <row r="128" spans="1:74" ht="16.5" hidden="1" customHeight="1" x14ac:dyDescent="0.2">
      <c r="A128" s="26"/>
      <c r="B128" s="32">
        <v>152</v>
      </c>
      <c r="C128" s="76" t="s">
        <v>144</v>
      </c>
      <c r="D128" s="77"/>
      <c r="E128" s="77"/>
      <c r="F128" s="97">
        <f>253+68+45</f>
        <v>366</v>
      </c>
      <c r="G128" s="77"/>
      <c r="H128" s="77"/>
      <c r="I128" s="78"/>
      <c r="J128" s="78"/>
      <c r="K128" s="78"/>
      <c r="L128" s="78"/>
      <c r="M128" s="78"/>
      <c r="N128" s="78"/>
      <c r="O128" s="78"/>
      <c r="P128" s="78"/>
      <c r="Q128" s="78"/>
      <c r="R128" s="78">
        <f t="shared" si="18"/>
        <v>366</v>
      </c>
      <c r="S128" s="78"/>
      <c r="T128" s="78"/>
      <c r="U128" s="78"/>
      <c r="V128" s="78"/>
      <c r="W128" s="78"/>
      <c r="X128" s="482">
        <f t="shared" ref="X128" si="19">SUM(T128:W128)</f>
        <v>0</v>
      </c>
      <c r="Y128" s="376">
        <f t="shared" ref="Y128" si="20">R128+X128</f>
        <v>366</v>
      </c>
      <c r="Z128" s="390"/>
      <c r="AA128" s="361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</row>
    <row r="129" spans="1:74" ht="16.5" hidden="1" customHeight="1" x14ac:dyDescent="0.2">
      <c r="A129" s="26"/>
      <c r="B129" s="32">
        <v>180</v>
      </c>
      <c r="C129" s="76" t="s">
        <v>144</v>
      </c>
      <c r="D129" s="77"/>
      <c r="E129" s="77"/>
      <c r="F129" s="97">
        <f>5953+1607+2000</f>
        <v>9560</v>
      </c>
      <c r="G129" s="77"/>
      <c r="H129" s="77"/>
      <c r="I129" s="78"/>
      <c r="J129" s="78"/>
      <c r="K129" s="78"/>
      <c r="L129" s="78">
        <f>7850+175000+47250</f>
        <v>230100</v>
      </c>
      <c r="M129" s="78"/>
      <c r="N129" s="78"/>
      <c r="O129" s="78"/>
      <c r="P129" s="78"/>
      <c r="Q129" s="78"/>
      <c r="R129" s="78">
        <f t="shared" si="18"/>
        <v>239660</v>
      </c>
      <c r="S129" s="78"/>
      <c r="T129" s="78"/>
      <c r="U129" s="78"/>
      <c r="V129" s="78"/>
      <c r="W129" s="78"/>
      <c r="X129" s="482">
        <f t="shared" si="2"/>
        <v>0</v>
      </c>
      <c r="Y129" s="376">
        <f t="shared" si="3"/>
        <v>239660</v>
      </c>
      <c r="Z129" s="390"/>
      <c r="AA129" s="361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</row>
    <row r="130" spans="1:74" ht="16.5" hidden="1" customHeight="1" x14ac:dyDescent="0.2">
      <c r="A130" s="26"/>
      <c r="B130" s="32">
        <v>190</v>
      </c>
      <c r="C130" s="76" t="s">
        <v>144</v>
      </c>
      <c r="D130" s="77"/>
      <c r="E130" s="77"/>
      <c r="F130" s="77"/>
      <c r="G130" s="77"/>
      <c r="H130" s="77"/>
      <c r="I130" s="78"/>
      <c r="J130" s="78"/>
      <c r="K130" s="78"/>
      <c r="L130" s="78"/>
      <c r="M130" s="78"/>
      <c r="N130" s="78"/>
      <c r="O130" s="78"/>
      <c r="P130" s="78"/>
      <c r="Q130" s="78"/>
      <c r="R130" s="78">
        <f t="shared" si="18"/>
        <v>0</v>
      </c>
      <c r="S130" s="78"/>
      <c r="T130" s="78"/>
      <c r="U130" s="78"/>
      <c r="V130" s="78"/>
      <c r="W130" s="78"/>
      <c r="X130" s="482">
        <f t="shared" si="2"/>
        <v>0</v>
      </c>
      <c r="Y130" s="376">
        <f t="shared" si="3"/>
        <v>0</v>
      </c>
      <c r="Z130" s="390"/>
      <c r="AA130" s="361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</row>
    <row r="131" spans="1:74" ht="16.5" hidden="1" customHeight="1" x14ac:dyDescent="0.2">
      <c r="A131" s="26"/>
      <c r="B131" s="32">
        <v>200</v>
      </c>
      <c r="C131" s="76" t="s">
        <v>144</v>
      </c>
      <c r="D131" s="77"/>
      <c r="E131" s="77"/>
      <c r="F131" s="77"/>
      <c r="G131" s="77"/>
      <c r="H131" s="77"/>
      <c r="I131" s="78"/>
      <c r="J131" s="78"/>
      <c r="K131" s="78"/>
      <c r="L131" s="78"/>
      <c r="M131" s="78"/>
      <c r="N131" s="78"/>
      <c r="O131" s="78"/>
      <c r="P131" s="78"/>
      <c r="Q131" s="78">
        <v>3135</v>
      </c>
      <c r="R131" s="78">
        <f t="shared" si="18"/>
        <v>3135</v>
      </c>
      <c r="S131" s="78"/>
      <c r="T131" s="78"/>
      <c r="U131" s="78"/>
      <c r="V131" s="78"/>
      <c r="W131" s="78"/>
      <c r="X131" s="482">
        <f t="shared" si="2"/>
        <v>0</v>
      </c>
      <c r="Y131" s="376">
        <f t="shared" si="3"/>
        <v>3135</v>
      </c>
      <c r="Z131" s="390"/>
      <c r="AA131" s="361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</row>
    <row r="132" spans="1:74" ht="16.5" hidden="1" customHeight="1" x14ac:dyDescent="0.2">
      <c r="A132" s="26"/>
      <c r="B132" s="32">
        <v>220</v>
      </c>
      <c r="C132" s="76" t="s">
        <v>144</v>
      </c>
      <c r="D132" s="77"/>
      <c r="E132" s="77"/>
      <c r="F132" s="77"/>
      <c r="G132" s="77"/>
      <c r="H132" s="77"/>
      <c r="I132" s="78"/>
      <c r="J132" s="78"/>
      <c r="K132" s="78"/>
      <c r="L132" s="78"/>
      <c r="M132" s="78"/>
      <c r="N132" s="79"/>
      <c r="O132" s="78"/>
      <c r="P132" s="78"/>
      <c r="Q132" s="78"/>
      <c r="R132" s="78">
        <f t="shared" si="18"/>
        <v>0</v>
      </c>
      <c r="S132" s="78"/>
      <c r="T132" s="78"/>
      <c r="U132" s="78"/>
      <c r="V132" s="78"/>
      <c r="W132" s="78"/>
      <c r="X132" s="482">
        <f t="shared" si="2"/>
        <v>0</v>
      </c>
      <c r="Y132" s="376">
        <f t="shared" si="3"/>
        <v>0</v>
      </c>
      <c r="Z132" s="390"/>
      <c r="AA132" s="361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</row>
    <row r="133" spans="1:74" ht="16.5" hidden="1" customHeight="1" x14ac:dyDescent="0.2">
      <c r="A133" s="26"/>
      <c r="B133" s="32">
        <v>407</v>
      </c>
      <c r="C133" s="76" t="s">
        <v>144</v>
      </c>
      <c r="D133" s="77"/>
      <c r="E133" s="77"/>
      <c r="F133" s="77"/>
      <c r="G133" s="77"/>
      <c r="H133" s="77"/>
      <c r="I133" s="78"/>
      <c r="J133" s="78"/>
      <c r="K133" s="78"/>
      <c r="L133" s="78"/>
      <c r="M133" s="78"/>
      <c r="N133" s="78"/>
      <c r="O133" s="78"/>
      <c r="P133" s="78"/>
      <c r="Q133" s="78"/>
      <c r="R133" s="78">
        <f t="shared" si="18"/>
        <v>0</v>
      </c>
      <c r="S133" s="78"/>
      <c r="T133" s="78"/>
      <c r="U133" s="78"/>
      <c r="V133" s="78"/>
      <c r="W133" s="78"/>
      <c r="X133" s="482">
        <f t="shared" si="2"/>
        <v>0</v>
      </c>
      <c r="Y133" s="376">
        <f t="shared" si="3"/>
        <v>0</v>
      </c>
      <c r="Z133" s="390"/>
      <c r="AA133" s="361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</row>
    <row r="134" spans="1:74" ht="16.5" hidden="1" customHeight="1" x14ac:dyDescent="0.2">
      <c r="A134" s="26"/>
      <c r="B134" s="32">
        <v>418</v>
      </c>
      <c r="C134" s="76" t="s">
        <v>144</v>
      </c>
      <c r="D134" s="77"/>
      <c r="E134" s="77"/>
      <c r="F134" s="77"/>
      <c r="G134" s="77"/>
      <c r="H134" s="77"/>
      <c r="I134" s="78"/>
      <c r="J134" s="78"/>
      <c r="K134" s="78"/>
      <c r="L134" s="78"/>
      <c r="M134" s="78"/>
      <c r="N134" s="78"/>
      <c r="O134" s="78"/>
      <c r="P134" s="78"/>
      <c r="Q134" s="78"/>
      <c r="R134" s="78">
        <f t="shared" si="18"/>
        <v>0</v>
      </c>
      <c r="S134" s="78"/>
      <c r="T134" s="78"/>
      <c r="U134" s="78"/>
      <c r="V134" s="78"/>
      <c r="W134" s="78"/>
      <c r="X134" s="482">
        <f t="shared" si="2"/>
        <v>0</v>
      </c>
      <c r="Y134" s="376">
        <f t="shared" si="3"/>
        <v>0</v>
      </c>
      <c r="Z134" s="390"/>
      <c r="AA134" s="361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</row>
    <row r="135" spans="1:74" ht="16.5" hidden="1" customHeight="1" x14ac:dyDescent="0.2">
      <c r="A135" s="26"/>
      <c r="B135" s="32">
        <v>419</v>
      </c>
      <c r="C135" s="76" t="s">
        <v>144</v>
      </c>
      <c r="D135" s="77"/>
      <c r="E135" s="77"/>
      <c r="F135" s="77"/>
      <c r="G135" s="77"/>
      <c r="H135" s="77"/>
      <c r="I135" s="78"/>
      <c r="J135" s="78"/>
      <c r="K135" s="78"/>
      <c r="L135" s="78"/>
      <c r="M135" s="78"/>
      <c r="N135" s="78"/>
      <c r="O135" s="78"/>
      <c r="P135" s="78"/>
      <c r="Q135" s="78"/>
      <c r="R135" s="78">
        <f t="shared" si="18"/>
        <v>0</v>
      </c>
      <c r="S135" s="78"/>
      <c r="T135" s="78"/>
      <c r="U135" s="78"/>
      <c r="V135" s="78"/>
      <c r="W135" s="78"/>
      <c r="X135" s="482">
        <f t="shared" si="2"/>
        <v>0</v>
      </c>
      <c r="Y135" s="376">
        <f t="shared" si="3"/>
        <v>0</v>
      </c>
      <c r="Z135" s="390"/>
      <c r="AA135" s="361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</row>
    <row r="136" spans="1:74" ht="16.5" hidden="1" customHeight="1" x14ac:dyDescent="0.2">
      <c r="A136" s="26"/>
      <c r="B136" s="32">
        <v>420</v>
      </c>
      <c r="C136" s="76" t="s">
        <v>144</v>
      </c>
      <c r="D136" s="77"/>
      <c r="E136" s="77"/>
      <c r="F136" s="77"/>
      <c r="G136" s="77"/>
      <c r="H136" s="77"/>
      <c r="I136" s="78"/>
      <c r="J136" s="78"/>
      <c r="K136" s="78"/>
      <c r="L136" s="78">
        <f>2950+797</f>
        <v>3747</v>
      </c>
      <c r="M136" s="78"/>
      <c r="N136" s="78"/>
      <c r="O136" s="78"/>
      <c r="P136" s="78"/>
      <c r="Q136" s="78"/>
      <c r="R136" s="78">
        <f t="shared" si="18"/>
        <v>3747</v>
      </c>
      <c r="S136" s="78"/>
      <c r="T136" s="78"/>
      <c r="U136" s="78"/>
      <c r="V136" s="78"/>
      <c r="W136" s="78"/>
      <c r="X136" s="482">
        <f t="shared" si="2"/>
        <v>0</v>
      </c>
      <c r="Y136" s="376">
        <f t="shared" si="3"/>
        <v>3747</v>
      </c>
      <c r="Z136" s="390"/>
      <c r="AA136" s="361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</row>
    <row r="137" spans="1:74" ht="16.5" hidden="1" customHeight="1" x14ac:dyDescent="0.2">
      <c r="A137" s="26"/>
      <c r="B137" s="32">
        <v>423</v>
      </c>
      <c r="C137" s="76" t="s">
        <v>144</v>
      </c>
      <c r="D137" s="77"/>
      <c r="E137" s="77"/>
      <c r="F137" s="77"/>
      <c r="G137" s="77"/>
      <c r="H137" s="77"/>
      <c r="I137" s="78"/>
      <c r="J137" s="78"/>
      <c r="K137" s="78"/>
      <c r="L137" s="78"/>
      <c r="M137" s="78"/>
      <c r="N137" s="78"/>
      <c r="O137" s="78"/>
      <c r="P137" s="78"/>
      <c r="Q137" s="78"/>
      <c r="R137" s="78">
        <f t="shared" si="18"/>
        <v>0</v>
      </c>
      <c r="S137" s="78"/>
      <c r="T137" s="78"/>
      <c r="U137" s="78"/>
      <c r="V137" s="78"/>
      <c r="W137" s="78"/>
      <c r="X137" s="482">
        <f t="shared" si="2"/>
        <v>0</v>
      </c>
      <c r="Y137" s="376">
        <f t="shared" si="3"/>
        <v>0</v>
      </c>
      <c r="Z137" s="390"/>
      <c r="AA137" s="361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</row>
    <row r="138" spans="1:74" ht="16.5" hidden="1" customHeight="1" x14ac:dyDescent="0.2">
      <c r="A138" s="26"/>
      <c r="B138" s="32">
        <v>424</v>
      </c>
      <c r="C138" s="76" t="s">
        <v>144</v>
      </c>
      <c r="D138" s="77"/>
      <c r="E138" s="77"/>
      <c r="F138" s="77"/>
      <c r="G138" s="77"/>
      <c r="H138" s="77"/>
      <c r="I138" s="78"/>
      <c r="J138" s="78"/>
      <c r="K138" s="78"/>
      <c r="L138" s="78">
        <f>750+203+7950+2147</f>
        <v>11050</v>
      </c>
      <c r="M138" s="78"/>
      <c r="N138" s="78"/>
      <c r="O138" s="78"/>
      <c r="P138" s="78"/>
      <c r="Q138" s="78"/>
      <c r="R138" s="78">
        <f t="shared" si="18"/>
        <v>11050</v>
      </c>
      <c r="S138" s="78"/>
      <c r="T138" s="78"/>
      <c r="U138" s="78"/>
      <c r="V138" s="78"/>
      <c r="W138" s="78"/>
      <c r="X138" s="482">
        <f t="shared" si="2"/>
        <v>0</v>
      </c>
      <c r="Y138" s="376">
        <f t="shared" si="3"/>
        <v>11050</v>
      </c>
      <c r="Z138" s="390"/>
      <c r="AA138" s="361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</row>
    <row r="139" spans="1:74" ht="16.5" hidden="1" customHeight="1" x14ac:dyDescent="0.2">
      <c r="A139" s="26"/>
      <c r="B139" s="32"/>
      <c r="C139" s="76" t="s">
        <v>144</v>
      </c>
      <c r="D139" s="77"/>
      <c r="E139" s="77"/>
      <c r="F139" s="77"/>
      <c r="G139" s="77"/>
      <c r="H139" s="77"/>
      <c r="I139" s="78"/>
      <c r="J139" s="78"/>
      <c r="K139" s="78"/>
      <c r="L139" s="78"/>
      <c r="M139" s="78"/>
      <c r="N139" s="78"/>
      <c r="O139" s="78"/>
      <c r="P139" s="78"/>
      <c r="Q139" s="78"/>
      <c r="R139" s="78">
        <f t="shared" si="18"/>
        <v>0</v>
      </c>
      <c r="S139" s="78"/>
      <c r="T139" s="78"/>
      <c r="U139" s="78"/>
      <c r="V139" s="78"/>
      <c r="W139" s="78"/>
      <c r="X139" s="482">
        <f t="shared" ref="X139:X222" si="21">SUM(T139:W139)</f>
        <v>0</v>
      </c>
      <c r="Y139" s="376">
        <f t="shared" ref="Y139:Y222" si="22">R139+X139</f>
        <v>0</v>
      </c>
      <c r="Z139" s="390"/>
      <c r="AA139" s="361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</row>
    <row r="140" spans="1:74" ht="16.5" hidden="1" customHeight="1" x14ac:dyDescent="0.2">
      <c r="A140" s="26"/>
      <c r="B140" s="32"/>
      <c r="C140" s="76" t="s">
        <v>144</v>
      </c>
      <c r="D140" s="77"/>
      <c r="E140" s="77"/>
      <c r="F140" s="77"/>
      <c r="G140" s="77"/>
      <c r="H140" s="77"/>
      <c r="I140" s="78"/>
      <c r="J140" s="78"/>
      <c r="K140" s="78"/>
      <c r="L140" s="78"/>
      <c r="M140" s="78"/>
      <c r="N140" s="78"/>
      <c r="O140" s="78"/>
      <c r="P140" s="78"/>
      <c r="Q140" s="78"/>
      <c r="R140" s="78">
        <f t="shared" si="18"/>
        <v>0</v>
      </c>
      <c r="S140" s="78"/>
      <c r="T140" s="78"/>
      <c r="U140" s="78"/>
      <c r="V140" s="78"/>
      <c r="W140" s="78"/>
      <c r="X140" s="482">
        <f t="shared" si="21"/>
        <v>0</v>
      </c>
      <c r="Y140" s="376">
        <f t="shared" si="22"/>
        <v>0</v>
      </c>
      <c r="Z140" s="390"/>
      <c r="AA140" s="361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</row>
    <row r="141" spans="1:74" ht="16.5" hidden="1" customHeight="1" x14ac:dyDescent="0.2">
      <c r="A141" s="26"/>
      <c r="B141" s="32"/>
      <c r="C141" s="76" t="s">
        <v>144</v>
      </c>
      <c r="D141" s="77"/>
      <c r="E141" s="77"/>
      <c r="F141" s="77"/>
      <c r="G141" s="77"/>
      <c r="H141" s="77"/>
      <c r="I141" s="78"/>
      <c r="J141" s="78"/>
      <c r="K141" s="78"/>
      <c r="L141" s="78"/>
      <c r="M141" s="78"/>
      <c r="N141" s="78"/>
      <c r="O141" s="78"/>
      <c r="P141" s="78"/>
      <c r="Q141" s="78"/>
      <c r="R141" s="78">
        <f t="shared" si="18"/>
        <v>0</v>
      </c>
      <c r="S141" s="78"/>
      <c r="T141" s="78"/>
      <c r="U141" s="78"/>
      <c r="V141" s="78"/>
      <c r="W141" s="78"/>
      <c r="X141" s="482">
        <f t="shared" si="21"/>
        <v>0</v>
      </c>
      <c r="Y141" s="376">
        <f t="shared" si="22"/>
        <v>0</v>
      </c>
      <c r="Z141" s="390"/>
      <c r="AA141" s="361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</row>
    <row r="142" spans="1:74" ht="16.5" hidden="1" customHeight="1" x14ac:dyDescent="0.2">
      <c r="A142" s="26"/>
      <c r="B142" s="32"/>
      <c r="C142" s="76" t="s">
        <v>144</v>
      </c>
      <c r="D142" s="77"/>
      <c r="E142" s="77"/>
      <c r="F142" s="77"/>
      <c r="G142" s="77"/>
      <c r="H142" s="77"/>
      <c r="I142" s="78"/>
      <c r="J142" s="78"/>
      <c r="K142" s="78"/>
      <c r="L142" s="78"/>
      <c r="M142" s="78"/>
      <c r="N142" s="78"/>
      <c r="O142" s="78"/>
      <c r="P142" s="78"/>
      <c r="Q142" s="78"/>
      <c r="R142" s="78">
        <f t="shared" si="18"/>
        <v>0</v>
      </c>
      <c r="S142" s="78"/>
      <c r="T142" s="78"/>
      <c r="U142" s="78"/>
      <c r="V142" s="78"/>
      <c r="W142" s="78"/>
      <c r="X142" s="482">
        <f t="shared" si="21"/>
        <v>0</v>
      </c>
      <c r="Y142" s="376">
        <f t="shared" si="22"/>
        <v>0</v>
      </c>
      <c r="Z142" s="390"/>
      <c r="AA142" s="361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</row>
    <row r="143" spans="1:74" ht="16.5" hidden="1" customHeight="1" x14ac:dyDescent="0.2">
      <c r="A143" s="26"/>
      <c r="B143" s="325"/>
      <c r="C143" s="76" t="s">
        <v>144</v>
      </c>
      <c r="D143" s="323"/>
      <c r="E143" s="323"/>
      <c r="F143" s="323"/>
      <c r="G143" s="323"/>
      <c r="H143" s="323"/>
      <c r="I143" s="324"/>
      <c r="J143" s="324"/>
      <c r="K143" s="324"/>
      <c r="L143" s="324"/>
      <c r="M143" s="324"/>
      <c r="N143" s="324"/>
      <c r="O143" s="324"/>
      <c r="P143" s="324"/>
      <c r="Q143" s="324"/>
      <c r="R143" s="78">
        <f t="shared" si="18"/>
        <v>0</v>
      </c>
      <c r="S143" s="324"/>
      <c r="T143" s="324"/>
      <c r="U143" s="324"/>
      <c r="V143" s="324"/>
      <c r="W143" s="324"/>
      <c r="X143" s="483">
        <f t="shared" si="21"/>
        <v>0</v>
      </c>
      <c r="Y143" s="376">
        <f t="shared" si="22"/>
        <v>0</v>
      </c>
      <c r="Z143" s="391"/>
      <c r="AA143" s="361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</row>
    <row r="144" spans="1:74" ht="16.5" hidden="1" customHeight="1" x14ac:dyDescent="0.2">
      <c r="A144" s="26"/>
      <c r="B144" s="327"/>
      <c r="C144" s="76" t="s">
        <v>144</v>
      </c>
      <c r="D144" s="323"/>
      <c r="E144" s="323"/>
      <c r="F144" s="323"/>
      <c r="G144" s="323"/>
      <c r="H144" s="323"/>
      <c r="I144" s="324"/>
      <c r="J144" s="324"/>
      <c r="K144" s="324"/>
      <c r="L144" s="324"/>
      <c r="M144" s="324"/>
      <c r="N144" s="324"/>
      <c r="O144" s="324"/>
      <c r="P144" s="324"/>
      <c r="Q144" s="324"/>
      <c r="R144" s="78">
        <f t="shared" si="18"/>
        <v>0</v>
      </c>
      <c r="S144" s="324"/>
      <c r="T144" s="324"/>
      <c r="U144" s="324"/>
      <c r="V144" s="324"/>
      <c r="W144" s="324"/>
      <c r="X144" s="483">
        <f t="shared" si="21"/>
        <v>0</v>
      </c>
      <c r="Y144" s="376">
        <f t="shared" si="22"/>
        <v>0</v>
      </c>
      <c r="Z144" s="391"/>
      <c r="AA144" s="361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</row>
    <row r="145" spans="1:74" ht="17.25" hidden="1" customHeight="1" thickBot="1" x14ac:dyDescent="0.25">
      <c r="A145" s="153"/>
      <c r="B145" s="326"/>
      <c r="C145" s="148"/>
      <c r="D145" s="149"/>
      <c r="E145" s="149"/>
      <c r="F145" s="149"/>
      <c r="G145" s="149"/>
      <c r="H145" s="149"/>
      <c r="I145" s="150"/>
      <c r="J145" s="150"/>
      <c r="K145" s="150"/>
      <c r="L145" s="150"/>
      <c r="M145" s="150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484"/>
      <c r="Y145" s="377"/>
      <c r="Z145" s="392"/>
      <c r="AA145" s="362"/>
      <c r="AB145" s="134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</row>
    <row r="146" spans="1:74" s="81" customFormat="1" ht="30" customHeight="1" thickTop="1" thickBot="1" x14ac:dyDescent="0.25">
      <c r="A146" s="152"/>
      <c r="B146" s="147"/>
      <c r="C146" s="39" t="s">
        <v>230</v>
      </c>
      <c r="D146" s="52">
        <f t="shared" ref="D146:Q146" si="23">SUM(D101:D145)</f>
        <v>4786</v>
      </c>
      <c r="E146" s="52">
        <f t="shared" si="23"/>
        <v>1167</v>
      </c>
      <c r="F146" s="52">
        <f t="shared" si="23"/>
        <v>355080.46799999999</v>
      </c>
      <c r="G146" s="52">
        <f t="shared" si="23"/>
        <v>24775</v>
      </c>
      <c r="H146" s="52">
        <f t="shared" si="23"/>
        <v>0</v>
      </c>
      <c r="I146" s="52">
        <f t="shared" si="23"/>
        <v>0</v>
      </c>
      <c r="J146" s="52">
        <f t="shared" si="23"/>
        <v>13692</v>
      </c>
      <c r="K146" s="52">
        <f t="shared" si="23"/>
        <v>612339</v>
      </c>
      <c r="L146" s="52">
        <f t="shared" si="23"/>
        <v>1112297</v>
      </c>
      <c r="M146" s="52">
        <f t="shared" si="23"/>
        <v>12788</v>
      </c>
      <c r="N146" s="52">
        <f t="shared" si="23"/>
        <v>57243</v>
      </c>
      <c r="O146" s="52">
        <f t="shared" si="23"/>
        <v>0</v>
      </c>
      <c r="P146" s="52">
        <f t="shared" si="23"/>
        <v>0</v>
      </c>
      <c r="Q146" s="52">
        <f t="shared" si="23"/>
        <v>120165</v>
      </c>
      <c r="R146" s="52">
        <f t="shared" ref="R146:R229" si="24">SUM(D146:Q146)</f>
        <v>2314332.4679999999</v>
      </c>
      <c r="S146" s="52"/>
      <c r="T146" s="52">
        <f>SUM(T101:T145)</f>
        <v>0</v>
      </c>
      <c r="U146" s="52">
        <f>SUM(U101:U145)</f>
        <v>0</v>
      </c>
      <c r="V146" s="52">
        <f>SUM(V101:V145)</f>
        <v>0</v>
      </c>
      <c r="W146" s="52">
        <f>SUM(W101:W145)</f>
        <v>0</v>
      </c>
      <c r="X146" s="485">
        <f t="shared" si="21"/>
        <v>0</v>
      </c>
      <c r="Y146" s="378">
        <f t="shared" si="22"/>
        <v>2314332.4679999999</v>
      </c>
      <c r="Z146" s="393">
        <f>SUM(Z101:Z145)</f>
        <v>45419</v>
      </c>
      <c r="AA146" s="357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</row>
    <row r="147" spans="1:74" ht="35.1" customHeight="1" thickTop="1" thickBot="1" x14ac:dyDescent="0.35">
      <c r="A147" s="137"/>
      <c r="B147" s="616" t="s">
        <v>171</v>
      </c>
      <c r="C147" s="44" t="s">
        <v>232</v>
      </c>
      <c r="D147" s="86">
        <f t="shared" ref="D147:Q147" si="25">D100+D146</f>
        <v>154018</v>
      </c>
      <c r="E147" s="86">
        <f t="shared" si="25"/>
        <v>36396</v>
      </c>
      <c r="F147" s="131">
        <f t="shared" si="25"/>
        <v>4730285.9090000009</v>
      </c>
      <c r="G147" s="131">
        <f t="shared" si="25"/>
        <v>197440</v>
      </c>
      <c r="H147" s="131">
        <f t="shared" si="25"/>
        <v>150591.49600000001</v>
      </c>
      <c r="I147" s="131">
        <f t="shared" si="25"/>
        <v>52112</v>
      </c>
      <c r="J147" s="86">
        <f t="shared" si="25"/>
        <v>685330</v>
      </c>
      <c r="K147" s="86">
        <f t="shared" si="25"/>
        <v>2855229.594</v>
      </c>
      <c r="L147" s="86">
        <f t="shared" si="25"/>
        <v>3011496</v>
      </c>
      <c r="M147" s="86">
        <f t="shared" si="25"/>
        <v>37208</v>
      </c>
      <c r="N147" s="86">
        <f t="shared" si="25"/>
        <v>57843</v>
      </c>
      <c r="O147" s="131">
        <f t="shared" si="25"/>
        <v>10000</v>
      </c>
      <c r="P147" s="86">
        <f t="shared" si="25"/>
        <v>0</v>
      </c>
      <c r="Q147" s="86">
        <f t="shared" si="25"/>
        <v>563293</v>
      </c>
      <c r="R147" s="86">
        <f t="shared" si="24"/>
        <v>12541242.999000002</v>
      </c>
      <c r="S147" s="86"/>
      <c r="T147" s="86">
        <f>T100+T146</f>
        <v>0</v>
      </c>
      <c r="U147" s="86">
        <f>U100+U146</f>
        <v>3740000</v>
      </c>
      <c r="V147" s="86">
        <f>V100+V146</f>
        <v>66267.035000000003</v>
      </c>
      <c r="W147" s="86">
        <f>W100+W146</f>
        <v>0</v>
      </c>
      <c r="X147" s="87">
        <f t="shared" si="21"/>
        <v>3806267.0350000001</v>
      </c>
      <c r="Y147" s="87">
        <f t="shared" si="22"/>
        <v>16347510.034000002</v>
      </c>
      <c r="Z147" s="274">
        <f>Z100+Z146</f>
        <v>6436382.5250000004</v>
      </c>
      <c r="AA147" s="357"/>
      <c r="AB147" s="85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</row>
    <row r="148" spans="1:74" ht="24" hidden="1" customHeight="1" thickTop="1" thickBot="1" x14ac:dyDescent="0.3">
      <c r="A148" s="218"/>
      <c r="B148" s="219"/>
      <c r="C148" s="220" t="s">
        <v>18</v>
      </c>
      <c r="D148" s="329">
        <f t="shared" ref="D148:W148" si="26">D147</f>
        <v>154018</v>
      </c>
      <c r="E148" s="329">
        <f>E147</f>
        <v>36396</v>
      </c>
      <c r="F148" s="329">
        <f>F147</f>
        <v>4730285.9090000009</v>
      </c>
      <c r="G148" s="329">
        <f>G147</f>
        <v>197440</v>
      </c>
      <c r="H148" s="329">
        <f t="shared" si="26"/>
        <v>150591.49600000001</v>
      </c>
      <c r="I148" s="329">
        <f t="shared" si="26"/>
        <v>52112</v>
      </c>
      <c r="J148" s="329">
        <f t="shared" si="26"/>
        <v>685330</v>
      </c>
      <c r="K148" s="329">
        <f>K147</f>
        <v>2855229.594</v>
      </c>
      <c r="L148" s="329">
        <f>L147</f>
        <v>3011496</v>
      </c>
      <c r="M148" s="329">
        <f t="shared" si="26"/>
        <v>37208</v>
      </c>
      <c r="N148" s="329">
        <f t="shared" si="26"/>
        <v>57843</v>
      </c>
      <c r="O148" s="329">
        <f t="shared" si="26"/>
        <v>10000</v>
      </c>
      <c r="P148" s="329">
        <f t="shared" si="26"/>
        <v>0</v>
      </c>
      <c r="Q148" s="329">
        <f t="shared" si="26"/>
        <v>563293</v>
      </c>
      <c r="R148" s="329">
        <f t="shared" si="24"/>
        <v>12541242.999000002</v>
      </c>
      <c r="S148" s="329"/>
      <c r="T148" s="329">
        <f t="shared" si="26"/>
        <v>0</v>
      </c>
      <c r="U148" s="329">
        <f>U147</f>
        <v>3740000</v>
      </c>
      <c r="V148" s="329">
        <f>V147</f>
        <v>66267.035000000003</v>
      </c>
      <c r="W148" s="329">
        <f t="shared" si="26"/>
        <v>0</v>
      </c>
      <c r="X148" s="486">
        <f t="shared" si="21"/>
        <v>3806267.0350000001</v>
      </c>
      <c r="Y148" s="379">
        <f t="shared" si="22"/>
        <v>16347510.034000002</v>
      </c>
      <c r="Z148" s="394">
        <f>Z147</f>
        <v>6436382.5250000004</v>
      </c>
      <c r="AA148" s="363"/>
    </row>
    <row r="149" spans="1:74" ht="24" hidden="1" customHeight="1" x14ac:dyDescent="0.2">
      <c r="A149" s="82">
        <v>1</v>
      </c>
      <c r="B149" s="513"/>
      <c r="C149" s="28"/>
      <c r="D149" s="164"/>
      <c r="E149" s="164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>
        <f>SUM(D149:Q149)</f>
        <v>0</v>
      </c>
      <c r="S149" s="159"/>
      <c r="T149" s="159"/>
      <c r="U149" s="159"/>
      <c r="W149" s="159"/>
      <c r="X149" s="165">
        <f>SUM(T149:W149)</f>
        <v>0</v>
      </c>
      <c r="Y149" s="243">
        <f>R149+X149</f>
        <v>0</v>
      </c>
      <c r="Z149" s="159"/>
      <c r="AA149" s="364"/>
    </row>
    <row r="150" spans="1:74" ht="24" hidden="1" customHeight="1" x14ac:dyDescent="0.2">
      <c r="A150" s="82">
        <v>2</v>
      </c>
      <c r="B150" s="513"/>
      <c r="C150" s="28"/>
      <c r="D150" s="164"/>
      <c r="E150" s="164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>
        <f>SUM(D150:Q150)</f>
        <v>0</v>
      </c>
      <c r="S150" s="159"/>
      <c r="T150" s="164"/>
      <c r="U150" s="164"/>
      <c r="W150" s="159"/>
      <c r="X150" s="165">
        <f>SUM(T150:W150)</f>
        <v>0</v>
      </c>
      <c r="Y150" s="243">
        <f>R150+X150</f>
        <v>0</v>
      </c>
      <c r="Z150" s="164"/>
      <c r="AA150" s="364"/>
    </row>
    <row r="151" spans="1:74" ht="24" hidden="1" customHeight="1" x14ac:dyDescent="0.2">
      <c r="A151" s="82">
        <v>3</v>
      </c>
      <c r="B151" s="513"/>
      <c r="C151" s="28"/>
      <c r="D151" s="164"/>
      <c r="E151" s="164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>
        <f>SUM(D151:Q151)</f>
        <v>0</v>
      </c>
      <c r="S151" s="159"/>
      <c r="T151" s="164"/>
      <c r="U151" s="164"/>
      <c r="W151" s="159"/>
      <c r="X151" s="165">
        <f>SUM(T151:W151)</f>
        <v>0</v>
      </c>
      <c r="Y151" s="243">
        <f>R151+X151</f>
        <v>0</v>
      </c>
      <c r="Z151" s="164"/>
      <c r="AA151" s="364"/>
    </row>
    <row r="152" spans="1:74" ht="24" hidden="1" customHeight="1" x14ac:dyDescent="0.2">
      <c r="A152" s="82">
        <v>4</v>
      </c>
      <c r="B152" s="513"/>
      <c r="C152" s="28"/>
      <c r="D152" s="164"/>
      <c r="E152" s="164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>
        <f>SUM(D152:Q152)</f>
        <v>0</v>
      </c>
      <c r="S152" s="159"/>
      <c r="T152" s="164"/>
      <c r="U152" s="164"/>
      <c r="W152" s="159"/>
      <c r="X152" s="165">
        <f>SUM(T152:W152)</f>
        <v>0</v>
      </c>
      <c r="Y152" s="243">
        <f>R152+X152</f>
        <v>0</v>
      </c>
      <c r="Z152" s="164"/>
      <c r="AA152" s="364"/>
    </row>
    <row r="153" spans="1:74" ht="24" hidden="1" customHeight="1" x14ac:dyDescent="0.2">
      <c r="A153" s="82">
        <v>5</v>
      </c>
      <c r="B153" s="513"/>
      <c r="C153" s="28"/>
      <c r="D153" s="164"/>
      <c r="E153" s="164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>
        <f t="shared" si="24"/>
        <v>0</v>
      </c>
      <c r="S153" s="159"/>
      <c r="T153" s="164"/>
      <c r="U153" s="164"/>
      <c r="W153" s="159"/>
      <c r="X153" s="165">
        <f t="shared" si="21"/>
        <v>0</v>
      </c>
      <c r="Y153" s="243">
        <f t="shared" si="22"/>
        <v>0</v>
      </c>
      <c r="Z153" s="164"/>
      <c r="AA153" s="364"/>
    </row>
    <row r="154" spans="1:74" ht="24" hidden="1" customHeight="1" x14ac:dyDescent="0.2">
      <c r="A154" s="82">
        <v>6</v>
      </c>
      <c r="B154" s="514"/>
      <c r="C154" s="28"/>
      <c r="D154" s="164"/>
      <c r="E154" s="164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>
        <f t="shared" si="24"/>
        <v>0</v>
      </c>
      <c r="S154" s="159"/>
      <c r="T154" s="164"/>
      <c r="U154" s="164"/>
      <c r="W154" s="159"/>
      <c r="X154" s="165">
        <f t="shared" si="21"/>
        <v>0</v>
      </c>
      <c r="Y154" s="243">
        <f t="shared" si="22"/>
        <v>0</v>
      </c>
      <c r="Z154" s="164"/>
      <c r="AA154" s="364"/>
    </row>
    <row r="155" spans="1:74" ht="24" hidden="1" customHeight="1" x14ac:dyDescent="0.2">
      <c r="A155" s="82">
        <v>7</v>
      </c>
      <c r="B155" s="514"/>
      <c r="C155" s="41"/>
      <c r="D155" s="164"/>
      <c r="E155" s="164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>
        <f t="shared" si="24"/>
        <v>0</v>
      </c>
      <c r="S155" s="159"/>
      <c r="T155" s="164"/>
      <c r="U155" s="164"/>
      <c r="W155" s="159"/>
      <c r="X155" s="165">
        <f t="shared" si="21"/>
        <v>0</v>
      </c>
      <c r="Y155" s="243">
        <f t="shared" si="22"/>
        <v>0</v>
      </c>
      <c r="Z155" s="164"/>
      <c r="AA155" s="364"/>
    </row>
    <row r="156" spans="1:74" ht="24" hidden="1" customHeight="1" x14ac:dyDescent="0.2">
      <c r="A156" s="82">
        <v>8</v>
      </c>
      <c r="B156" s="514"/>
      <c r="C156" s="41"/>
      <c r="D156" s="164"/>
      <c r="E156" s="164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>
        <f t="shared" si="24"/>
        <v>0</v>
      </c>
      <c r="S156" s="159"/>
      <c r="T156" s="164"/>
      <c r="U156" s="164"/>
      <c r="W156" s="159"/>
      <c r="X156" s="165">
        <f t="shared" si="21"/>
        <v>0</v>
      </c>
      <c r="Y156" s="243">
        <f t="shared" si="22"/>
        <v>0</v>
      </c>
      <c r="Z156" s="164"/>
      <c r="AA156" s="364"/>
    </row>
    <row r="157" spans="1:74" ht="24" hidden="1" customHeight="1" x14ac:dyDescent="0.2">
      <c r="A157" s="82">
        <v>9</v>
      </c>
      <c r="B157" s="514"/>
      <c r="C157" s="41"/>
      <c r="D157" s="164"/>
      <c r="E157" s="164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>
        <f t="shared" si="24"/>
        <v>0</v>
      </c>
      <c r="S157" s="159"/>
      <c r="T157" s="164"/>
      <c r="U157" s="164"/>
      <c r="W157" s="159"/>
      <c r="X157" s="165">
        <f t="shared" si="21"/>
        <v>0</v>
      </c>
      <c r="Y157" s="243">
        <f t="shared" si="22"/>
        <v>0</v>
      </c>
      <c r="Z157" s="164"/>
      <c r="AA157" s="364"/>
    </row>
    <row r="158" spans="1:74" ht="24" hidden="1" customHeight="1" x14ac:dyDescent="0.2">
      <c r="A158" s="82">
        <v>10</v>
      </c>
      <c r="B158" s="514"/>
      <c r="C158" s="41"/>
      <c r="D158" s="164"/>
      <c r="E158" s="164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>
        <f t="shared" si="24"/>
        <v>0</v>
      </c>
      <c r="S158" s="159"/>
      <c r="T158" s="164"/>
      <c r="U158" s="164"/>
      <c r="W158" s="159"/>
      <c r="X158" s="165">
        <f t="shared" si="21"/>
        <v>0</v>
      </c>
      <c r="Y158" s="243">
        <f t="shared" si="22"/>
        <v>0</v>
      </c>
      <c r="Z158" s="164"/>
      <c r="AA158" s="364"/>
    </row>
    <row r="159" spans="1:74" ht="24" hidden="1" customHeight="1" x14ac:dyDescent="0.2">
      <c r="A159" s="82">
        <v>11</v>
      </c>
      <c r="B159" s="514"/>
      <c r="C159" s="41"/>
      <c r="D159" s="164"/>
      <c r="E159" s="164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>
        <f t="shared" si="24"/>
        <v>0</v>
      </c>
      <c r="S159" s="159"/>
      <c r="T159" s="164"/>
      <c r="U159" s="164"/>
      <c r="W159" s="159"/>
      <c r="X159" s="165">
        <f t="shared" si="21"/>
        <v>0</v>
      </c>
      <c r="Y159" s="243">
        <f t="shared" si="22"/>
        <v>0</v>
      </c>
      <c r="Z159" s="164"/>
      <c r="AA159" s="364"/>
    </row>
    <row r="160" spans="1:74" ht="24" hidden="1" customHeight="1" x14ac:dyDescent="0.2">
      <c r="A160" s="82">
        <v>12</v>
      </c>
      <c r="B160" s="514"/>
      <c r="C160" s="41"/>
      <c r="D160" s="164"/>
      <c r="E160" s="164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>
        <f t="shared" si="24"/>
        <v>0</v>
      </c>
      <c r="S160" s="159"/>
      <c r="T160" s="164"/>
      <c r="U160" s="164"/>
      <c r="W160" s="159"/>
      <c r="X160" s="165">
        <f t="shared" si="21"/>
        <v>0</v>
      </c>
      <c r="Y160" s="243">
        <f t="shared" si="22"/>
        <v>0</v>
      </c>
      <c r="Z160" s="164"/>
      <c r="AA160" s="364"/>
    </row>
    <row r="161" spans="1:27" ht="24" hidden="1" customHeight="1" x14ac:dyDescent="0.2">
      <c r="A161" s="82">
        <v>13</v>
      </c>
      <c r="B161" s="514"/>
      <c r="C161" s="41"/>
      <c r="D161" s="164"/>
      <c r="E161" s="164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>
        <f t="shared" si="24"/>
        <v>0</v>
      </c>
      <c r="S161" s="159"/>
      <c r="T161" s="164"/>
      <c r="U161" s="164"/>
      <c r="W161" s="159"/>
      <c r="X161" s="165">
        <f t="shared" si="21"/>
        <v>0</v>
      </c>
      <c r="Y161" s="243">
        <f t="shared" si="22"/>
        <v>0</v>
      </c>
      <c r="Z161" s="164"/>
      <c r="AA161" s="364"/>
    </row>
    <row r="162" spans="1:27" ht="24" hidden="1" customHeight="1" x14ac:dyDescent="0.2">
      <c r="A162" s="82">
        <v>14</v>
      </c>
      <c r="B162" s="514"/>
      <c r="C162" s="41"/>
      <c r="D162" s="164"/>
      <c r="E162" s="164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>
        <f t="shared" si="24"/>
        <v>0</v>
      </c>
      <c r="S162" s="159"/>
      <c r="T162" s="164"/>
      <c r="U162" s="164"/>
      <c r="W162" s="159"/>
      <c r="X162" s="165">
        <f t="shared" si="21"/>
        <v>0</v>
      </c>
      <c r="Y162" s="243">
        <f t="shared" si="22"/>
        <v>0</v>
      </c>
      <c r="Z162" s="164"/>
      <c r="AA162" s="364"/>
    </row>
    <row r="163" spans="1:27" ht="24" hidden="1" customHeight="1" x14ac:dyDescent="0.2">
      <c r="A163" s="82">
        <v>15</v>
      </c>
      <c r="B163" s="514"/>
      <c r="C163" s="41"/>
      <c r="D163" s="164"/>
      <c r="E163" s="164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>
        <f t="shared" si="24"/>
        <v>0</v>
      </c>
      <c r="S163" s="159"/>
      <c r="T163" s="164"/>
      <c r="U163" s="164"/>
      <c r="W163" s="159"/>
      <c r="X163" s="165">
        <f t="shared" si="21"/>
        <v>0</v>
      </c>
      <c r="Y163" s="243">
        <f t="shared" si="22"/>
        <v>0</v>
      </c>
      <c r="Z163" s="164"/>
      <c r="AA163" s="364"/>
    </row>
    <row r="164" spans="1:27" ht="24" hidden="1" customHeight="1" x14ac:dyDescent="0.2">
      <c r="A164" s="82">
        <v>16</v>
      </c>
      <c r="B164" s="514"/>
      <c r="C164" s="41"/>
      <c r="D164" s="164"/>
      <c r="E164" s="164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>
        <f t="shared" si="24"/>
        <v>0</v>
      </c>
      <c r="S164" s="159"/>
      <c r="T164" s="164"/>
      <c r="U164" s="164"/>
      <c r="W164" s="159"/>
      <c r="X164" s="165">
        <f t="shared" si="21"/>
        <v>0</v>
      </c>
      <c r="Y164" s="243">
        <f t="shared" si="22"/>
        <v>0</v>
      </c>
      <c r="Z164" s="164"/>
      <c r="AA164" s="364"/>
    </row>
    <row r="165" spans="1:27" ht="24" hidden="1" customHeight="1" x14ac:dyDescent="0.2">
      <c r="A165" s="82">
        <v>17</v>
      </c>
      <c r="B165" s="514"/>
      <c r="C165" s="41"/>
      <c r="D165" s="164"/>
      <c r="E165" s="164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>
        <f t="shared" si="24"/>
        <v>0</v>
      </c>
      <c r="S165" s="159"/>
      <c r="T165" s="164"/>
      <c r="U165" s="164"/>
      <c r="W165" s="159"/>
      <c r="X165" s="165">
        <f t="shared" si="21"/>
        <v>0</v>
      </c>
      <c r="Y165" s="243">
        <f t="shared" si="22"/>
        <v>0</v>
      </c>
      <c r="Z165" s="164"/>
      <c r="AA165" s="364"/>
    </row>
    <row r="166" spans="1:27" ht="24" hidden="1" customHeight="1" x14ac:dyDescent="0.2">
      <c r="A166" s="82">
        <v>18</v>
      </c>
      <c r="B166" s="512"/>
      <c r="C166" s="28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>
        <f t="shared" si="24"/>
        <v>0</v>
      </c>
      <c r="S166" s="159"/>
      <c r="T166" s="159"/>
      <c r="U166" s="159"/>
      <c r="W166" s="159"/>
      <c r="X166" s="165">
        <f t="shared" si="21"/>
        <v>0</v>
      </c>
      <c r="Y166" s="243">
        <f t="shared" si="22"/>
        <v>0</v>
      </c>
      <c r="Z166" s="159"/>
      <c r="AA166" s="364"/>
    </row>
    <row r="167" spans="1:27" ht="24" hidden="1" customHeight="1" x14ac:dyDescent="0.2">
      <c r="A167" s="82">
        <v>19</v>
      </c>
      <c r="B167" s="512"/>
      <c r="C167" s="28"/>
      <c r="D167" s="159"/>
      <c r="E167" s="159"/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>
        <f t="shared" si="24"/>
        <v>0</v>
      </c>
      <c r="S167" s="159"/>
      <c r="T167" s="159"/>
      <c r="U167" s="159"/>
      <c r="W167" s="159"/>
      <c r="X167" s="165">
        <f t="shared" si="21"/>
        <v>0</v>
      </c>
      <c r="Y167" s="243">
        <f t="shared" si="22"/>
        <v>0</v>
      </c>
      <c r="Z167" s="159"/>
      <c r="AA167" s="364"/>
    </row>
    <row r="168" spans="1:27" ht="24" hidden="1" customHeight="1" x14ac:dyDescent="0.2">
      <c r="A168" s="82">
        <v>20</v>
      </c>
      <c r="B168" s="512"/>
      <c r="C168" s="28"/>
      <c r="D168" s="159"/>
      <c r="E168" s="159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>
        <f t="shared" si="24"/>
        <v>0</v>
      </c>
      <c r="S168" s="159"/>
      <c r="T168" s="164"/>
      <c r="U168" s="164"/>
      <c r="W168" s="159"/>
      <c r="X168" s="165">
        <f t="shared" si="21"/>
        <v>0</v>
      </c>
      <c r="Y168" s="243">
        <f t="shared" si="22"/>
        <v>0</v>
      </c>
      <c r="Z168" s="164"/>
      <c r="AA168" s="364"/>
    </row>
    <row r="169" spans="1:27" ht="24" hidden="1" customHeight="1" x14ac:dyDescent="0.2">
      <c r="A169" s="82">
        <v>21</v>
      </c>
      <c r="B169" s="512"/>
      <c r="C169" s="28"/>
      <c r="D169" s="159"/>
      <c r="E169" s="159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>
        <f t="shared" si="24"/>
        <v>0</v>
      </c>
      <c r="S169" s="159"/>
      <c r="T169" s="164"/>
      <c r="U169" s="164"/>
      <c r="W169" s="159"/>
      <c r="X169" s="165">
        <f>SUM(T169:W169)</f>
        <v>0</v>
      </c>
      <c r="Y169" s="243">
        <f>R169+X169</f>
        <v>0</v>
      </c>
      <c r="Z169" s="164"/>
      <c r="AA169" s="364"/>
    </row>
    <row r="170" spans="1:27" ht="24" hidden="1" customHeight="1" x14ac:dyDescent="0.2">
      <c r="A170" s="82">
        <v>22</v>
      </c>
      <c r="B170" s="512"/>
      <c r="C170" s="28"/>
      <c r="D170" s="159"/>
      <c r="E170" s="159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>
        <f t="shared" si="24"/>
        <v>0</v>
      </c>
      <c r="S170" s="159"/>
      <c r="T170" s="164"/>
      <c r="U170" s="164"/>
      <c r="W170" s="159"/>
      <c r="X170" s="165">
        <f t="shared" si="21"/>
        <v>0</v>
      </c>
      <c r="Y170" s="243">
        <f t="shared" si="22"/>
        <v>0</v>
      </c>
      <c r="Z170" s="164"/>
      <c r="AA170" s="364"/>
    </row>
    <row r="171" spans="1:27" ht="24" hidden="1" customHeight="1" x14ac:dyDescent="0.2">
      <c r="A171" s="82">
        <v>23</v>
      </c>
      <c r="B171" s="512"/>
      <c r="C171" s="28"/>
      <c r="D171" s="159"/>
      <c r="E171" s="159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>
        <f t="shared" si="24"/>
        <v>0</v>
      </c>
      <c r="S171" s="159"/>
      <c r="T171" s="164"/>
      <c r="U171" s="164"/>
      <c r="W171" s="159"/>
      <c r="X171" s="165">
        <f t="shared" si="21"/>
        <v>0</v>
      </c>
      <c r="Y171" s="243">
        <f t="shared" si="22"/>
        <v>0</v>
      </c>
      <c r="Z171" s="164"/>
      <c r="AA171" s="364"/>
    </row>
    <row r="172" spans="1:27" ht="24" hidden="1" customHeight="1" x14ac:dyDescent="0.2">
      <c r="A172" s="82">
        <v>24</v>
      </c>
      <c r="B172" s="512"/>
      <c r="C172" s="28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>
        <f t="shared" si="24"/>
        <v>0</v>
      </c>
      <c r="S172" s="159"/>
      <c r="T172" s="159"/>
      <c r="U172" s="159"/>
      <c r="W172" s="159"/>
      <c r="X172" s="165">
        <f t="shared" si="21"/>
        <v>0</v>
      </c>
      <c r="Y172" s="243">
        <f t="shared" si="22"/>
        <v>0</v>
      </c>
      <c r="Z172" s="159"/>
      <c r="AA172" s="364"/>
    </row>
    <row r="173" spans="1:27" ht="24" hidden="1" customHeight="1" x14ac:dyDescent="0.2">
      <c r="A173" s="82">
        <v>25</v>
      </c>
      <c r="B173" s="512"/>
      <c r="C173" s="28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>
        <f t="shared" si="24"/>
        <v>0</v>
      </c>
      <c r="S173" s="159"/>
      <c r="T173" s="159"/>
      <c r="U173" s="159"/>
      <c r="W173" s="159"/>
      <c r="X173" s="165">
        <f t="shared" si="21"/>
        <v>0</v>
      </c>
      <c r="Y173" s="243">
        <f t="shared" si="22"/>
        <v>0</v>
      </c>
      <c r="Z173" s="159"/>
      <c r="AA173" s="364"/>
    </row>
    <row r="174" spans="1:27" ht="24" hidden="1" customHeight="1" x14ac:dyDescent="0.2">
      <c r="A174" s="82">
        <v>26</v>
      </c>
      <c r="B174" s="512"/>
      <c r="C174" s="28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>
        <f t="shared" si="24"/>
        <v>0</v>
      </c>
      <c r="S174" s="159"/>
      <c r="T174" s="159"/>
      <c r="U174" s="159"/>
      <c r="W174" s="159"/>
      <c r="X174" s="165">
        <f t="shared" si="21"/>
        <v>0</v>
      </c>
      <c r="Y174" s="243">
        <f t="shared" si="22"/>
        <v>0</v>
      </c>
      <c r="Z174" s="159"/>
      <c r="AA174" s="364"/>
    </row>
    <row r="175" spans="1:27" ht="24" hidden="1" customHeight="1" x14ac:dyDescent="0.2">
      <c r="A175" s="82">
        <v>27</v>
      </c>
      <c r="B175" s="512"/>
      <c r="C175" s="28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>
        <f t="shared" si="24"/>
        <v>0</v>
      </c>
      <c r="S175" s="159"/>
      <c r="T175" s="159"/>
      <c r="U175" s="159"/>
      <c r="W175" s="159"/>
      <c r="X175" s="165">
        <f t="shared" si="21"/>
        <v>0</v>
      </c>
      <c r="Y175" s="243">
        <f t="shared" si="22"/>
        <v>0</v>
      </c>
      <c r="Z175" s="159"/>
      <c r="AA175" s="364"/>
    </row>
    <row r="176" spans="1:27" ht="24" hidden="1" customHeight="1" x14ac:dyDescent="0.2">
      <c r="A176" s="82">
        <v>28</v>
      </c>
      <c r="B176" s="512"/>
      <c r="C176" s="28"/>
      <c r="D176" s="159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>
        <f t="shared" si="24"/>
        <v>0</v>
      </c>
      <c r="S176" s="159"/>
      <c r="T176" s="159"/>
      <c r="U176" s="159"/>
      <c r="W176" s="159"/>
      <c r="X176" s="165">
        <f t="shared" si="21"/>
        <v>0</v>
      </c>
      <c r="Y176" s="243">
        <f t="shared" si="22"/>
        <v>0</v>
      </c>
      <c r="Z176" s="159"/>
      <c r="AA176" s="364"/>
    </row>
    <row r="177" spans="1:27" ht="24" hidden="1" customHeight="1" x14ac:dyDescent="0.2">
      <c r="A177" s="82">
        <v>29</v>
      </c>
      <c r="B177" s="512"/>
      <c r="C177" s="28"/>
      <c r="D177" s="159"/>
      <c r="E177" s="159"/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>
        <f t="shared" si="24"/>
        <v>0</v>
      </c>
      <c r="S177" s="159"/>
      <c r="T177" s="159"/>
      <c r="U177" s="159"/>
      <c r="W177" s="159"/>
      <c r="X177" s="165">
        <f t="shared" si="21"/>
        <v>0</v>
      </c>
      <c r="Y177" s="243">
        <f t="shared" si="22"/>
        <v>0</v>
      </c>
      <c r="Z177" s="159"/>
      <c r="AA177" s="364"/>
    </row>
    <row r="178" spans="1:27" ht="24" hidden="1" customHeight="1" x14ac:dyDescent="0.2">
      <c r="A178" s="82">
        <v>30</v>
      </c>
      <c r="B178" s="512"/>
      <c r="C178" s="28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>
        <f t="shared" si="24"/>
        <v>0</v>
      </c>
      <c r="S178" s="159"/>
      <c r="T178" s="159"/>
      <c r="U178" s="159"/>
      <c r="W178" s="159"/>
      <c r="X178" s="165">
        <f t="shared" si="21"/>
        <v>0</v>
      </c>
      <c r="Y178" s="243">
        <f t="shared" si="22"/>
        <v>0</v>
      </c>
      <c r="Z178" s="159"/>
      <c r="AA178" s="364"/>
    </row>
    <row r="179" spans="1:27" ht="24" hidden="1" customHeight="1" x14ac:dyDescent="0.2">
      <c r="A179" s="82">
        <v>31</v>
      </c>
      <c r="B179" s="512"/>
      <c r="C179" s="41"/>
      <c r="D179" s="159"/>
      <c r="E179" s="159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>
        <f t="shared" si="24"/>
        <v>0</v>
      </c>
      <c r="S179" s="159"/>
      <c r="T179" s="159"/>
      <c r="U179" s="159"/>
      <c r="W179" s="159"/>
      <c r="X179" s="165">
        <f t="shared" si="21"/>
        <v>0</v>
      </c>
      <c r="Y179" s="243">
        <f t="shared" si="22"/>
        <v>0</v>
      </c>
      <c r="Z179" s="159"/>
      <c r="AA179" s="364"/>
    </row>
    <row r="180" spans="1:27" ht="24" hidden="1" customHeight="1" x14ac:dyDescent="0.2">
      <c r="A180" s="82">
        <v>32</v>
      </c>
      <c r="B180" s="512"/>
      <c r="C180" s="28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>
        <f t="shared" si="24"/>
        <v>0</v>
      </c>
      <c r="S180" s="159"/>
      <c r="T180" s="159"/>
      <c r="U180" s="159"/>
      <c r="W180" s="159"/>
      <c r="X180" s="165">
        <f t="shared" si="21"/>
        <v>0</v>
      </c>
      <c r="Y180" s="243">
        <f t="shared" si="22"/>
        <v>0</v>
      </c>
      <c r="Z180" s="159"/>
      <c r="AA180" s="364"/>
    </row>
    <row r="181" spans="1:27" ht="24" hidden="1" customHeight="1" x14ac:dyDescent="0.2">
      <c r="A181" s="82">
        <v>33</v>
      </c>
      <c r="B181" s="512"/>
      <c r="C181" s="28"/>
      <c r="D181" s="159"/>
      <c r="E181" s="159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>
        <f t="shared" si="24"/>
        <v>0</v>
      </c>
      <c r="S181" s="159"/>
      <c r="T181" s="159"/>
      <c r="U181" s="159"/>
      <c r="W181" s="159"/>
      <c r="X181" s="165">
        <f t="shared" si="21"/>
        <v>0</v>
      </c>
      <c r="Y181" s="243">
        <f t="shared" si="22"/>
        <v>0</v>
      </c>
      <c r="Z181" s="159"/>
      <c r="AA181" s="364"/>
    </row>
    <row r="182" spans="1:27" ht="24" hidden="1" customHeight="1" x14ac:dyDescent="0.2">
      <c r="A182" s="82">
        <v>34</v>
      </c>
      <c r="B182" s="512"/>
      <c r="C182" s="28"/>
      <c r="D182" s="159"/>
      <c r="E182" s="159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>
        <f t="shared" si="24"/>
        <v>0</v>
      </c>
      <c r="S182" s="159"/>
      <c r="T182" s="164"/>
      <c r="U182" s="164"/>
      <c r="W182" s="159"/>
      <c r="X182" s="165">
        <f t="shared" si="21"/>
        <v>0</v>
      </c>
      <c r="Y182" s="243">
        <f t="shared" si="22"/>
        <v>0</v>
      </c>
      <c r="Z182" s="164"/>
      <c r="AA182" s="364"/>
    </row>
    <row r="183" spans="1:27" ht="24" hidden="1" customHeight="1" x14ac:dyDescent="0.2">
      <c r="A183" s="82">
        <v>35</v>
      </c>
      <c r="B183" s="512"/>
      <c r="C183" s="41"/>
      <c r="D183" s="159"/>
      <c r="E183" s="159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>
        <f t="shared" si="24"/>
        <v>0</v>
      </c>
      <c r="S183" s="159"/>
      <c r="T183" s="159"/>
      <c r="U183" s="159"/>
      <c r="V183" s="159"/>
      <c r="W183" s="159"/>
      <c r="X183" s="165">
        <f t="shared" si="21"/>
        <v>0</v>
      </c>
      <c r="Y183" s="243">
        <f t="shared" si="22"/>
        <v>0</v>
      </c>
      <c r="Z183" s="339"/>
      <c r="AA183" s="364"/>
    </row>
    <row r="184" spans="1:27" ht="24" hidden="1" customHeight="1" x14ac:dyDescent="0.2">
      <c r="A184" s="82">
        <v>36</v>
      </c>
      <c r="B184" s="512"/>
      <c r="C184" s="28"/>
      <c r="D184" s="159"/>
      <c r="E184" s="159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>
        <f t="shared" si="24"/>
        <v>0</v>
      </c>
      <c r="S184" s="159"/>
      <c r="T184" s="159"/>
      <c r="U184" s="159"/>
      <c r="V184" s="159"/>
      <c r="W184" s="159"/>
      <c r="X184" s="165">
        <f t="shared" si="21"/>
        <v>0</v>
      </c>
      <c r="Y184" s="243">
        <f t="shared" si="22"/>
        <v>0</v>
      </c>
      <c r="Z184" s="339"/>
      <c r="AA184" s="364"/>
    </row>
    <row r="185" spans="1:27" ht="24" hidden="1" customHeight="1" x14ac:dyDescent="0.2">
      <c r="A185" s="82">
        <v>37</v>
      </c>
      <c r="B185" s="512"/>
      <c r="C185" s="28"/>
      <c r="D185" s="159"/>
      <c r="E185" s="159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>
        <f t="shared" si="24"/>
        <v>0</v>
      </c>
      <c r="S185" s="159"/>
      <c r="T185" s="159"/>
      <c r="U185" s="159"/>
      <c r="V185" s="159"/>
      <c r="W185" s="159"/>
      <c r="X185" s="165">
        <f t="shared" si="21"/>
        <v>0</v>
      </c>
      <c r="Y185" s="243">
        <f t="shared" si="22"/>
        <v>0</v>
      </c>
      <c r="Z185" s="339"/>
      <c r="AA185" s="364"/>
    </row>
    <row r="186" spans="1:27" ht="24" hidden="1" customHeight="1" x14ac:dyDescent="0.2">
      <c r="A186" s="82"/>
      <c r="B186" s="503"/>
      <c r="C186" s="28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>
        <f t="shared" si="24"/>
        <v>0</v>
      </c>
      <c r="S186" s="159"/>
      <c r="T186" s="159"/>
      <c r="U186" s="159"/>
      <c r="V186" s="159"/>
      <c r="W186" s="159"/>
      <c r="X186" s="165">
        <f t="shared" si="21"/>
        <v>0</v>
      </c>
      <c r="Y186" s="511">
        <f t="shared" si="22"/>
        <v>0</v>
      </c>
      <c r="Z186" s="339"/>
      <c r="AA186" s="364"/>
    </row>
    <row r="187" spans="1:27" ht="24" hidden="1" customHeight="1" x14ac:dyDescent="0.2">
      <c r="A187" s="82"/>
      <c r="B187" s="503"/>
      <c r="C187" s="41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>
        <f t="shared" si="24"/>
        <v>0</v>
      </c>
      <c r="S187" s="159"/>
      <c r="T187" s="159"/>
      <c r="U187" s="159"/>
      <c r="V187" s="159"/>
      <c r="W187" s="159"/>
      <c r="X187" s="165">
        <f t="shared" si="21"/>
        <v>0</v>
      </c>
      <c r="Y187" s="243">
        <f t="shared" si="22"/>
        <v>0</v>
      </c>
      <c r="Z187" s="339"/>
      <c r="AA187" s="364"/>
    </row>
    <row r="188" spans="1:27" ht="24" hidden="1" customHeight="1" x14ac:dyDescent="0.2">
      <c r="A188" s="82"/>
      <c r="B188" s="504"/>
      <c r="C188" s="28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>
        <f t="shared" si="24"/>
        <v>0</v>
      </c>
      <c r="S188" s="159"/>
      <c r="T188" s="159"/>
      <c r="U188" s="159"/>
      <c r="V188" s="159"/>
      <c r="W188" s="159"/>
      <c r="X188" s="165">
        <f t="shared" si="21"/>
        <v>0</v>
      </c>
      <c r="Y188" s="243">
        <f t="shared" si="22"/>
        <v>0</v>
      </c>
      <c r="Z188" s="339"/>
      <c r="AA188" s="364"/>
    </row>
    <row r="189" spans="1:27" ht="24" hidden="1" customHeight="1" x14ac:dyDescent="0.2">
      <c r="A189" s="82"/>
      <c r="B189" s="504"/>
      <c r="C189" s="33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>
        <f t="shared" si="24"/>
        <v>0</v>
      </c>
      <c r="S189" s="159"/>
      <c r="T189" s="159"/>
      <c r="U189" s="159"/>
      <c r="V189" s="159"/>
      <c r="W189" s="159"/>
      <c r="X189" s="165">
        <f t="shared" si="21"/>
        <v>0</v>
      </c>
      <c r="Y189" s="243">
        <f t="shared" si="22"/>
        <v>0</v>
      </c>
      <c r="Z189" s="339"/>
      <c r="AA189" s="364"/>
    </row>
    <row r="190" spans="1:27" ht="24" hidden="1" customHeight="1" x14ac:dyDescent="0.2">
      <c r="A190" s="82"/>
      <c r="B190" s="504"/>
      <c r="C190" s="41"/>
      <c r="D190" s="159"/>
      <c r="E190" s="159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>
        <f t="shared" si="24"/>
        <v>0</v>
      </c>
      <c r="S190" s="159"/>
      <c r="T190" s="159"/>
      <c r="U190" s="159"/>
      <c r="V190" s="159"/>
      <c r="W190" s="159"/>
      <c r="X190" s="165">
        <f t="shared" si="21"/>
        <v>0</v>
      </c>
      <c r="Y190" s="243">
        <f t="shared" si="22"/>
        <v>0</v>
      </c>
      <c r="Z190" s="339"/>
      <c r="AA190" s="364"/>
    </row>
    <row r="191" spans="1:27" ht="24" hidden="1" customHeight="1" x14ac:dyDescent="0.2">
      <c r="A191" s="82"/>
      <c r="B191" s="503"/>
      <c r="C191" s="41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>
        <f t="shared" si="24"/>
        <v>0</v>
      </c>
      <c r="S191" s="159"/>
      <c r="T191" s="159"/>
      <c r="U191" s="159"/>
      <c r="V191" s="159"/>
      <c r="W191" s="159"/>
      <c r="X191" s="165">
        <f t="shared" si="21"/>
        <v>0</v>
      </c>
      <c r="Y191" s="243">
        <f t="shared" si="22"/>
        <v>0</v>
      </c>
      <c r="Z191" s="339"/>
      <c r="AA191" s="364"/>
    </row>
    <row r="192" spans="1:27" ht="24" hidden="1" customHeight="1" x14ac:dyDescent="0.2">
      <c r="A192" s="82"/>
      <c r="B192" s="503"/>
      <c r="C192" s="28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>
        <f t="shared" si="24"/>
        <v>0</v>
      </c>
      <c r="S192" s="159"/>
      <c r="T192" s="159"/>
      <c r="U192" s="159"/>
      <c r="V192" s="159"/>
      <c r="W192" s="159"/>
      <c r="X192" s="165">
        <f t="shared" si="21"/>
        <v>0</v>
      </c>
      <c r="Y192" s="243">
        <f t="shared" si="22"/>
        <v>0</v>
      </c>
      <c r="Z192" s="339"/>
      <c r="AA192" s="364"/>
    </row>
    <row r="193" spans="1:27" ht="24" hidden="1" customHeight="1" x14ac:dyDescent="0.2">
      <c r="A193" s="82"/>
      <c r="B193" s="503"/>
      <c r="C193" s="28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>
        <f t="shared" si="24"/>
        <v>0</v>
      </c>
      <c r="S193" s="159"/>
      <c r="T193" s="164"/>
      <c r="U193" s="164"/>
      <c r="V193" s="164"/>
      <c r="W193" s="159"/>
      <c r="X193" s="165">
        <f t="shared" si="21"/>
        <v>0</v>
      </c>
      <c r="Y193" s="243">
        <f t="shared" si="22"/>
        <v>0</v>
      </c>
      <c r="Z193" s="339"/>
      <c r="AA193" s="364"/>
    </row>
    <row r="194" spans="1:27" ht="24" hidden="1" customHeight="1" x14ac:dyDescent="0.2">
      <c r="A194" s="82"/>
      <c r="B194" s="503"/>
      <c r="C194" s="41"/>
      <c r="D194" s="159"/>
      <c r="E194" s="159"/>
      <c r="F194" s="159"/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>
        <f t="shared" si="24"/>
        <v>0</v>
      </c>
      <c r="S194" s="159"/>
      <c r="T194" s="159"/>
      <c r="U194" s="159"/>
      <c r="V194" s="159"/>
      <c r="W194" s="159"/>
      <c r="X194" s="165">
        <f t="shared" si="21"/>
        <v>0</v>
      </c>
      <c r="Y194" s="243">
        <f t="shared" si="22"/>
        <v>0</v>
      </c>
      <c r="Z194" s="339"/>
      <c r="AA194" s="364"/>
    </row>
    <row r="195" spans="1:27" ht="24" hidden="1" customHeight="1" x14ac:dyDescent="0.2">
      <c r="A195" s="82"/>
      <c r="B195" s="503"/>
      <c r="C195" s="41"/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>
        <f t="shared" si="24"/>
        <v>0</v>
      </c>
      <c r="S195" s="159"/>
      <c r="T195" s="159"/>
      <c r="U195" s="159"/>
      <c r="V195" s="159"/>
      <c r="W195" s="159"/>
      <c r="X195" s="165">
        <f t="shared" si="21"/>
        <v>0</v>
      </c>
      <c r="Y195" s="243">
        <f t="shared" si="22"/>
        <v>0</v>
      </c>
      <c r="Z195" s="339"/>
      <c r="AA195" s="364"/>
    </row>
    <row r="196" spans="1:27" ht="24" hidden="1" customHeight="1" x14ac:dyDescent="0.2">
      <c r="A196" s="82"/>
      <c r="B196" s="503"/>
      <c r="C196" s="28"/>
      <c r="D196" s="159"/>
      <c r="E196" s="159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>
        <f t="shared" si="24"/>
        <v>0</v>
      </c>
      <c r="S196" s="159"/>
      <c r="T196" s="159"/>
      <c r="U196" s="159"/>
      <c r="V196" s="159"/>
      <c r="W196" s="159"/>
      <c r="X196" s="165">
        <f t="shared" si="21"/>
        <v>0</v>
      </c>
      <c r="Y196" s="243">
        <f t="shared" si="22"/>
        <v>0</v>
      </c>
      <c r="Z196" s="339"/>
      <c r="AA196" s="364"/>
    </row>
    <row r="197" spans="1:27" ht="24" hidden="1" customHeight="1" x14ac:dyDescent="0.2">
      <c r="A197" s="82"/>
      <c r="B197" s="503"/>
      <c r="C197" s="28"/>
      <c r="D197" s="159"/>
      <c r="E197" s="159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>
        <f t="shared" si="24"/>
        <v>0</v>
      </c>
      <c r="S197" s="159"/>
      <c r="T197" s="164"/>
      <c r="U197" s="164"/>
      <c r="V197" s="164"/>
      <c r="W197" s="159"/>
      <c r="X197" s="165">
        <f t="shared" si="21"/>
        <v>0</v>
      </c>
      <c r="Y197" s="243">
        <f t="shared" si="22"/>
        <v>0</v>
      </c>
      <c r="Z197" s="339"/>
      <c r="AA197" s="364"/>
    </row>
    <row r="198" spans="1:27" ht="24" hidden="1" customHeight="1" x14ac:dyDescent="0.2">
      <c r="A198" s="82"/>
      <c r="B198" s="503"/>
      <c r="C198" s="28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>
        <f t="shared" si="24"/>
        <v>0</v>
      </c>
      <c r="S198" s="159"/>
      <c r="T198" s="159"/>
      <c r="U198" s="159"/>
      <c r="V198" s="159"/>
      <c r="W198" s="159"/>
      <c r="X198" s="165">
        <f t="shared" si="21"/>
        <v>0</v>
      </c>
      <c r="Y198" s="243">
        <f t="shared" si="22"/>
        <v>0</v>
      </c>
      <c r="Z198" s="339"/>
      <c r="AA198" s="364"/>
    </row>
    <row r="199" spans="1:27" ht="24" hidden="1" customHeight="1" x14ac:dyDescent="0.2">
      <c r="A199" s="82"/>
      <c r="B199" s="503"/>
      <c r="C199" s="41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>
        <f t="shared" si="24"/>
        <v>0</v>
      </c>
      <c r="S199" s="159"/>
      <c r="T199" s="164"/>
      <c r="U199" s="164"/>
      <c r="V199" s="164"/>
      <c r="W199" s="159"/>
      <c r="X199" s="165">
        <f t="shared" si="21"/>
        <v>0</v>
      </c>
      <c r="Y199" s="243">
        <f t="shared" si="22"/>
        <v>0</v>
      </c>
      <c r="Z199" s="339"/>
      <c r="AA199" s="364"/>
    </row>
    <row r="200" spans="1:27" ht="24" hidden="1" customHeight="1" x14ac:dyDescent="0.2">
      <c r="A200" s="82"/>
      <c r="B200" s="503"/>
      <c r="C200" s="28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>
        <f t="shared" si="24"/>
        <v>0</v>
      </c>
      <c r="S200" s="159"/>
      <c r="T200" s="159"/>
      <c r="U200" s="159"/>
      <c r="V200" s="159"/>
      <c r="W200" s="159"/>
      <c r="X200" s="165">
        <f t="shared" si="21"/>
        <v>0</v>
      </c>
      <c r="Y200" s="243">
        <f t="shared" si="22"/>
        <v>0</v>
      </c>
      <c r="Z200" s="339"/>
      <c r="AA200" s="364"/>
    </row>
    <row r="201" spans="1:27" ht="24" hidden="1" customHeight="1" x14ac:dyDescent="0.2">
      <c r="A201" s="82"/>
      <c r="B201" s="504"/>
      <c r="C201" s="33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>
        <f t="shared" si="24"/>
        <v>0</v>
      </c>
      <c r="S201" s="159"/>
      <c r="T201" s="159"/>
      <c r="U201" s="159"/>
      <c r="V201" s="159"/>
      <c r="W201" s="159"/>
      <c r="X201" s="165">
        <f t="shared" si="21"/>
        <v>0</v>
      </c>
      <c r="Y201" s="243">
        <f t="shared" si="22"/>
        <v>0</v>
      </c>
      <c r="Z201" s="339"/>
      <c r="AA201" s="364"/>
    </row>
    <row r="202" spans="1:27" ht="24" hidden="1" customHeight="1" x14ac:dyDescent="0.2">
      <c r="A202" s="231"/>
      <c r="B202" s="236"/>
      <c r="C202" s="28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>
        <f t="shared" si="24"/>
        <v>0</v>
      </c>
      <c r="S202" s="159"/>
      <c r="T202" s="159"/>
      <c r="U202" s="159"/>
      <c r="V202" s="159"/>
      <c r="W202" s="159"/>
      <c r="X202" s="165">
        <f t="shared" si="21"/>
        <v>0</v>
      </c>
      <c r="Y202" s="243">
        <f t="shared" si="22"/>
        <v>0</v>
      </c>
      <c r="Z202" s="339"/>
      <c r="AA202" s="364"/>
    </row>
    <row r="203" spans="1:27" ht="24" hidden="1" customHeight="1" x14ac:dyDescent="0.2">
      <c r="A203" s="231"/>
      <c r="B203" s="236"/>
      <c r="C203" s="28"/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>
        <f t="shared" si="24"/>
        <v>0</v>
      </c>
      <c r="S203" s="159"/>
      <c r="T203" s="159"/>
      <c r="U203" s="159"/>
      <c r="V203" s="159"/>
      <c r="W203" s="159"/>
      <c r="X203" s="165">
        <f t="shared" si="21"/>
        <v>0</v>
      </c>
      <c r="Y203" s="243">
        <f t="shared" si="22"/>
        <v>0</v>
      </c>
      <c r="Z203" s="339"/>
      <c r="AA203" s="364"/>
    </row>
    <row r="204" spans="1:27" ht="24" hidden="1" customHeight="1" x14ac:dyDescent="0.2">
      <c r="A204" s="82"/>
      <c r="B204" s="45"/>
      <c r="C204" s="33"/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>
        <f t="shared" si="24"/>
        <v>0</v>
      </c>
      <c r="S204" s="159"/>
      <c r="T204" s="159"/>
      <c r="U204" s="159"/>
      <c r="V204" s="159"/>
      <c r="W204" s="159"/>
      <c r="X204" s="165">
        <f t="shared" si="21"/>
        <v>0</v>
      </c>
      <c r="Y204" s="243">
        <f t="shared" si="22"/>
        <v>0</v>
      </c>
      <c r="Z204" s="339"/>
      <c r="AA204" s="364"/>
    </row>
    <row r="205" spans="1:27" ht="24" hidden="1" customHeight="1" x14ac:dyDescent="0.2">
      <c r="A205" s="82"/>
      <c r="B205" s="45"/>
      <c r="C205" s="33"/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>
        <f t="shared" si="24"/>
        <v>0</v>
      </c>
      <c r="S205" s="159"/>
      <c r="T205" s="159"/>
      <c r="U205" s="159"/>
      <c r="V205" s="159"/>
      <c r="W205" s="159"/>
      <c r="X205" s="165">
        <f t="shared" si="21"/>
        <v>0</v>
      </c>
      <c r="Y205" s="243">
        <f t="shared" si="22"/>
        <v>0</v>
      </c>
      <c r="Z205" s="339"/>
      <c r="AA205" s="364"/>
    </row>
    <row r="206" spans="1:27" ht="24" hidden="1" customHeight="1" x14ac:dyDescent="0.2">
      <c r="A206" s="82"/>
      <c r="B206" s="45"/>
      <c r="C206" s="28"/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59">
        <f t="shared" si="24"/>
        <v>0</v>
      </c>
      <c r="S206" s="159"/>
      <c r="T206" s="159"/>
      <c r="U206" s="159"/>
      <c r="V206" s="159"/>
      <c r="W206" s="159"/>
      <c r="X206" s="165">
        <f t="shared" si="21"/>
        <v>0</v>
      </c>
      <c r="Y206" s="243">
        <f t="shared" si="22"/>
        <v>0</v>
      </c>
      <c r="Z206" s="339"/>
      <c r="AA206" s="364"/>
    </row>
    <row r="207" spans="1:27" ht="24" hidden="1" customHeight="1" x14ac:dyDescent="0.2">
      <c r="A207" s="82"/>
      <c r="B207" s="32"/>
      <c r="C207" s="34"/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>
        <f t="shared" si="24"/>
        <v>0</v>
      </c>
      <c r="S207" s="159"/>
      <c r="T207" s="159"/>
      <c r="U207" s="159"/>
      <c r="V207" s="159"/>
      <c r="W207" s="159"/>
      <c r="X207" s="165">
        <f t="shared" si="21"/>
        <v>0</v>
      </c>
      <c r="Y207" s="243">
        <f t="shared" si="22"/>
        <v>0</v>
      </c>
      <c r="Z207" s="339"/>
      <c r="AA207" s="364"/>
    </row>
    <row r="208" spans="1:27" ht="24" hidden="1" customHeight="1" x14ac:dyDescent="0.2">
      <c r="A208" s="82"/>
      <c r="B208" s="32"/>
      <c r="C208" s="34"/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>
        <f t="shared" si="24"/>
        <v>0</v>
      </c>
      <c r="S208" s="159"/>
      <c r="T208" s="159"/>
      <c r="U208" s="159"/>
      <c r="V208" s="159"/>
      <c r="W208" s="159"/>
      <c r="X208" s="165">
        <f t="shared" si="21"/>
        <v>0</v>
      </c>
      <c r="Y208" s="243">
        <f t="shared" si="22"/>
        <v>0</v>
      </c>
      <c r="Z208" s="339"/>
      <c r="AA208" s="364"/>
    </row>
    <row r="209" spans="1:27" ht="24" hidden="1" customHeight="1" x14ac:dyDescent="0.2">
      <c r="A209" s="82"/>
      <c r="B209" s="32"/>
      <c r="C209" s="34"/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>
        <f t="shared" si="24"/>
        <v>0</v>
      </c>
      <c r="S209" s="159"/>
      <c r="T209" s="159"/>
      <c r="U209" s="159"/>
      <c r="V209" s="159"/>
      <c r="W209" s="159"/>
      <c r="X209" s="165">
        <f t="shared" si="21"/>
        <v>0</v>
      </c>
      <c r="Y209" s="243">
        <f t="shared" si="22"/>
        <v>0</v>
      </c>
      <c r="Z209" s="339"/>
      <c r="AA209" s="364"/>
    </row>
    <row r="210" spans="1:27" ht="24" hidden="1" customHeight="1" x14ac:dyDescent="0.2">
      <c r="A210" s="82"/>
      <c r="B210" s="32"/>
      <c r="C210" s="34"/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>
        <f t="shared" si="24"/>
        <v>0</v>
      </c>
      <c r="S210" s="159"/>
      <c r="T210" s="159"/>
      <c r="U210" s="159"/>
      <c r="V210" s="159"/>
      <c r="W210" s="159"/>
      <c r="X210" s="165">
        <f t="shared" si="21"/>
        <v>0</v>
      </c>
      <c r="Y210" s="243">
        <f t="shared" si="22"/>
        <v>0</v>
      </c>
      <c r="Z210" s="339"/>
      <c r="AA210" s="364"/>
    </row>
    <row r="211" spans="1:27" ht="24" hidden="1" customHeight="1" x14ac:dyDescent="0.2">
      <c r="A211" s="82"/>
      <c r="B211" s="31"/>
      <c r="C211" s="41"/>
      <c r="D211" s="164"/>
      <c r="E211" s="164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>
        <f t="shared" si="24"/>
        <v>0</v>
      </c>
      <c r="S211" s="159"/>
      <c r="T211" s="159"/>
      <c r="U211" s="159"/>
      <c r="V211" s="159"/>
      <c r="W211" s="159"/>
      <c r="X211" s="165">
        <f t="shared" si="21"/>
        <v>0</v>
      </c>
      <c r="Y211" s="243">
        <f t="shared" si="22"/>
        <v>0</v>
      </c>
      <c r="Z211" s="339"/>
      <c r="AA211" s="364"/>
    </row>
    <row r="212" spans="1:27" ht="24" hidden="1" customHeight="1" x14ac:dyDescent="0.2">
      <c r="A212" s="82"/>
      <c r="B212" s="31"/>
      <c r="C212" s="41"/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>
        <f t="shared" si="24"/>
        <v>0</v>
      </c>
      <c r="S212" s="159"/>
      <c r="T212" s="159"/>
      <c r="U212" s="159"/>
      <c r="V212" s="159"/>
      <c r="W212" s="159"/>
      <c r="X212" s="165">
        <f t="shared" si="21"/>
        <v>0</v>
      </c>
      <c r="Y212" s="243">
        <f t="shared" si="22"/>
        <v>0</v>
      </c>
      <c r="Z212" s="339"/>
      <c r="AA212" s="364"/>
    </row>
    <row r="213" spans="1:27" ht="24" hidden="1" customHeight="1" x14ac:dyDescent="0.2">
      <c r="A213" s="82"/>
      <c r="B213" s="31"/>
      <c r="C213" s="41"/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>
        <f t="shared" si="24"/>
        <v>0</v>
      </c>
      <c r="S213" s="159"/>
      <c r="T213" s="159"/>
      <c r="U213" s="159"/>
      <c r="V213" s="159"/>
      <c r="W213" s="159"/>
      <c r="X213" s="165">
        <f t="shared" si="21"/>
        <v>0</v>
      </c>
      <c r="Y213" s="243">
        <f t="shared" si="22"/>
        <v>0</v>
      </c>
      <c r="Z213" s="339"/>
      <c r="AA213" s="364"/>
    </row>
    <row r="214" spans="1:27" ht="24" hidden="1" customHeight="1" x14ac:dyDescent="0.2">
      <c r="A214" s="82"/>
      <c r="B214" s="31"/>
      <c r="C214" s="41"/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>
        <f t="shared" si="24"/>
        <v>0</v>
      </c>
      <c r="S214" s="159"/>
      <c r="T214" s="159"/>
      <c r="U214" s="159"/>
      <c r="V214" s="159"/>
      <c r="W214" s="159"/>
      <c r="X214" s="165">
        <f t="shared" si="21"/>
        <v>0</v>
      </c>
      <c r="Y214" s="243">
        <f t="shared" si="22"/>
        <v>0</v>
      </c>
      <c r="Z214" s="339"/>
      <c r="AA214" s="364"/>
    </row>
    <row r="215" spans="1:27" ht="24" hidden="1" customHeight="1" x14ac:dyDescent="0.2">
      <c r="A215" s="82"/>
      <c r="B215" s="106"/>
      <c r="C215" s="28"/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>
        <f t="shared" si="24"/>
        <v>0</v>
      </c>
      <c r="S215" s="159"/>
      <c r="T215" s="159"/>
      <c r="U215" s="159"/>
      <c r="V215" s="159"/>
      <c r="W215" s="159"/>
      <c r="X215" s="165">
        <f t="shared" si="21"/>
        <v>0</v>
      </c>
      <c r="Y215" s="243">
        <f t="shared" si="22"/>
        <v>0</v>
      </c>
      <c r="Z215" s="339"/>
      <c r="AA215" s="364"/>
    </row>
    <row r="216" spans="1:27" ht="24" hidden="1" customHeight="1" x14ac:dyDescent="0.2">
      <c r="A216" s="82"/>
      <c r="B216" s="84"/>
      <c r="C216" s="41"/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>
        <f t="shared" si="24"/>
        <v>0</v>
      </c>
      <c r="S216" s="159"/>
      <c r="T216" s="159"/>
      <c r="U216" s="159"/>
      <c r="V216" s="159"/>
      <c r="W216" s="159"/>
      <c r="X216" s="165">
        <f t="shared" si="21"/>
        <v>0</v>
      </c>
      <c r="Y216" s="243">
        <f t="shared" si="22"/>
        <v>0</v>
      </c>
      <c r="Z216" s="339"/>
      <c r="AA216" s="364"/>
    </row>
    <row r="217" spans="1:27" ht="24" hidden="1" customHeight="1" x14ac:dyDescent="0.2">
      <c r="A217" s="82"/>
      <c r="B217" s="31"/>
      <c r="C217" s="41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>
        <f t="shared" si="24"/>
        <v>0</v>
      </c>
      <c r="S217" s="159"/>
      <c r="T217" s="159"/>
      <c r="U217" s="159"/>
      <c r="V217" s="159"/>
      <c r="W217" s="159"/>
      <c r="X217" s="165">
        <f t="shared" si="21"/>
        <v>0</v>
      </c>
      <c r="Y217" s="243">
        <f t="shared" si="22"/>
        <v>0</v>
      </c>
      <c r="Z217" s="339"/>
      <c r="AA217" s="364"/>
    </row>
    <row r="218" spans="1:27" ht="24" hidden="1" customHeight="1" x14ac:dyDescent="0.2">
      <c r="A218" s="82"/>
      <c r="B218" s="31"/>
      <c r="C218" s="41"/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>
        <f t="shared" si="24"/>
        <v>0</v>
      </c>
      <c r="S218" s="159"/>
      <c r="T218" s="159"/>
      <c r="U218" s="159"/>
      <c r="V218" s="159"/>
      <c r="W218" s="159"/>
      <c r="X218" s="165">
        <f t="shared" si="21"/>
        <v>0</v>
      </c>
      <c r="Y218" s="243">
        <f t="shared" si="22"/>
        <v>0</v>
      </c>
      <c r="Z218" s="339"/>
      <c r="AA218" s="364"/>
    </row>
    <row r="219" spans="1:27" ht="24" hidden="1" customHeight="1" x14ac:dyDescent="0.2">
      <c r="A219" s="82"/>
      <c r="B219" s="31"/>
      <c r="C219" s="41"/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>
        <f t="shared" si="24"/>
        <v>0</v>
      </c>
      <c r="S219" s="159"/>
      <c r="T219" s="159"/>
      <c r="U219" s="159"/>
      <c r="V219" s="159"/>
      <c r="W219" s="159"/>
      <c r="X219" s="165">
        <f t="shared" si="21"/>
        <v>0</v>
      </c>
      <c r="Y219" s="243">
        <f t="shared" si="22"/>
        <v>0</v>
      </c>
      <c r="Z219" s="339"/>
      <c r="AA219" s="364"/>
    </row>
    <row r="220" spans="1:27" ht="24" hidden="1" customHeight="1" x14ac:dyDescent="0.2">
      <c r="A220" s="82"/>
      <c r="B220" s="30"/>
      <c r="C220" s="28"/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>
        <f t="shared" si="24"/>
        <v>0</v>
      </c>
      <c r="S220" s="159"/>
      <c r="T220" s="159"/>
      <c r="U220" s="159"/>
      <c r="V220" s="159"/>
      <c r="W220" s="159"/>
      <c r="X220" s="165">
        <f t="shared" si="21"/>
        <v>0</v>
      </c>
      <c r="Y220" s="243">
        <f t="shared" si="22"/>
        <v>0</v>
      </c>
      <c r="Z220" s="339"/>
      <c r="AA220" s="364"/>
    </row>
    <row r="221" spans="1:27" ht="24" hidden="1" customHeight="1" x14ac:dyDescent="0.2">
      <c r="A221" s="130"/>
      <c r="B221" s="106"/>
      <c r="C221" s="107"/>
      <c r="D221" s="168"/>
      <c r="E221" s="168"/>
      <c r="F221" s="168"/>
      <c r="G221" s="168"/>
      <c r="H221" s="168"/>
      <c r="I221" s="168"/>
      <c r="J221" s="168"/>
      <c r="K221" s="168"/>
      <c r="L221" s="168"/>
      <c r="M221" s="168"/>
      <c r="N221" s="168"/>
      <c r="O221" s="168"/>
      <c r="P221" s="168"/>
      <c r="Q221" s="168"/>
      <c r="R221" s="168">
        <f t="shared" si="24"/>
        <v>0</v>
      </c>
      <c r="S221" s="168"/>
      <c r="T221" s="168"/>
      <c r="U221" s="168"/>
      <c r="V221" s="168"/>
      <c r="W221" s="168"/>
      <c r="X221" s="487">
        <f t="shared" si="21"/>
        <v>0</v>
      </c>
      <c r="Y221" s="380">
        <f t="shared" si="22"/>
        <v>0</v>
      </c>
      <c r="Z221" s="395"/>
      <c r="AA221" s="364"/>
    </row>
    <row r="222" spans="1:27" ht="24" hidden="1" customHeight="1" x14ac:dyDescent="0.2">
      <c r="A222" s="82"/>
      <c r="B222" s="84"/>
      <c r="C222" s="41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>
        <f t="shared" si="24"/>
        <v>0</v>
      </c>
      <c r="S222" s="159"/>
      <c r="T222" s="159"/>
      <c r="U222" s="159"/>
      <c r="V222" s="159"/>
      <c r="W222" s="159"/>
      <c r="X222" s="165">
        <f t="shared" si="21"/>
        <v>0</v>
      </c>
      <c r="Y222" s="243">
        <f t="shared" si="22"/>
        <v>0</v>
      </c>
      <c r="Z222" s="339"/>
      <c r="AA222" s="364"/>
    </row>
    <row r="223" spans="1:27" ht="24" hidden="1" customHeight="1" x14ac:dyDescent="0.2">
      <c r="A223" s="82"/>
      <c r="B223" s="31"/>
      <c r="C223" s="41" t="s">
        <v>69</v>
      </c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>
        <f t="shared" si="24"/>
        <v>0</v>
      </c>
      <c r="S223" s="159"/>
      <c r="T223" s="159"/>
      <c r="U223" s="159"/>
      <c r="V223" s="159"/>
      <c r="W223" s="159"/>
      <c r="X223" s="165">
        <f t="shared" ref="X223:X333" si="27">SUM(T223:W223)</f>
        <v>0</v>
      </c>
      <c r="Y223" s="243">
        <f t="shared" ref="Y223:Y333" si="28">R223+X223</f>
        <v>0</v>
      </c>
      <c r="Z223" s="339"/>
      <c r="AA223" s="364"/>
    </row>
    <row r="224" spans="1:27" ht="17.25" hidden="1" customHeight="1" thickBot="1" x14ac:dyDescent="0.25">
      <c r="A224" s="82"/>
      <c r="B224" s="106"/>
      <c r="C224" s="107"/>
      <c r="D224" s="108"/>
      <c r="E224" s="108"/>
      <c r="F224" s="72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>
        <f t="shared" si="24"/>
        <v>0</v>
      </c>
      <c r="S224" s="108"/>
      <c r="T224" s="108"/>
      <c r="U224" s="108"/>
      <c r="V224" s="108"/>
      <c r="W224" s="108"/>
      <c r="X224" s="109">
        <f t="shared" si="27"/>
        <v>0</v>
      </c>
      <c r="Y224" s="381">
        <f t="shared" si="28"/>
        <v>0</v>
      </c>
      <c r="Z224" s="396"/>
      <c r="AA224" s="356"/>
    </row>
    <row r="225" spans="1:28" ht="24" hidden="1" customHeight="1" thickTop="1" thickBot="1" x14ac:dyDescent="0.25">
      <c r="A225" s="42"/>
      <c r="B225" s="111" t="s">
        <v>176</v>
      </c>
      <c r="C225" s="44" t="s">
        <v>19</v>
      </c>
      <c r="D225" s="508">
        <f t="shared" ref="D225:Q225" si="29">SUM(D149:D224)</f>
        <v>0</v>
      </c>
      <c r="E225" s="508">
        <f t="shared" si="29"/>
        <v>0</v>
      </c>
      <c r="F225" s="508">
        <f t="shared" si="29"/>
        <v>0</v>
      </c>
      <c r="G225" s="508">
        <f t="shared" si="29"/>
        <v>0</v>
      </c>
      <c r="H225" s="508">
        <f t="shared" si="29"/>
        <v>0</v>
      </c>
      <c r="I225" s="508">
        <f t="shared" si="29"/>
        <v>0</v>
      </c>
      <c r="J225" s="508">
        <f t="shared" si="29"/>
        <v>0</v>
      </c>
      <c r="K225" s="508">
        <f t="shared" si="29"/>
        <v>0</v>
      </c>
      <c r="L225" s="508">
        <f t="shared" si="29"/>
        <v>0</v>
      </c>
      <c r="M225" s="508">
        <f t="shared" si="29"/>
        <v>0</v>
      </c>
      <c r="N225" s="508">
        <f t="shared" si="29"/>
        <v>0</v>
      </c>
      <c r="O225" s="508">
        <f t="shared" si="29"/>
        <v>0</v>
      </c>
      <c r="P225" s="508">
        <f t="shared" si="29"/>
        <v>0</v>
      </c>
      <c r="Q225" s="508">
        <f t="shared" si="29"/>
        <v>0</v>
      </c>
      <c r="R225" s="508">
        <f t="shared" si="24"/>
        <v>0</v>
      </c>
      <c r="S225" s="508"/>
      <c r="T225" s="508">
        <f>SUM(T149:T224)</f>
        <v>0</v>
      </c>
      <c r="U225" s="508">
        <f>SUM(U149:U224)</f>
        <v>0</v>
      </c>
      <c r="V225" s="508">
        <f>SUM(V149:V224)</f>
        <v>0</v>
      </c>
      <c r="W225" s="508">
        <f>SUM(W149:W224)</f>
        <v>0</v>
      </c>
      <c r="X225" s="509">
        <f t="shared" si="27"/>
        <v>0</v>
      </c>
      <c r="Y225" s="509">
        <f t="shared" si="28"/>
        <v>0</v>
      </c>
      <c r="Z225" s="510">
        <f>SUM(Z149:Z224)</f>
        <v>0</v>
      </c>
      <c r="AA225" s="365"/>
    </row>
    <row r="226" spans="1:28" ht="16.5" hidden="1" customHeight="1" thickTop="1" x14ac:dyDescent="0.2">
      <c r="A226" s="82"/>
      <c r="B226" s="31"/>
      <c r="C226" s="41"/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>
        <f t="shared" si="24"/>
        <v>0</v>
      </c>
      <c r="S226" s="159"/>
      <c r="T226" s="159"/>
      <c r="U226" s="159"/>
      <c r="V226" s="159"/>
      <c r="W226" s="159"/>
      <c r="X226" s="165">
        <f t="shared" si="27"/>
        <v>0</v>
      </c>
      <c r="Y226" s="243">
        <f t="shared" si="28"/>
        <v>0</v>
      </c>
      <c r="Z226" s="339"/>
      <c r="AA226" s="364"/>
    </row>
    <row r="227" spans="1:28" ht="16.5" hidden="1" customHeight="1" x14ac:dyDescent="0.2">
      <c r="A227" s="82"/>
      <c r="B227" s="32"/>
      <c r="C227" s="41"/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>
        <f t="shared" si="24"/>
        <v>0</v>
      </c>
      <c r="S227" s="159"/>
      <c r="T227" s="159"/>
      <c r="U227" s="159"/>
      <c r="V227" s="159"/>
      <c r="W227" s="159"/>
      <c r="X227" s="165">
        <f t="shared" si="27"/>
        <v>0</v>
      </c>
      <c r="Y227" s="243">
        <f t="shared" si="28"/>
        <v>0</v>
      </c>
      <c r="Z227" s="339"/>
      <c r="AA227" s="364"/>
    </row>
    <row r="228" spans="1:28" ht="16.5" hidden="1" customHeight="1" x14ac:dyDescent="0.2">
      <c r="A228" s="82"/>
      <c r="B228" s="31"/>
      <c r="C228" s="41"/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59">
        <f t="shared" si="24"/>
        <v>0</v>
      </c>
      <c r="S228" s="159"/>
      <c r="T228" s="159"/>
      <c r="U228" s="159"/>
      <c r="V228" s="159"/>
      <c r="W228" s="159"/>
      <c r="X228" s="165">
        <f t="shared" si="27"/>
        <v>0</v>
      </c>
      <c r="Y228" s="243">
        <f t="shared" si="28"/>
        <v>0</v>
      </c>
      <c r="Z228" s="339"/>
      <c r="AA228" s="364"/>
    </row>
    <row r="229" spans="1:28" ht="16.5" hidden="1" customHeight="1" x14ac:dyDescent="0.2">
      <c r="A229" s="82"/>
      <c r="B229" s="31"/>
      <c r="C229" s="41"/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>
        <f t="shared" si="24"/>
        <v>0</v>
      </c>
      <c r="S229" s="159"/>
      <c r="T229" s="159"/>
      <c r="U229" s="159"/>
      <c r="V229" s="159"/>
      <c r="W229" s="159"/>
      <c r="X229" s="165">
        <f t="shared" si="27"/>
        <v>0</v>
      </c>
      <c r="Y229" s="243">
        <f t="shared" si="28"/>
        <v>0</v>
      </c>
      <c r="Z229" s="339"/>
      <c r="AA229" s="364"/>
    </row>
    <row r="230" spans="1:28" ht="16.5" hidden="1" customHeight="1" x14ac:dyDescent="0.2">
      <c r="A230" s="82"/>
      <c r="B230" s="32"/>
      <c r="C230" s="41"/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59">
        <f t="shared" ref="R230:R333" si="30">SUM(D230:Q230)</f>
        <v>0</v>
      </c>
      <c r="S230" s="159"/>
      <c r="T230" s="159"/>
      <c r="U230" s="159"/>
      <c r="V230" s="159"/>
      <c r="W230" s="159"/>
      <c r="X230" s="165">
        <f t="shared" si="27"/>
        <v>0</v>
      </c>
      <c r="Y230" s="243">
        <f t="shared" si="28"/>
        <v>0</v>
      </c>
      <c r="Z230" s="339"/>
      <c r="AA230" s="364"/>
    </row>
    <row r="231" spans="1:28" ht="16.5" hidden="1" customHeight="1" x14ac:dyDescent="0.2">
      <c r="A231" s="82"/>
      <c r="B231" s="31"/>
      <c r="C231" s="41"/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59">
        <f t="shared" si="30"/>
        <v>0</v>
      </c>
      <c r="S231" s="159"/>
      <c r="T231" s="159"/>
      <c r="U231" s="159"/>
      <c r="V231" s="159"/>
      <c r="W231" s="159"/>
      <c r="X231" s="165">
        <f t="shared" si="27"/>
        <v>0</v>
      </c>
      <c r="Y231" s="243">
        <f t="shared" si="28"/>
        <v>0</v>
      </c>
      <c r="Z231" s="339"/>
      <c r="AA231" s="364"/>
    </row>
    <row r="232" spans="1:28" ht="16.5" hidden="1" customHeight="1" x14ac:dyDescent="0.2">
      <c r="A232" s="82"/>
      <c r="B232" s="31"/>
      <c r="C232" s="41"/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>
        <f t="shared" si="30"/>
        <v>0</v>
      </c>
      <c r="S232" s="159"/>
      <c r="T232" s="159"/>
      <c r="U232" s="159"/>
      <c r="V232" s="159"/>
      <c r="W232" s="159"/>
      <c r="X232" s="165">
        <f t="shared" si="27"/>
        <v>0</v>
      </c>
      <c r="Y232" s="243">
        <f t="shared" si="28"/>
        <v>0</v>
      </c>
      <c r="Z232" s="339"/>
      <c r="AA232" s="364"/>
    </row>
    <row r="233" spans="1:28" ht="17.25" hidden="1" customHeight="1" thickBot="1" x14ac:dyDescent="0.25">
      <c r="A233" s="82"/>
      <c r="B233" s="31"/>
      <c r="C233" s="41"/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>
        <f t="shared" si="30"/>
        <v>0</v>
      </c>
      <c r="S233" s="159"/>
      <c r="T233" s="159"/>
      <c r="U233" s="159"/>
      <c r="V233" s="159"/>
      <c r="W233" s="159"/>
      <c r="X233" s="165">
        <f t="shared" si="27"/>
        <v>0</v>
      </c>
      <c r="Y233" s="243">
        <f t="shared" si="28"/>
        <v>0</v>
      </c>
      <c r="Z233" s="339"/>
      <c r="AA233" s="364"/>
    </row>
    <row r="234" spans="1:28" ht="18.75" hidden="1" customHeight="1" thickTop="1" thickBot="1" x14ac:dyDescent="0.25">
      <c r="A234" s="110"/>
      <c r="B234" s="112" t="s">
        <v>63</v>
      </c>
      <c r="C234" s="44"/>
      <c r="D234" s="166">
        <f t="shared" ref="D234:I234" si="31">SUM(D226:D230)</f>
        <v>0</v>
      </c>
      <c r="E234" s="166">
        <f t="shared" si="31"/>
        <v>0</v>
      </c>
      <c r="F234" s="166">
        <f t="shared" si="31"/>
        <v>0</v>
      </c>
      <c r="G234" s="166">
        <f t="shared" si="31"/>
        <v>0</v>
      </c>
      <c r="H234" s="166">
        <f t="shared" si="31"/>
        <v>0</v>
      </c>
      <c r="I234" s="166">
        <f t="shared" si="31"/>
        <v>0</v>
      </c>
      <c r="J234" s="166">
        <f>SUM(J226:J230)</f>
        <v>0</v>
      </c>
      <c r="K234" s="166">
        <f t="shared" ref="K234:W234" si="32">SUM(K226:K230)</f>
        <v>0</v>
      </c>
      <c r="L234" s="166">
        <f t="shared" si="32"/>
        <v>0</v>
      </c>
      <c r="M234" s="166">
        <f t="shared" si="32"/>
        <v>0</v>
      </c>
      <c r="N234" s="166">
        <f t="shared" si="32"/>
        <v>0</v>
      </c>
      <c r="O234" s="166">
        <f t="shared" si="32"/>
        <v>0</v>
      </c>
      <c r="P234" s="166">
        <f t="shared" si="32"/>
        <v>0</v>
      </c>
      <c r="Q234" s="166">
        <f t="shared" si="32"/>
        <v>0</v>
      </c>
      <c r="R234" s="166">
        <f t="shared" si="30"/>
        <v>0</v>
      </c>
      <c r="S234" s="166"/>
      <c r="T234" s="166">
        <f t="shared" si="32"/>
        <v>0</v>
      </c>
      <c r="U234" s="166">
        <f>SUM(U226:U230)</f>
        <v>0</v>
      </c>
      <c r="V234" s="166">
        <f>SUM(V226:V230)</f>
        <v>0</v>
      </c>
      <c r="W234" s="166">
        <f t="shared" si="32"/>
        <v>0</v>
      </c>
      <c r="X234" s="169">
        <f t="shared" si="27"/>
        <v>0</v>
      </c>
      <c r="Y234" s="169">
        <f t="shared" si="28"/>
        <v>0</v>
      </c>
      <c r="Z234" s="276">
        <f>SUM(Z226:Z230)</f>
        <v>0</v>
      </c>
      <c r="AA234" s="365"/>
    </row>
    <row r="235" spans="1:28" ht="24" hidden="1" customHeight="1" thickTop="1" thickBot="1" x14ac:dyDescent="0.25">
      <c r="A235" s="42"/>
      <c r="B235" s="336" t="s">
        <v>177</v>
      </c>
      <c r="C235" s="44" t="s">
        <v>151</v>
      </c>
      <c r="D235" s="263">
        <f t="shared" ref="D235:Q235" si="33">D148+D225+D234</f>
        <v>154018</v>
      </c>
      <c r="E235" s="263">
        <f t="shared" si="33"/>
        <v>36396</v>
      </c>
      <c r="F235" s="263">
        <f t="shared" si="33"/>
        <v>4730285.9090000009</v>
      </c>
      <c r="G235" s="263">
        <f t="shared" si="33"/>
        <v>197440</v>
      </c>
      <c r="H235" s="263">
        <f t="shared" si="33"/>
        <v>150591.49600000001</v>
      </c>
      <c r="I235" s="263">
        <f t="shared" si="33"/>
        <v>52112</v>
      </c>
      <c r="J235" s="263">
        <f t="shared" si="33"/>
        <v>685330</v>
      </c>
      <c r="K235" s="263">
        <f t="shared" si="33"/>
        <v>2855229.594</v>
      </c>
      <c r="L235" s="263">
        <f t="shared" si="33"/>
        <v>3011496</v>
      </c>
      <c r="M235" s="263">
        <f t="shared" si="33"/>
        <v>37208</v>
      </c>
      <c r="N235" s="263">
        <f t="shared" si="33"/>
        <v>57843</v>
      </c>
      <c r="O235" s="263">
        <f t="shared" si="33"/>
        <v>10000</v>
      </c>
      <c r="P235" s="263">
        <f t="shared" si="33"/>
        <v>0</v>
      </c>
      <c r="Q235" s="263">
        <f t="shared" si="33"/>
        <v>563293</v>
      </c>
      <c r="R235" s="263">
        <f t="shared" si="30"/>
        <v>12541242.999000002</v>
      </c>
      <c r="S235" s="263"/>
      <c r="T235" s="263">
        <f>T148+T225+T234</f>
        <v>0</v>
      </c>
      <c r="U235" s="263">
        <f>U148+U225+U234</f>
        <v>3740000</v>
      </c>
      <c r="V235" s="263">
        <f>V148+V225+V234</f>
        <v>66267.035000000003</v>
      </c>
      <c r="W235" s="263">
        <f>W148+W225+W234</f>
        <v>0</v>
      </c>
      <c r="X235" s="263">
        <f t="shared" si="27"/>
        <v>3806267.0350000001</v>
      </c>
      <c r="Y235" s="263">
        <f t="shared" si="28"/>
        <v>16347510.034000002</v>
      </c>
      <c r="Z235" s="239">
        <f>Z148+Z225+Z234</f>
        <v>6436382.5250000004</v>
      </c>
      <c r="AA235" s="363"/>
      <c r="AB235" s="85"/>
    </row>
    <row r="236" spans="1:28" ht="24.95" hidden="1" customHeight="1" thickTop="1" x14ac:dyDescent="0.2">
      <c r="A236" s="187"/>
      <c r="B236" s="188" t="s">
        <v>180</v>
      </c>
      <c r="C236" s="136" t="s">
        <v>18</v>
      </c>
      <c r="D236" s="240">
        <f t="shared" ref="D236:W236" si="34">D235</f>
        <v>154018</v>
      </c>
      <c r="E236" s="240">
        <f t="shared" si="34"/>
        <v>36396</v>
      </c>
      <c r="F236" s="240">
        <f t="shared" si="34"/>
        <v>4730285.9090000009</v>
      </c>
      <c r="G236" s="240">
        <f t="shared" si="34"/>
        <v>197440</v>
      </c>
      <c r="H236" s="240">
        <f t="shared" si="34"/>
        <v>150591.49600000001</v>
      </c>
      <c r="I236" s="240">
        <f t="shared" si="34"/>
        <v>52112</v>
      </c>
      <c r="J236" s="240">
        <f t="shared" si="34"/>
        <v>685330</v>
      </c>
      <c r="K236" s="240">
        <f t="shared" si="34"/>
        <v>2855229.594</v>
      </c>
      <c r="L236" s="240">
        <f t="shared" si="34"/>
        <v>3011496</v>
      </c>
      <c r="M236" s="240">
        <f t="shared" si="34"/>
        <v>37208</v>
      </c>
      <c r="N236" s="240">
        <f t="shared" si="34"/>
        <v>57843</v>
      </c>
      <c r="O236" s="240">
        <f t="shared" si="34"/>
        <v>10000</v>
      </c>
      <c r="P236" s="240">
        <f t="shared" si="34"/>
        <v>0</v>
      </c>
      <c r="Q236" s="240">
        <f t="shared" si="34"/>
        <v>563293</v>
      </c>
      <c r="R236" s="240">
        <f t="shared" si="30"/>
        <v>12541242.999000002</v>
      </c>
      <c r="S236" s="240"/>
      <c r="T236" s="240">
        <f t="shared" si="34"/>
        <v>0</v>
      </c>
      <c r="U236" s="240">
        <f t="shared" si="34"/>
        <v>3740000</v>
      </c>
      <c r="V236" s="240">
        <f t="shared" si="34"/>
        <v>66267.035000000003</v>
      </c>
      <c r="W236" s="240">
        <f t="shared" si="34"/>
        <v>0</v>
      </c>
      <c r="X236" s="502">
        <f t="shared" si="27"/>
        <v>3806267.0350000001</v>
      </c>
      <c r="Y236" s="382">
        <f t="shared" si="28"/>
        <v>16347510.034000002</v>
      </c>
      <c r="Z236" s="397">
        <f>Z235</f>
        <v>6436382.5250000004</v>
      </c>
      <c r="AA236" s="357"/>
    </row>
    <row r="237" spans="1:28" ht="24.95" hidden="1" customHeight="1" x14ac:dyDescent="0.2">
      <c r="A237" s="82">
        <v>1</v>
      </c>
      <c r="B237" s="120"/>
      <c r="C237" s="28"/>
      <c r="D237" s="164"/>
      <c r="E237" s="164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>
        <f t="shared" si="30"/>
        <v>0</v>
      </c>
      <c r="S237" s="159"/>
      <c r="T237" s="159"/>
      <c r="U237" s="159"/>
      <c r="V237" s="159"/>
      <c r="W237" s="159"/>
      <c r="X237" s="165">
        <f t="shared" si="27"/>
        <v>0</v>
      </c>
      <c r="Y237" s="243">
        <f t="shared" si="28"/>
        <v>0</v>
      </c>
      <c r="Z237" s="339"/>
      <c r="AA237" s="364"/>
    </row>
    <row r="238" spans="1:28" ht="24.95" hidden="1" customHeight="1" x14ac:dyDescent="0.2">
      <c r="A238" s="82">
        <v>2</v>
      </c>
      <c r="B238" s="120"/>
      <c r="C238" s="28"/>
      <c r="D238" s="164"/>
      <c r="E238" s="164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>
        <f t="shared" si="30"/>
        <v>0</v>
      </c>
      <c r="S238" s="159"/>
      <c r="T238" s="159"/>
      <c r="U238" s="159"/>
      <c r="V238" s="159"/>
      <c r="W238" s="159"/>
      <c r="X238" s="165">
        <f t="shared" si="27"/>
        <v>0</v>
      </c>
      <c r="Y238" s="243">
        <f t="shared" si="28"/>
        <v>0</v>
      </c>
      <c r="Z238" s="339"/>
      <c r="AA238" s="364"/>
    </row>
    <row r="239" spans="1:28" ht="24.95" hidden="1" customHeight="1" x14ac:dyDescent="0.2">
      <c r="A239" s="82">
        <v>3</v>
      </c>
      <c r="B239" s="120"/>
      <c r="C239" s="28"/>
      <c r="D239" s="164"/>
      <c r="E239" s="164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>
        <f t="shared" si="30"/>
        <v>0</v>
      </c>
      <c r="S239" s="159"/>
      <c r="T239" s="159"/>
      <c r="U239" s="159"/>
      <c r="V239" s="159"/>
      <c r="W239" s="159"/>
      <c r="X239" s="165">
        <f t="shared" si="27"/>
        <v>0</v>
      </c>
      <c r="Y239" s="243">
        <f t="shared" si="28"/>
        <v>0</v>
      </c>
      <c r="Z239" s="339"/>
      <c r="AA239" s="364"/>
    </row>
    <row r="240" spans="1:28" ht="24.95" hidden="1" customHeight="1" x14ac:dyDescent="0.2">
      <c r="A240" s="82">
        <v>4</v>
      </c>
      <c r="B240" s="120"/>
      <c r="C240" s="28"/>
      <c r="D240" s="164"/>
      <c r="E240" s="164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>
        <f t="shared" si="30"/>
        <v>0</v>
      </c>
      <c r="S240" s="159"/>
      <c r="T240" s="159"/>
      <c r="U240" s="159"/>
      <c r="V240" s="159"/>
      <c r="W240" s="159"/>
      <c r="X240" s="165">
        <f t="shared" si="27"/>
        <v>0</v>
      </c>
      <c r="Y240" s="243">
        <f t="shared" si="28"/>
        <v>0</v>
      </c>
      <c r="Z240" s="339"/>
      <c r="AA240" s="364"/>
    </row>
    <row r="241" spans="1:27" ht="24.95" hidden="1" customHeight="1" x14ac:dyDescent="0.2">
      <c r="A241" s="82">
        <v>5</v>
      </c>
      <c r="B241" s="120"/>
      <c r="C241" s="28"/>
      <c r="D241" s="164"/>
      <c r="E241" s="164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59"/>
      <c r="R241" s="159">
        <f t="shared" si="30"/>
        <v>0</v>
      </c>
      <c r="S241" s="159"/>
      <c r="T241" s="159"/>
      <c r="U241" s="159"/>
      <c r="V241" s="159"/>
      <c r="W241" s="159"/>
      <c r="X241" s="165">
        <f t="shared" si="27"/>
        <v>0</v>
      </c>
      <c r="Y241" s="243">
        <f t="shared" si="28"/>
        <v>0</v>
      </c>
      <c r="Z241" s="339"/>
      <c r="AA241" s="364"/>
    </row>
    <row r="242" spans="1:27" ht="24.95" hidden="1" customHeight="1" x14ac:dyDescent="0.2">
      <c r="A242" s="82">
        <v>6</v>
      </c>
      <c r="B242" s="27"/>
      <c r="C242" s="28"/>
      <c r="D242" s="164"/>
      <c r="E242" s="164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>
        <f t="shared" si="30"/>
        <v>0</v>
      </c>
      <c r="S242" s="159"/>
      <c r="T242" s="159"/>
      <c r="U242" s="159"/>
      <c r="V242" s="159"/>
      <c r="W242" s="159"/>
      <c r="X242" s="165">
        <f t="shared" si="27"/>
        <v>0</v>
      </c>
      <c r="Y242" s="243">
        <f t="shared" si="28"/>
        <v>0</v>
      </c>
      <c r="Z242" s="339"/>
      <c r="AA242" s="364"/>
    </row>
    <row r="243" spans="1:27" ht="24.95" hidden="1" customHeight="1" x14ac:dyDescent="0.2">
      <c r="A243" s="82">
        <v>7</v>
      </c>
      <c r="B243" s="27"/>
      <c r="C243" s="28"/>
      <c r="D243" s="164"/>
      <c r="E243" s="164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>
        <f t="shared" si="30"/>
        <v>0</v>
      </c>
      <c r="S243" s="159"/>
      <c r="T243" s="159"/>
      <c r="U243" s="159"/>
      <c r="V243" s="159"/>
      <c r="W243" s="159"/>
      <c r="X243" s="165">
        <f t="shared" si="27"/>
        <v>0</v>
      </c>
      <c r="Y243" s="243">
        <f t="shared" si="28"/>
        <v>0</v>
      </c>
      <c r="Z243" s="339"/>
      <c r="AA243" s="364"/>
    </row>
    <row r="244" spans="1:27" ht="24.95" hidden="1" customHeight="1" x14ac:dyDescent="0.2">
      <c r="A244" s="82">
        <v>8</v>
      </c>
      <c r="B244" s="27"/>
      <c r="C244" s="28"/>
      <c r="D244" s="164"/>
      <c r="E244" s="164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>
        <f t="shared" si="30"/>
        <v>0</v>
      </c>
      <c r="S244" s="159"/>
      <c r="T244" s="159"/>
      <c r="U244" s="159"/>
      <c r="V244" s="159"/>
      <c r="W244" s="159"/>
      <c r="X244" s="165">
        <f t="shared" si="27"/>
        <v>0</v>
      </c>
      <c r="Y244" s="243">
        <f t="shared" si="28"/>
        <v>0</v>
      </c>
      <c r="Z244" s="339"/>
      <c r="AA244" s="364"/>
    </row>
    <row r="245" spans="1:27" ht="24.95" hidden="1" customHeight="1" x14ac:dyDescent="0.2">
      <c r="A245" s="82">
        <v>9</v>
      </c>
      <c r="B245" s="30"/>
      <c r="C245" s="28"/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>
        <f t="shared" si="30"/>
        <v>0</v>
      </c>
      <c r="S245" s="159"/>
      <c r="T245" s="159"/>
      <c r="U245" s="159"/>
      <c r="V245" s="159"/>
      <c r="W245" s="159"/>
      <c r="X245" s="165">
        <f t="shared" si="27"/>
        <v>0</v>
      </c>
      <c r="Y245" s="243">
        <f t="shared" si="28"/>
        <v>0</v>
      </c>
      <c r="Z245" s="339"/>
      <c r="AA245" s="364"/>
    </row>
    <row r="246" spans="1:27" ht="24.95" hidden="1" customHeight="1" x14ac:dyDescent="0.2">
      <c r="A246" s="82">
        <v>10</v>
      </c>
      <c r="B246" s="30"/>
      <c r="C246" s="88"/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>
        <f t="shared" si="30"/>
        <v>0</v>
      </c>
      <c r="S246" s="159"/>
      <c r="T246" s="159"/>
      <c r="U246" s="159"/>
      <c r="V246" s="159"/>
      <c r="W246" s="159"/>
      <c r="X246" s="165">
        <f t="shared" si="27"/>
        <v>0</v>
      </c>
      <c r="Y246" s="243">
        <f t="shared" si="28"/>
        <v>0</v>
      </c>
      <c r="Z246" s="339"/>
      <c r="AA246" s="364"/>
    </row>
    <row r="247" spans="1:27" ht="24.95" hidden="1" customHeight="1" x14ac:dyDescent="0.2">
      <c r="A247" s="82">
        <v>11</v>
      </c>
      <c r="B247" s="30"/>
      <c r="C247" s="28"/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>
        <f t="shared" si="30"/>
        <v>0</v>
      </c>
      <c r="S247" s="159"/>
      <c r="T247" s="159"/>
      <c r="U247" s="159"/>
      <c r="V247" s="159"/>
      <c r="W247" s="159"/>
      <c r="X247" s="165">
        <f t="shared" si="27"/>
        <v>0</v>
      </c>
      <c r="Y247" s="243">
        <f t="shared" si="28"/>
        <v>0</v>
      </c>
      <c r="Z247" s="339"/>
      <c r="AA247" s="364"/>
    </row>
    <row r="248" spans="1:27" ht="24.95" hidden="1" customHeight="1" x14ac:dyDescent="0.2">
      <c r="A248" s="82">
        <v>12</v>
      </c>
      <c r="B248" s="30"/>
      <c r="C248" s="28"/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>
        <f t="shared" si="30"/>
        <v>0</v>
      </c>
      <c r="S248" s="159"/>
      <c r="T248" s="159"/>
      <c r="U248" s="159"/>
      <c r="V248" s="159"/>
      <c r="W248" s="159"/>
      <c r="X248" s="165">
        <f t="shared" si="27"/>
        <v>0</v>
      </c>
      <c r="Y248" s="243">
        <f t="shared" si="28"/>
        <v>0</v>
      </c>
      <c r="Z248" s="339"/>
      <c r="AA248" s="364"/>
    </row>
    <row r="249" spans="1:27" ht="24.95" hidden="1" customHeight="1" x14ac:dyDescent="0.2">
      <c r="A249" s="82">
        <v>13</v>
      </c>
      <c r="B249" s="45"/>
      <c r="C249" s="88"/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>
        <f t="shared" si="30"/>
        <v>0</v>
      </c>
      <c r="S249" s="159"/>
      <c r="T249" s="159"/>
      <c r="U249" s="159"/>
      <c r="V249" s="159"/>
      <c r="W249" s="159"/>
      <c r="X249" s="165">
        <f t="shared" si="27"/>
        <v>0</v>
      </c>
      <c r="Y249" s="243">
        <f t="shared" si="28"/>
        <v>0</v>
      </c>
      <c r="Z249" s="339"/>
      <c r="AA249" s="364"/>
    </row>
    <row r="250" spans="1:27" ht="24.95" hidden="1" customHeight="1" x14ac:dyDescent="0.2">
      <c r="A250" s="82">
        <v>14</v>
      </c>
      <c r="B250" s="45"/>
      <c r="C250" s="28"/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>
        <f t="shared" si="30"/>
        <v>0</v>
      </c>
      <c r="S250" s="159"/>
      <c r="T250" s="159"/>
      <c r="U250" s="159"/>
      <c r="V250" s="159"/>
      <c r="W250" s="159"/>
      <c r="X250" s="165">
        <f t="shared" si="27"/>
        <v>0</v>
      </c>
      <c r="Y250" s="243">
        <f t="shared" si="28"/>
        <v>0</v>
      </c>
      <c r="Z250" s="339"/>
      <c r="AA250" s="364"/>
    </row>
    <row r="251" spans="1:27" ht="24.95" hidden="1" customHeight="1" x14ac:dyDescent="0.2">
      <c r="A251" s="82">
        <v>15</v>
      </c>
      <c r="B251" s="45"/>
      <c r="C251" s="28"/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>
        <f t="shared" si="30"/>
        <v>0</v>
      </c>
      <c r="S251" s="159"/>
      <c r="T251" s="159"/>
      <c r="U251" s="159"/>
      <c r="V251" s="159"/>
      <c r="W251" s="159"/>
      <c r="X251" s="165">
        <f t="shared" si="27"/>
        <v>0</v>
      </c>
      <c r="Y251" s="243">
        <f t="shared" si="28"/>
        <v>0</v>
      </c>
      <c r="Z251" s="339"/>
      <c r="AA251" s="364"/>
    </row>
    <row r="252" spans="1:27" ht="24.95" hidden="1" customHeight="1" x14ac:dyDescent="0.2">
      <c r="A252" s="82">
        <v>16</v>
      </c>
      <c r="B252" s="45"/>
      <c r="C252" s="28"/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>
        <f t="shared" si="30"/>
        <v>0</v>
      </c>
      <c r="S252" s="159"/>
      <c r="T252" s="159"/>
      <c r="U252" s="159"/>
      <c r="V252" s="159"/>
      <c r="W252" s="159"/>
      <c r="X252" s="165">
        <f t="shared" si="27"/>
        <v>0</v>
      </c>
      <c r="Y252" s="243">
        <f t="shared" si="28"/>
        <v>0</v>
      </c>
      <c r="Z252" s="339"/>
      <c r="AA252" s="364"/>
    </row>
    <row r="253" spans="1:27" ht="24.95" hidden="1" customHeight="1" x14ac:dyDescent="0.2">
      <c r="A253" s="82">
        <v>17</v>
      </c>
      <c r="B253" s="45"/>
      <c r="C253" s="33"/>
      <c r="D253" s="159"/>
      <c r="E253" s="159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>
        <f t="shared" si="30"/>
        <v>0</v>
      </c>
      <c r="S253" s="159"/>
      <c r="T253" s="159"/>
      <c r="U253" s="159"/>
      <c r="V253" s="159"/>
      <c r="W253" s="159"/>
      <c r="X253" s="165">
        <f t="shared" si="27"/>
        <v>0</v>
      </c>
      <c r="Y253" s="243">
        <f t="shared" si="28"/>
        <v>0</v>
      </c>
      <c r="Z253" s="339"/>
      <c r="AA253" s="364"/>
    </row>
    <row r="254" spans="1:27" ht="24.95" hidden="1" customHeight="1" x14ac:dyDescent="0.2">
      <c r="A254" s="82">
        <v>18</v>
      </c>
      <c r="B254" s="45"/>
      <c r="C254" s="28"/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  <c r="Q254" s="159"/>
      <c r="R254" s="159">
        <f t="shared" si="30"/>
        <v>0</v>
      </c>
      <c r="S254" s="159"/>
      <c r="T254" s="159"/>
      <c r="U254" s="159"/>
      <c r="V254" s="159"/>
      <c r="W254" s="159"/>
      <c r="X254" s="165">
        <f t="shared" si="27"/>
        <v>0</v>
      </c>
      <c r="Y254" s="243">
        <f t="shared" si="28"/>
        <v>0</v>
      </c>
      <c r="Z254" s="339"/>
      <c r="AA254" s="364"/>
    </row>
    <row r="255" spans="1:27" ht="24.95" hidden="1" customHeight="1" x14ac:dyDescent="0.2">
      <c r="A255" s="82">
        <v>19</v>
      </c>
      <c r="B255" s="45"/>
      <c r="C255" s="33"/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  <c r="Q255" s="159"/>
      <c r="R255" s="159">
        <f t="shared" si="30"/>
        <v>0</v>
      </c>
      <c r="S255" s="159"/>
      <c r="T255" s="159"/>
      <c r="U255" s="159"/>
      <c r="V255" s="159"/>
      <c r="W255" s="159"/>
      <c r="X255" s="165">
        <f t="shared" si="27"/>
        <v>0</v>
      </c>
      <c r="Y255" s="243">
        <f t="shared" si="28"/>
        <v>0</v>
      </c>
      <c r="Z255" s="339"/>
      <c r="AA255" s="364"/>
    </row>
    <row r="256" spans="1:27" ht="24.95" hidden="1" customHeight="1" x14ac:dyDescent="0.2">
      <c r="A256" s="82">
        <v>20</v>
      </c>
      <c r="B256" s="45"/>
      <c r="C256" s="33"/>
      <c r="D256" s="159"/>
      <c r="E256" s="159"/>
      <c r="F256" s="159"/>
      <c r="G256" s="159"/>
      <c r="H256" s="159"/>
      <c r="I256" s="159"/>
      <c r="K256" s="159"/>
      <c r="L256" s="159"/>
      <c r="M256" s="159"/>
      <c r="N256" s="159"/>
      <c r="P256" s="159"/>
      <c r="Q256" s="159"/>
      <c r="R256" s="159">
        <f>SUM(D256:Q256)</f>
        <v>0</v>
      </c>
      <c r="S256" s="159"/>
      <c r="T256" s="159"/>
      <c r="U256" s="159"/>
      <c r="V256" s="159"/>
      <c r="W256" s="159"/>
      <c r="X256" s="165">
        <f t="shared" si="27"/>
        <v>0</v>
      </c>
      <c r="Y256" s="243">
        <f t="shared" si="28"/>
        <v>0</v>
      </c>
      <c r="Z256" s="339"/>
      <c r="AA256" s="364"/>
    </row>
    <row r="257" spans="1:27" ht="24.95" hidden="1" customHeight="1" x14ac:dyDescent="0.2">
      <c r="A257" s="82">
        <v>21</v>
      </c>
      <c r="B257" s="45"/>
      <c r="C257" s="28"/>
      <c r="D257" s="159"/>
      <c r="E257" s="159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  <c r="Q257" s="159"/>
      <c r="R257" s="159">
        <f t="shared" si="30"/>
        <v>0</v>
      </c>
      <c r="S257" s="159"/>
      <c r="T257" s="159"/>
      <c r="U257" s="159"/>
      <c r="V257" s="159"/>
      <c r="W257" s="159"/>
      <c r="X257" s="165">
        <f t="shared" si="27"/>
        <v>0</v>
      </c>
      <c r="Y257" s="243">
        <f t="shared" si="28"/>
        <v>0</v>
      </c>
      <c r="Z257" s="339"/>
      <c r="AA257" s="364"/>
    </row>
    <row r="258" spans="1:27" ht="24.95" hidden="1" customHeight="1" x14ac:dyDescent="0.2">
      <c r="A258" s="82">
        <v>22</v>
      </c>
      <c r="B258" s="45"/>
      <c r="C258" s="28"/>
      <c r="D258" s="159"/>
      <c r="E258" s="159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  <c r="Q258" s="159"/>
      <c r="R258" s="159">
        <f t="shared" si="30"/>
        <v>0</v>
      </c>
      <c r="S258" s="159"/>
      <c r="T258" s="159"/>
      <c r="U258" s="159"/>
      <c r="V258" s="159"/>
      <c r="W258" s="159"/>
      <c r="X258" s="165">
        <f t="shared" si="27"/>
        <v>0</v>
      </c>
      <c r="Y258" s="243">
        <f t="shared" si="28"/>
        <v>0</v>
      </c>
      <c r="Z258" s="339"/>
      <c r="AA258" s="364"/>
    </row>
    <row r="259" spans="1:27" ht="24.95" hidden="1" customHeight="1" x14ac:dyDescent="0.2">
      <c r="A259" s="82">
        <v>23</v>
      </c>
      <c r="B259" s="45"/>
      <c r="C259" s="33"/>
      <c r="D259" s="159"/>
      <c r="E259" s="159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>
        <f t="shared" si="30"/>
        <v>0</v>
      </c>
      <c r="S259" s="159"/>
      <c r="T259" s="159"/>
      <c r="U259" s="159"/>
      <c r="V259" s="159"/>
      <c r="W259" s="159"/>
      <c r="X259" s="165">
        <f t="shared" si="27"/>
        <v>0</v>
      </c>
      <c r="Y259" s="243">
        <f t="shared" si="28"/>
        <v>0</v>
      </c>
      <c r="Z259" s="339"/>
      <c r="AA259" s="364"/>
    </row>
    <row r="260" spans="1:27" ht="24.95" hidden="1" customHeight="1" x14ac:dyDescent="0.2">
      <c r="A260" s="82">
        <v>24</v>
      </c>
      <c r="B260" s="45"/>
      <c r="C260" s="33"/>
      <c r="D260" s="159"/>
      <c r="E260" s="159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  <c r="Q260" s="159"/>
      <c r="R260" s="159">
        <f t="shared" si="30"/>
        <v>0</v>
      </c>
      <c r="S260" s="159"/>
      <c r="T260" s="159"/>
      <c r="U260" s="159"/>
      <c r="V260" s="159"/>
      <c r="W260" s="159"/>
      <c r="X260" s="165">
        <f t="shared" si="27"/>
        <v>0</v>
      </c>
      <c r="Y260" s="243">
        <f t="shared" si="28"/>
        <v>0</v>
      </c>
      <c r="Z260" s="339"/>
      <c r="AA260" s="364"/>
    </row>
    <row r="261" spans="1:27" ht="24.95" hidden="1" customHeight="1" x14ac:dyDescent="0.2">
      <c r="A261" s="82">
        <v>25</v>
      </c>
      <c r="B261" s="545"/>
      <c r="C261" s="28"/>
      <c r="D261" s="159"/>
      <c r="E261" s="159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>
        <f t="shared" si="30"/>
        <v>0</v>
      </c>
      <c r="S261" s="159"/>
      <c r="T261" s="159"/>
      <c r="U261" s="159"/>
      <c r="V261" s="159"/>
      <c r="W261" s="159"/>
      <c r="X261" s="165">
        <f t="shared" si="27"/>
        <v>0</v>
      </c>
      <c r="Y261" s="243">
        <f t="shared" si="28"/>
        <v>0</v>
      </c>
      <c r="Z261" s="339"/>
      <c r="AA261" s="364"/>
    </row>
    <row r="262" spans="1:27" ht="24.95" hidden="1" customHeight="1" x14ac:dyDescent="0.2">
      <c r="A262" s="82">
        <v>26</v>
      </c>
      <c r="B262" s="45"/>
      <c r="C262" s="33"/>
      <c r="D262" s="159"/>
      <c r="E262" s="159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>
        <f t="shared" si="30"/>
        <v>0</v>
      </c>
      <c r="S262" s="159"/>
      <c r="T262" s="159"/>
      <c r="U262" s="159"/>
      <c r="V262" s="159"/>
      <c r="W262" s="159"/>
      <c r="X262" s="165">
        <f t="shared" si="27"/>
        <v>0</v>
      </c>
      <c r="Y262" s="243">
        <f t="shared" si="28"/>
        <v>0</v>
      </c>
      <c r="Z262" s="339"/>
      <c r="AA262" s="364"/>
    </row>
    <row r="263" spans="1:27" ht="24.95" hidden="1" customHeight="1" x14ac:dyDescent="0.2">
      <c r="A263" s="82">
        <v>27</v>
      </c>
      <c r="B263" s="30"/>
      <c r="C263" s="28"/>
      <c r="D263" s="159"/>
      <c r="E263" s="159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>
        <f t="shared" si="30"/>
        <v>0</v>
      </c>
      <c r="S263" s="159"/>
      <c r="T263" s="159"/>
      <c r="U263" s="159"/>
      <c r="V263" s="159"/>
      <c r="W263" s="159"/>
      <c r="X263" s="165">
        <f t="shared" si="27"/>
        <v>0</v>
      </c>
      <c r="Y263" s="243">
        <f t="shared" si="28"/>
        <v>0</v>
      </c>
      <c r="Z263" s="339"/>
      <c r="AA263" s="364"/>
    </row>
    <row r="264" spans="1:27" ht="24.95" hidden="1" customHeight="1" x14ac:dyDescent="0.2">
      <c r="A264" s="82">
        <v>28</v>
      </c>
      <c r="B264" s="45"/>
      <c r="C264" s="28"/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>
        <f t="shared" si="30"/>
        <v>0</v>
      </c>
      <c r="S264" s="159"/>
      <c r="T264" s="159"/>
      <c r="U264" s="159"/>
      <c r="V264" s="159"/>
      <c r="W264" s="159"/>
      <c r="X264" s="165">
        <f t="shared" si="27"/>
        <v>0</v>
      </c>
      <c r="Y264" s="243">
        <f t="shared" si="28"/>
        <v>0</v>
      </c>
      <c r="Z264" s="339"/>
      <c r="AA264" s="364"/>
    </row>
    <row r="265" spans="1:27" ht="24.95" hidden="1" customHeight="1" x14ac:dyDescent="0.2">
      <c r="A265" s="82">
        <v>29</v>
      </c>
      <c r="B265" s="45"/>
      <c r="C265" s="28"/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>
        <f t="shared" si="30"/>
        <v>0</v>
      </c>
      <c r="S265" s="159"/>
      <c r="T265" s="159"/>
      <c r="U265" s="159"/>
      <c r="V265" s="159"/>
      <c r="W265" s="159"/>
      <c r="X265" s="165">
        <f t="shared" si="27"/>
        <v>0</v>
      </c>
      <c r="Y265" s="243">
        <f t="shared" si="28"/>
        <v>0</v>
      </c>
      <c r="Z265" s="339"/>
      <c r="AA265" s="364"/>
    </row>
    <row r="266" spans="1:27" ht="24.95" hidden="1" customHeight="1" x14ac:dyDescent="0.2">
      <c r="A266" s="82">
        <v>30</v>
      </c>
      <c r="B266" s="234"/>
      <c r="C266" s="28"/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>
        <f t="shared" si="30"/>
        <v>0</v>
      </c>
      <c r="S266" s="159"/>
      <c r="T266" s="159"/>
      <c r="U266" s="159"/>
      <c r="V266" s="159"/>
      <c r="W266" s="159"/>
      <c r="X266" s="165">
        <f t="shared" si="27"/>
        <v>0</v>
      </c>
      <c r="Y266" s="243">
        <f t="shared" si="28"/>
        <v>0</v>
      </c>
      <c r="Z266" s="339"/>
      <c r="AA266" s="364"/>
    </row>
    <row r="267" spans="1:27" ht="24.95" hidden="1" customHeight="1" x14ac:dyDescent="0.2">
      <c r="A267" s="82">
        <v>31</v>
      </c>
      <c r="B267" s="234"/>
      <c r="C267" s="28"/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  <c r="Q267" s="159"/>
      <c r="R267" s="159">
        <f t="shared" si="30"/>
        <v>0</v>
      </c>
      <c r="S267" s="159"/>
      <c r="T267" s="159"/>
      <c r="U267" s="159"/>
      <c r="V267" s="159"/>
      <c r="W267" s="159"/>
      <c r="X267" s="165">
        <f t="shared" si="27"/>
        <v>0</v>
      </c>
      <c r="Y267" s="243">
        <f t="shared" si="28"/>
        <v>0</v>
      </c>
      <c r="Z267" s="339"/>
      <c r="AA267" s="364"/>
    </row>
    <row r="268" spans="1:27" ht="24.95" hidden="1" customHeight="1" x14ac:dyDescent="0.2">
      <c r="A268" s="82">
        <v>32</v>
      </c>
      <c r="B268" s="30"/>
      <c r="C268" s="88"/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  <c r="Q268" s="159"/>
      <c r="R268" s="159">
        <f t="shared" si="30"/>
        <v>0</v>
      </c>
      <c r="S268" s="159"/>
      <c r="T268" s="159"/>
      <c r="U268" s="159"/>
      <c r="V268" s="159"/>
      <c r="W268" s="159"/>
      <c r="X268" s="165">
        <f t="shared" si="27"/>
        <v>0</v>
      </c>
      <c r="Y268" s="243">
        <f t="shared" si="28"/>
        <v>0</v>
      </c>
      <c r="Z268" s="339"/>
      <c r="AA268" s="364"/>
    </row>
    <row r="269" spans="1:27" ht="24.95" hidden="1" customHeight="1" x14ac:dyDescent="0.2">
      <c r="A269" s="82">
        <v>33</v>
      </c>
      <c r="B269" s="30"/>
      <c r="C269" s="28"/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>
        <f t="shared" si="30"/>
        <v>0</v>
      </c>
      <c r="S269" s="159"/>
      <c r="T269" s="159"/>
      <c r="U269" s="159"/>
      <c r="V269" s="159"/>
      <c r="W269" s="159"/>
      <c r="X269" s="165">
        <f t="shared" si="27"/>
        <v>0</v>
      </c>
      <c r="Y269" s="243">
        <f t="shared" si="28"/>
        <v>0</v>
      </c>
      <c r="Z269" s="339"/>
      <c r="AA269" s="364"/>
    </row>
    <row r="270" spans="1:27" ht="24.95" hidden="1" customHeight="1" x14ac:dyDescent="0.2">
      <c r="A270" s="82">
        <v>34</v>
      </c>
      <c r="B270" s="234"/>
      <c r="C270" s="28"/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>
        <f t="shared" si="30"/>
        <v>0</v>
      </c>
      <c r="S270" s="159"/>
      <c r="T270" s="159"/>
      <c r="U270" s="159"/>
      <c r="V270" s="159"/>
      <c r="W270" s="159"/>
      <c r="X270" s="165">
        <f t="shared" si="27"/>
        <v>0</v>
      </c>
      <c r="Y270" s="243">
        <f t="shared" si="28"/>
        <v>0</v>
      </c>
      <c r="Z270" s="339"/>
      <c r="AA270" s="364"/>
    </row>
    <row r="271" spans="1:27" ht="24.95" hidden="1" customHeight="1" x14ac:dyDescent="0.2">
      <c r="A271" s="82">
        <v>35</v>
      </c>
      <c r="B271" s="30"/>
      <c r="C271" s="28"/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  <c r="Q271" s="159"/>
      <c r="R271" s="159">
        <f t="shared" si="30"/>
        <v>0</v>
      </c>
      <c r="S271" s="159"/>
      <c r="T271" s="159"/>
      <c r="U271" s="159"/>
      <c r="V271" s="159"/>
      <c r="W271" s="159"/>
      <c r="X271" s="165">
        <f t="shared" si="27"/>
        <v>0</v>
      </c>
      <c r="Y271" s="243">
        <f t="shared" si="28"/>
        <v>0</v>
      </c>
      <c r="Z271" s="339"/>
      <c r="AA271" s="364"/>
    </row>
    <row r="272" spans="1:27" ht="24.95" hidden="1" customHeight="1" x14ac:dyDescent="0.2">
      <c r="A272" s="82">
        <v>36</v>
      </c>
      <c r="B272" s="30"/>
      <c r="C272" s="28"/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>
        <f t="shared" si="30"/>
        <v>0</v>
      </c>
      <c r="S272" s="159"/>
      <c r="T272" s="159"/>
      <c r="U272" s="159"/>
      <c r="V272" s="159"/>
      <c r="W272" s="159"/>
      <c r="X272" s="165">
        <f t="shared" si="27"/>
        <v>0</v>
      </c>
      <c r="Y272" s="243">
        <f t="shared" si="28"/>
        <v>0</v>
      </c>
      <c r="Z272" s="339"/>
      <c r="AA272" s="364"/>
    </row>
    <row r="273" spans="1:27" ht="24.95" hidden="1" customHeight="1" x14ac:dyDescent="0.2">
      <c r="A273" s="82">
        <v>37</v>
      </c>
      <c r="B273" s="30"/>
      <c r="C273" s="28"/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>
        <f t="shared" si="30"/>
        <v>0</v>
      </c>
      <c r="S273" s="159"/>
      <c r="T273" s="159"/>
      <c r="U273" s="159"/>
      <c r="V273" s="159"/>
      <c r="W273" s="159"/>
      <c r="X273" s="165">
        <f t="shared" si="27"/>
        <v>0</v>
      </c>
      <c r="Y273" s="243">
        <f t="shared" si="28"/>
        <v>0</v>
      </c>
      <c r="Z273" s="339"/>
      <c r="AA273" s="364"/>
    </row>
    <row r="274" spans="1:27" ht="24.95" hidden="1" customHeight="1" x14ac:dyDescent="0.2">
      <c r="A274" s="82">
        <v>38</v>
      </c>
      <c r="B274" s="30"/>
      <c r="C274" s="28"/>
      <c r="D274" s="159"/>
      <c r="E274" s="159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>
        <f t="shared" si="30"/>
        <v>0</v>
      </c>
      <c r="S274" s="159"/>
      <c r="T274" s="159"/>
      <c r="U274" s="159"/>
      <c r="V274" s="159"/>
      <c r="W274" s="159"/>
      <c r="X274" s="165">
        <f t="shared" si="27"/>
        <v>0</v>
      </c>
      <c r="Y274" s="243">
        <f t="shared" si="28"/>
        <v>0</v>
      </c>
      <c r="Z274" s="339"/>
      <c r="AA274" s="364"/>
    </row>
    <row r="275" spans="1:27" ht="24.95" hidden="1" customHeight="1" x14ac:dyDescent="0.2">
      <c r="A275" s="82">
        <v>39</v>
      </c>
      <c r="B275" s="30"/>
      <c r="C275" s="28"/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  <c r="Q275" s="159"/>
      <c r="R275" s="159">
        <f t="shared" si="30"/>
        <v>0</v>
      </c>
      <c r="S275" s="159"/>
      <c r="T275" s="159"/>
      <c r="U275" s="159"/>
      <c r="V275" s="159"/>
      <c r="W275" s="159"/>
      <c r="X275" s="165">
        <f t="shared" si="27"/>
        <v>0</v>
      </c>
      <c r="Y275" s="243">
        <f t="shared" si="28"/>
        <v>0</v>
      </c>
      <c r="Z275" s="339"/>
      <c r="AA275" s="364"/>
    </row>
    <row r="276" spans="1:27" ht="24.95" hidden="1" customHeight="1" x14ac:dyDescent="0.2">
      <c r="A276" s="82">
        <v>40</v>
      </c>
      <c r="B276" s="30"/>
      <c r="C276" s="28"/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  <c r="Q276" s="159"/>
      <c r="R276" s="159">
        <f t="shared" si="30"/>
        <v>0</v>
      </c>
      <c r="S276" s="159"/>
      <c r="T276" s="159"/>
      <c r="U276" s="159"/>
      <c r="V276" s="159"/>
      <c r="W276" s="159"/>
      <c r="X276" s="165">
        <f t="shared" si="27"/>
        <v>0</v>
      </c>
      <c r="Y276" s="243">
        <f t="shared" si="28"/>
        <v>0</v>
      </c>
      <c r="Z276" s="339"/>
      <c r="AA276" s="364"/>
    </row>
    <row r="277" spans="1:27" ht="24.95" hidden="1" customHeight="1" x14ac:dyDescent="0.2">
      <c r="A277" s="82">
        <v>41</v>
      </c>
      <c r="B277" s="234"/>
      <c r="C277" s="28"/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  <c r="Q277" s="159"/>
      <c r="R277" s="159">
        <f t="shared" si="30"/>
        <v>0</v>
      </c>
      <c r="S277" s="159"/>
      <c r="T277" s="159"/>
      <c r="U277" s="159"/>
      <c r="V277" s="159"/>
      <c r="W277" s="159"/>
      <c r="X277" s="165">
        <f t="shared" si="27"/>
        <v>0</v>
      </c>
      <c r="Y277" s="243">
        <f t="shared" si="28"/>
        <v>0</v>
      </c>
      <c r="Z277" s="339"/>
      <c r="AA277" s="364"/>
    </row>
    <row r="278" spans="1:27" ht="24.95" hidden="1" customHeight="1" x14ac:dyDescent="0.2">
      <c r="A278" s="82">
        <v>42</v>
      </c>
      <c r="B278" s="30"/>
      <c r="C278" s="28"/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  <c r="Q278" s="159"/>
      <c r="R278" s="159">
        <f t="shared" si="30"/>
        <v>0</v>
      </c>
      <c r="S278" s="159"/>
      <c r="T278" s="159"/>
      <c r="U278" s="159"/>
      <c r="V278" s="159"/>
      <c r="W278" s="159"/>
      <c r="X278" s="165">
        <f t="shared" si="27"/>
        <v>0</v>
      </c>
      <c r="Y278" s="243">
        <f t="shared" si="28"/>
        <v>0</v>
      </c>
      <c r="Z278" s="339"/>
      <c r="AA278" s="364"/>
    </row>
    <row r="279" spans="1:27" ht="24.95" hidden="1" customHeight="1" x14ac:dyDescent="0.2">
      <c r="A279" s="82">
        <v>43</v>
      </c>
      <c r="B279" s="546"/>
      <c r="C279" s="28"/>
      <c r="D279" s="159"/>
      <c r="E279" s="159"/>
      <c r="F279" s="159"/>
      <c r="G279" s="159"/>
      <c r="H279" s="159"/>
      <c r="I279" s="159"/>
      <c r="J279" s="366"/>
      <c r="K279" s="159"/>
      <c r="L279" s="159"/>
      <c r="M279" s="159"/>
      <c r="N279" s="159"/>
      <c r="O279" s="159"/>
      <c r="P279" s="159"/>
      <c r="Q279" s="159"/>
      <c r="R279" s="159">
        <f t="shared" si="30"/>
        <v>0</v>
      </c>
      <c r="S279" s="159"/>
      <c r="T279" s="159"/>
      <c r="U279" s="159"/>
      <c r="V279" s="159"/>
      <c r="W279" s="159"/>
      <c r="X279" s="165">
        <f t="shared" si="27"/>
        <v>0</v>
      </c>
      <c r="Y279" s="243">
        <f t="shared" si="28"/>
        <v>0</v>
      </c>
      <c r="Z279" s="339"/>
      <c r="AA279" s="364"/>
    </row>
    <row r="280" spans="1:27" ht="24.95" hidden="1" customHeight="1" x14ac:dyDescent="0.2">
      <c r="A280" s="82">
        <v>44</v>
      </c>
      <c r="B280" s="30"/>
      <c r="C280" s="28"/>
      <c r="D280" s="159"/>
      <c r="E280" s="159"/>
      <c r="F280" s="159"/>
      <c r="G280" s="159"/>
      <c r="H280" s="159"/>
      <c r="I280" s="159"/>
      <c r="K280" s="159"/>
      <c r="L280" s="159"/>
      <c r="M280" s="159"/>
      <c r="N280" s="159"/>
      <c r="O280" s="159"/>
      <c r="P280" s="159"/>
      <c r="Q280" s="159"/>
      <c r="R280" s="159">
        <f t="shared" si="30"/>
        <v>0</v>
      </c>
      <c r="S280" s="159"/>
      <c r="T280" s="159"/>
      <c r="U280" s="159"/>
      <c r="V280" s="159"/>
      <c r="W280" s="159"/>
      <c r="X280" s="165">
        <f t="shared" si="27"/>
        <v>0</v>
      </c>
      <c r="Y280" s="243">
        <f t="shared" si="28"/>
        <v>0</v>
      </c>
      <c r="Z280" s="339"/>
      <c r="AA280" s="364"/>
    </row>
    <row r="281" spans="1:27" ht="24.95" hidden="1" customHeight="1" x14ac:dyDescent="0.2">
      <c r="A281" s="82">
        <v>45</v>
      </c>
      <c r="B281" s="30"/>
      <c r="C281" s="28"/>
      <c r="D281" s="159"/>
      <c r="E281" s="159"/>
      <c r="F281" s="159"/>
      <c r="G281" s="159"/>
      <c r="H281" s="159"/>
      <c r="I281" s="159"/>
      <c r="K281" s="159"/>
      <c r="L281" s="159"/>
      <c r="M281" s="159"/>
      <c r="N281" s="159"/>
      <c r="O281" s="159"/>
      <c r="P281" s="159"/>
      <c r="Q281" s="159"/>
      <c r="R281" s="159">
        <f t="shared" si="30"/>
        <v>0</v>
      </c>
      <c r="S281" s="159"/>
      <c r="T281" s="159"/>
      <c r="U281" s="159"/>
      <c r="V281" s="159"/>
      <c r="W281" s="159"/>
      <c r="X281" s="165">
        <f t="shared" si="27"/>
        <v>0</v>
      </c>
      <c r="Y281" s="243">
        <f t="shared" si="28"/>
        <v>0</v>
      </c>
      <c r="Z281" s="339"/>
      <c r="AA281" s="364"/>
    </row>
    <row r="282" spans="1:27" ht="24.95" hidden="1" customHeight="1" x14ac:dyDescent="0.2">
      <c r="A282" s="82">
        <v>46</v>
      </c>
      <c r="B282" s="30"/>
      <c r="C282" s="28"/>
      <c r="D282" s="159"/>
      <c r="E282" s="159"/>
      <c r="F282" s="159"/>
      <c r="G282" s="159"/>
      <c r="H282" s="159"/>
      <c r="I282" s="159"/>
      <c r="K282" s="159"/>
      <c r="L282" s="159"/>
      <c r="M282" s="159"/>
      <c r="N282" s="159"/>
      <c r="O282" s="159"/>
      <c r="P282" s="159"/>
      <c r="Q282" s="159"/>
      <c r="R282" s="159">
        <f t="shared" si="30"/>
        <v>0</v>
      </c>
      <c r="S282" s="159"/>
      <c r="T282" s="159"/>
      <c r="U282" s="159"/>
      <c r="V282" s="159"/>
      <c r="W282" s="159"/>
      <c r="X282" s="165">
        <f t="shared" si="27"/>
        <v>0</v>
      </c>
      <c r="Y282" s="243">
        <f t="shared" si="28"/>
        <v>0</v>
      </c>
      <c r="Z282" s="339"/>
      <c r="AA282" s="364"/>
    </row>
    <row r="283" spans="1:27" ht="24.95" hidden="1" customHeight="1" x14ac:dyDescent="0.2">
      <c r="A283" s="82">
        <v>47</v>
      </c>
      <c r="B283" s="30"/>
      <c r="C283" s="28"/>
      <c r="D283" s="159"/>
      <c r="E283" s="159"/>
      <c r="F283" s="159"/>
      <c r="G283" s="159"/>
      <c r="H283" s="159"/>
      <c r="I283" s="159"/>
      <c r="K283" s="159"/>
      <c r="L283" s="159"/>
      <c r="M283" s="159"/>
      <c r="N283" s="159"/>
      <c r="O283" s="159"/>
      <c r="P283" s="159"/>
      <c r="Q283" s="159"/>
      <c r="R283" s="159">
        <f t="shared" si="30"/>
        <v>0</v>
      </c>
      <c r="S283" s="159"/>
      <c r="T283" s="159"/>
      <c r="U283" s="159"/>
      <c r="V283" s="159"/>
      <c r="W283" s="159"/>
      <c r="X283" s="165">
        <f t="shared" si="27"/>
        <v>0</v>
      </c>
      <c r="Y283" s="243">
        <f t="shared" si="28"/>
        <v>0</v>
      </c>
      <c r="Z283" s="339"/>
      <c r="AA283" s="364"/>
    </row>
    <row r="284" spans="1:27" ht="24.95" hidden="1" customHeight="1" x14ac:dyDescent="0.2">
      <c r="A284" s="82">
        <v>48</v>
      </c>
      <c r="B284" s="30"/>
      <c r="C284" s="28"/>
      <c r="D284" s="159"/>
      <c r="E284" s="159"/>
      <c r="F284" s="159"/>
      <c r="G284" s="159"/>
      <c r="H284" s="159"/>
      <c r="I284" s="159"/>
      <c r="K284" s="159"/>
      <c r="L284" s="159"/>
      <c r="M284" s="159"/>
      <c r="N284" s="159"/>
      <c r="O284" s="159"/>
      <c r="P284" s="159"/>
      <c r="Q284" s="159"/>
      <c r="R284" s="159">
        <f t="shared" si="30"/>
        <v>0</v>
      </c>
      <c r="S284" s="159"/>
      <c r="T284" s="159"/>
      <c r="U284" s="159"/>
      <c r="V284" s="159"/>
      <c r="W284" s="159"/>
      <c r="X284" s="165">
        <f t="shared" si="27"/>
        <v>0</v>
      </c>
      <c r="Y284" s="243">
        <f t="shared" si="28"/>
        <v>0</v>
      </c>
      <c r="Z284" s="339"/>
      <c r="AA284" s="364"/>
    </row>
    <row r="285" spans="1:27" ht="24.95" hidden="1" customHeight="1" x14ac:dyDescent="0.2">
      <c r="A285" s="82">
        <v>49</v>
      </c>
      <c r="B285" s="30"/>
      <c r="C285" s="28"/>
      <c r="D285" s="159"/>
      <c r="E285" s="159"/>
      <c r="F285" s="159"/>
      <c r="G285" s="159"/>
      <c r="H285" s="159"/>
      <c r="I285" s="159"/>
      <c r="K285" s="159"/>
      <c r="L285" s="159"/>
      <c r="M285" s="159"/>
      <c r="N285" s="159"/>
      <c r="O285" s="159"/>
      <c r="P285" s="159"/>
      <c r="Q285" s="159"/>
      <c r="R285" s="159">
        <f t="shared" si="30"/>
        <v>0</v>
      </c>
      <c r="S285" s="159"/>
      <c r="T285" s="159"/>
      <c r="U285" s="159"/>
      <c r="V285" s="159"/>
      <c r="W285" s="159"/>
      <c r="X285" s="165">
        <f t="shared" si="27"/>
        <v>0</v>
      </c>
      <c r="Y285" s="243">
        <f t="shared" si="28"/>
        <v>0</v>
      </c>
      <c r="Z285" s="339"/>
      <c r="AA285" s="364"/>
    </row>
    <row r="286" spans="1:27" ht="24.95" hidden="1" customHeight="1" x14ac:dyDescent="0.2">
      <c r="A286" s="82">
        <v>50</v>
      </c>
      <c r="B286" s="30"/>
      <c r="C286" s="28"/>
      <c r="D286" s="159"/>
      <c r="E286" s="159"/>
      <c r="F286" s="159"/>
      <c r="G286" s="159"/>
      <c r="H286" s="159"/>
      <c r="I286" s="159"/>
      <c r="K286" s="159"/>
      <c r="L286" s="159"/>
      <c r="M286" s="159"/>
      <c r="N286" s="159"/>
      <c r="O286" s="159"/>
      <c r="P286" s="159"/>
      <c r="Q286" s="159"/>
      <c r="R286" s="159">
        <f t="shared" si="30"/>
        <v>0</v>
      </c>
      <c r="S286" s="159"/>
      <c r="T286" s="159"/>
      <c r="U286" s="159"/>
      <c r="V286" s="159"/>
      <c r="W286" s="159"/>
      <c r="X286" s="165">
        <f t="shared" si="27"/>
        <v>0</v>
      </c>
      <c r="Y286" s="243">
        <f t="shared" si="28"/>
        <v>0</v>
      </c>
      <c r="Z286" s="339"/>
      <c r="AA286" s="364"/>
    </row>
    <row r="287" spans="1:27" ht="24.95" hidden="1" customHeight="1" x14ac:dyDescent="0.2">
      <c r="A287" s="82">
        <v>51</v>
      </c>
      <c r="B287" s="546"/>
      <c r="C287" s="28"/>
      <c r="D287" s="159"/>
      <c r="E287" s="159"/>
      <c r="F287" s="159"/>
      <c r="G287" s="159"/>
      <c r="H287" s="159"/>
      <c r="I287" s="159"/>
      <c r="K287" s="159"/>
      <c r="L287" s="159"/>
      <c r="M287" s="159"/>
      <c r="N287" s="159"/>
      <c r="O287" s="159"/>
      <c r="P287" s="159"/>
      <c r="Q287" s="159"/>
      <c r="R287" s="159">
        <f t="shared" si="30"/>
        <v>0</v>
      </c>
      <c r="S287" s="159"/>
      <c r="T287" s="159"/>
      <c r="U287" s="159"/>
      <c r="V287" s="159"/>
      <c r="W287" s="159"/>
      <c r="X287" s="165">
        <f>SUM(T287:W287)</f>
        <v>0</v>
      </c>
      <c r="Y287" s="243">
        <f>R287+X287</f>
        <v>0</v>
      </c>
      <c r="Z287" s="339"/>
      <c r="AA287" s="364"/>
    </row>
    <row r="288" spans="1:27" ht="24.95" hidden="1" customHeight="1" x14ac:dyDescent="0.2">
      <c r="A288" s="82">
        <v>52</v>
      </c>
      <c r="B288" s="30"/>
      <c r="C288" s="28"/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>
        <f t="shared" si="30"/>
        <v>0</v>
      </c>
      <c r="S288" s="159"/>
      <c r="T288" s="159"/>
      <c r="U288" s="159"/>
      <c r="V288" s="159"/>
      <c r="W288" s="159"/>
      <c r="X288" s="165">
        <f t="shared" si="27"/>
        <v>0</v>
      </c>
      <c r="Y288" s="243">
        <f t="shared" si="28"/>
        <v>0</v>
      </c>
      <c r="Z288" s="339"/>
      <c r="AA288" s="364"/>
    </row>
    <row r="289" spans="1:27" ht="24.95" hidden="1" customHeight="1" x14ac:dyDescent="0.2">
      <c r="A289" s="82">
        <v>53</v>
      </c>
      <c r="B289" s="30"/>
      <c r="C289" s="28"/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  <c r="Q289" s="159"/>
      <c r="R289" s="159">
        <f t="shared" si="30"/>
        <v>0</v>
      </c>
      <c r="S289" s="159"/>
      <c r="T289" s="159"/>
      <c r="U289" s="159"/>
      <c r="V289" s="159"/>
      <c r="W289" s="159"/>
      <c r="X289" s="165">
        <f t="shared" si="27"/>
        <v>0</v>
      </c>
      <c r="Y289" s="243">
        <f t="shared" si="28"/>
        <v>0</v>
      </c>
      <c r="Z289" s="339"/>
      <c r="AA289" s="364"/>
    </row>
    <row r="290" spans="1:27" ht="24.95" hidden="1" customHeight="1" x14ac:dyDescent="0.2">
      <c r="A290" s="82">
        <v>54</v>
      </c>
      <c r="B290" s="30"/>
      <c r="C290" s="28"/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  <c r="Q290" s="159"/>
      <c r="R290" s="159">
        <f t="shared" si="30"/>
        <v>0</v>
      </c>
      <c r="S290" s="159"/>
      <c r="T290" s="159"/>
      <c r="U290" s="159"/>
      <c r="V290" s="159"/>
      <c r="W290" s="159"/>
      <c r="X290" s="165">
        <f t="shared" si="27"/>
        <v>0</v>
      </c>
      <c r="Y290" s="243">
        <f t="shared" si="28"/>
        <v>0</v>
      </c>
      <c r="Z290" s="339"/>
      <c r="AA290" s="364"/>
    </row>
    <row r="291" spans="1:27" ht="24.95" hidden="1" customHeight="1" x14ac:dyDescent="0.2">
      <c r="A291" s="82">
        <v>55</v>
      </c>
      <c r="B291" s="30"/>
      <c r="C291" s="28"/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  <c r="Q291" s="159"/>
      <c r="R291" s="159">
        <f t="shared" si="30"/>
        <v>0</v>
      </c>
      <c r="S291" s="159"/>
      <c r="T291" s="159"/>
      <c r="U291" s="159"/>
      <c r="V291" s="159"/>
      <c r="W291" s="159"/>
      <c r="X291" s="165">
        <f t="shared" si="27"/>
        <v>0</v>
      </c>
      <c r="Y291" s="243">
        <f t="shared" si="28"/>
        <v>0</v>
      </c>
      <c r="Z291" s="339"/>
      <c r="AA291" s="364"/>
    </row>
    <row r="292" spans="1:27" ht="24.95" hidden="1" customHeight="1" x14ac:dyDescent="0.2">
      <c r="A292" s="82">
        <v>56</v>
      </c>
      <c r="B292" s="30"/>
      <c r="C292" s="28"/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  <c r="Q292" s="159"/>
      <c r="R292" s="159">
        <f t="shared" si="30"/>
        <v>0</v>
      </c>
      <c r="S292" s="159"/>
      <c r="T292" s="159"/>
      <c r="U292" s="159"/>
      <c r="V292" s="159"/>
      <c r="W292" s="159"/>
      <c r="X292" s="165">
        <f t="shared" si="27"/>
        <v>0</v>
      </c>
      <c r="Y292" s="243">
        <f t="shared" si="28"/>
        <v>0</v>
      </c>
      <c r="Z292" s="339"/>
      <c r="AA292" s="364"/>
    </row>
    <row r="293" spans="1:27" ht="24.95" hidden="1" customHeight="1" x14ac:dyDescent="0.2">
      <c r="A293" s="82">
        <v>57</v>
      </c>
      <c r="B293" s="30"/>
      <c r="C293" s="28"/>
      <c r="D293" s="159"/>
      <c r="E293" s="159"/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  <c r="Q293" s="159"/>
      <c r="R293" s="159">
        <f t="shared" si="30"/>
        <v>0</v>
      </c>
      <c r="S293" s="159"/>
      <c r="T293" s="159"/>
      <c r="U293" s="159"/>
      <c r="V293" s="159"/>
      <c r="W293" s="159"/>
      <c r="X293" s="165">
        <f t="shared" si="27"/>
        <v>0</v>
      </c>
      <c r="Y293" s="243">
        <f t="shared" si="28"/>
        <v>0</v>
      </c>
      <c r="Z293" s="339"/>
      <c r="AA293" s="364"/>
    </row>
    <row r="294" spans="1:27" ht="24.95" hidden="1" customHeight="1" x14ac:dyDescent="0.2">
      <c r="A294" s="82">
        <v>58</v>
      </c>
      <c r="B294" s="30"/>
      <c r="C294" s="28"/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  <c r="Q294" s="159"/>
      <c r="R294" s="159">
        <f t="shared" si="30"/>
        <v>0</v>
      </c>
      <c r="S294" s="159"/>
      <c r="T294" s="159"/>
      <c r="U294" s="159"/>
      <c r="V294" s="159"/>
      <c r="W294" s="159"/>
      <c r="X294" s="165">
        <f t="shared" si="27"/>
        <v>0</v>
      </c>
      <c r="Y294" s="243">
        <f t="shared" si="28"/>
        <v>0</v>
      </c>
      <c r="Z294" s="339"/>
      <c r="AA294" s="364"/>
    </row>
    <row r="295" spans="1:27" ht="24.95" hidden="1" customHeight="1" x14ac:dyDescent="0.2">
      <c r="A295" s="82">
        <v>59</v>
      </c>
      <c r="B295" s="30"/>
      <c r="C295" s="28"/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  <c r="Q295" s="159"/>
      <c r="R295" s="159">
        <f t="shared" si="30"/>
        <v>0</v>
      </c>
      <c r="S295" s="159"/>
      <c r="T295" s="159"/>
      <c r="U295" s="159"/>
      <c r="V295" s="159"/>
      <c r="W295" s="159"/>
      <c r="X295" s="165">
        <f t="shared" si="27"/>
        <v>0</v>
      </c>
      <c r="Y295" s="243">
        <f t="shared" si="28"/>
        <v>0</v>
      </c>
      <c r="Z295" s="339"/>
      <c r="AA295" s="364"/>
    </row>
    <row r="296" spans="1:27" ht="24.95" hidden="1" customHeight="1" x14ac:dyDescent="0.2">
      <c r="A296" s="82">
        <v>60</v>
      </c>
      <c r="B296" s="30"/>
      <c r="C296" s="28"/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  <c r="Q296" s="159"/>
      <c r="R296" s="159">
        <f t="shared" si="30"/>
        <v>0</v>
      </c>
      <c r="S296" s="159"/>
      <c r="T296" s="159"/>
      <c r="U296" s="159"/>
      <c r="V296" s="159"/>
      <c r="W296" s="159"/>
      <c r="X296" s="165">
        <f t="shared" si="27"/>
        <v>0</v>
      </c>
      <c r="Y296" s="243">
        <f t="shared" si="28"/>
        <v>0</v>
      </c>
      <c r="Z296" s="339"/>
      <c r="AA296" s="364"/>
    </row>
    <row r="297" spans="1:27" ht="24.95" hidden="1" customHeight="1" x14ac:dyDescent="0.2">
      <c r="A297" s="82">
        <v>61</v>
      </c>
      <c r="B297" s="30"/>
      <c r="C297" s="28"/>
      <c r="D297" s="159"/>
      <c r="E297" s="159"/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  <c r="Q297" s="159"/>
      <c r="R297" s="159">
        <f t="shared" si="30"/>
        <v>0</v>
      </c>
      <c r="S297" s="159"/>
      <c r="T297" s="159"/>
      <c r="U297" s="159"/>
      <c r="V297" s="159"/>
      <c r="W297" s="159"/>
      <c r="X297" s="165">
        <f t="shared" si="27"/>
        <v>0</v>
      </c>
      <c r="Y297" s="243">
        <f t="shared" si="28"/>
        <v>0</v>
      </c>
      <c r="Z297" s="339"/>
      <c r="AA297" s="364"/>
    </row>
    <row r="298" spans="1:27" ht="24.95" hidden="1" customHeight="1" x14ac:dyDescent="0.2">
      <c r="A298" s="82">
        <v>62</v>
      </c>
      <c r="B298" s="30"/>
      <c r="C298" s="28"/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  <c r="Q298" s="159"/>
      <c r="R298" s="159">
        <f t="shared" si="30"/>
        <v>0</v>
      </c>
      <c r="S298" s="159"/>
      <c r="T298" s="159"/>
      <c r="U298" s="159"/>
      <c r="V298" s="159"/>
      <c r="W298" s="159"/>
      <c r="X298" s="165">
        <f t="shared" si="27"/>
        <v>0</v>
      </c>
      <c r="Y298" s="243">
        <f t="shared" si="28"/>
        <v>0</v>
      </c>
      <c r="Z298" s="339"/>
      <c r="AA298" s="364"/>
    </row>
    <row r="299" spans="1:27" ht="24.95" hidden="1" customHeight="1" x14ac:dyDescent="0.2">
      <c r="A299" s="82">
        <v>63</v>
      </c>
      <c r="B299" s="30"/>
      <c r="C299" s="28"/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59">
        <f t="shared" si="30"/>
        <v>0</v>
      </c>
      <c r="S299" s="159"/>
      <c r="T299" s="159"/>
      <c r="U299" s="159"/>
      <c r="V299" s="159"/>
      <c r="W299" s="159"/>
      <c r="X299" s="165">
        <f t="shared" si="27"/>
        <v>0</v>
      </c>
      <c r="Y299" s="243">
        <f t="shared" si="28"/>
        <v>0</v>
      </c>
      <c r="Z299" s="339"/>
      <c r="AA299" s="364"/>
    </row>
    <row r="300" spans="1:27" ht="24.95" hidden="1" customHeight="1" x14ac:dyDescent="0.2">
      <c r="A300" s="82">
        <v>64</v>
      </c>
      <c r="B300" s="30"/>
      <c r="C300" s="28"/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  <c r="Q300" s="159"/>
      <c r="R300" s="159">
        <f t="shared" si="30"/>
        <v>0</v>
      </c>
      <c r="S300" s="159"/>
      <c r="T300" s="159"/>
      <c r="U300" s="159"/>
      <c r="V300" s="159"/>
      <c r="W300" s="159"/>
      <c r="X300" s="165">
        <f>SUM(T300:W300)</f>
        <v>0</v>
      </c>
      <c r="Y300" s="243">
        <f>R300+X300</f>
        <v>0</v>
      </c>
      <c r="Z300" s="339"/>
      <c r="AA300" s="364"/>
    </row>
    <row r="301" spans="1:27" ht="24.95" hidden="1" customHeight="1" x14ac:dyDescent="0.2">
      <c r="A301" s="82">
        <v>65</v>
      </c>
      <c r="B301" s="30"/>
      <c r="C301" s="28"/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  <c r="Q301" s="159"/>
      <c r="R301" s="159">
        <f t="shared" si="30"/>
        <v>0</v>
      </c>
      <c r="S301" s="159"/>
      <c r="T301" s="159"/>
      <c r="U301" s="159"/>
      <c r="V301" s="159"/>
      <c r="W301" s="159"/>
      <c r="X301" s="165">
        <f>SUM(T301:W301)</f>
        <v>0</v>
      </c>
      <c r="Y301" s="243">
        <f>R301+X301</f>
        <v>0</v>
      </c>
      <c r="Z301" s="339"/>
      <c r="AA301" s="364"/>
    </row>
    <row r="302" spans="1:27" ht="24.95" hidden="1" customHeight="1" x14ac:dyDescent="0.2">
      <c r="A302" s="82">
        <v>66</v>
      </c>
      <c r="B302" s="30"/>
      <c r="C302" s="28"/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  <c r="Q302" s="159"/>
      <c r="R302" s="159">
        <f t="shared" si="30"/>
        <v>0</v>
      </c>
      <c r="S302" s="159"/>
      <c r="T302" s="159"/>
      <c r="U302" s="159"/>
      <c r="V302" s="159"/>
      <c r="W302" s="159"/>
      <c r="X302" s="165">
        <f>SUM(T302:W302)</f>
        <v>0</v>
      </c>
      <c r="Y302" s="243">
        <f>R302+X302</f>
        <v>0</v>
      </c>
      <c r="Z302" s="339"/>
      <c r="AA302" s="364"/>
    </row>
    <row r="303" spans="1:27" ht="24.95" hidden="1" customHeight="1" x14ac:dyDescent="0.2">
      <c r="A303" s="82">
        <v>67</v>
      </c>
      <c r="B303" s="30"/>
      <c r="C303" s="28"/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  <c r="Q303" s="159"/>
      <c r="R303" s="159">
        <f t="shared" si="30"/>
        <v>0</v>
      </c>
      <c r="S303" s="159"/>
      <c r="T303" s="159"/>
      <c r="U303" s="159"/>
      <c r="V303" s="159"/>
      <c r="W303" s="159"/>
      <c r="X303" s="165">
        <f t="shared" si="27"/>
        <v>0</v>
      </c>
      <c r="Y303" s="243">
        <f t="shared" si="28"/>
        <v>0</v>
      </c>
      <c r="Z303" s="339"/>
      <c r="AA303" s="364"/>
    </row>
    <row r="304" spans="1:27" ht="24.95" hidden="1" customHeight="1" x14ac:dyDescent="0.2">
      <c r="A304" s="82">
        <v>68</v>
      </c>
      <c r="B304" s="30"/>
      <c r="C304" s="28"/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  <c r="Q304" s="159"/>
      <c r="R304" s="159">
        <f t="shared" si="30"/>
        <v>0</v>
      </c>
      <c r="S304" s="159"/>
      <c r="T304" s="159"/>
      <c r="U304" s="159"/>
      <c r="V304" s="159"/>
      <c r="W304" s="159"/>
      <c r="X304" s="165">
        <f t="shared" si="27"/>
        <v>0</v>
      </c>
      <c r="Y304" s="243">
        <f t="shared" si="28"/>
        <v>0</v>
      </c>
      <c r="Z304" s="339"/>
      <c r="AA304" s="364"/>
    </row>
    <row r="305" spans="1:27" ht="24.95" hidden="1" customHeight="1" x14ac:dyDescent="0.2">
      <c r="A305" s="82">
        <v>69</v>
      </c>
      <c r="B305" s="30"/>
      <c r="C305" s="28"/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>
        <f t="shared" si="30"/>
        <v>0</v>
      </c>
      <c r="S305" s="159"/>
      <c r="T305" s="159"/>
      <c r="U305" s="159"/>
      <c r="V305" s="159"/>
      <c r="W305" s="159"/>
      <c r="X305" s="165">
        <f t="shared" si="27"/>
        <v>0</v>
      </c>
      <c r="Y305" s="243">
        <f t="shared" si="28"/>
        <v>0</v>
      </c>
      <c r="Z305" s="339"/>
      <c r="AA305" s="364"/>
    </row>
    <row r="306" spans="1:27" ht="24.95" hidden="1" customHeight="1" x14ac:dyDescent="0.2">
      <c r="A306" s="82">
        <v>70</v>
      </c>
      <c r="B306" s="30"/>
      <c r="C306" s="28"/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  <c r="Q306" s="159"/>
      <c r="R306" s="159">
        <f t="shared" si="30"/>
        <v>0</v>
      </c>
      <c r="S306" s="159"/>
      <c r="T306" s="159"/>
      <c r="U306" s="159"/>
      <c r="V306" s="159"/>
      <c r="W306" s="159"/>
      <c r="X306" s="165">
        <f t="shared" si="27"/>
        <v>0</v>
      </c>
      <c r="Y306" s="243">
        <f t="shared" si="28"/>
        <v>0</v>
      </c>
      <c r="Z306" s="339"/>
      <c r="AA306" s="364"/>
    </row>
    <row r="307" spans="1:27" ht="24.95" hidden="1" customHeight="1" x14ac:dyDescent="0.2">
      <c r="A307" s="82">
        <v>71</v>
      </c>
      <c r="B307" s="30"/>
      <c r="C307" s="28"/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  <c r="Q307" s="159"/>
      <c r="R307" s="159">
        <f t="shared" si="30"/>
        <v>0</v>
      </c>
      <c r="S307" s="159"/>
      <c r="T307" s="159"/>
      <c r="U307" s="159"/>
      <c r="V307" s="159"/>
      <c r="W307" s="159"/>
      <c r="X307" s="165">
        <f t="shared" si="27"/>
        <v>0</v>
      </c>
      <c r="Y307" s="243">
        <f t="shared" si="28"/>
        <v>0</v>
      </c>
      <c r="Z307" s="339"/>
      <c r="AA307" s="364"/>
    </row>
    <row r="308" spans="1:27" ht="24.95" hidden="1" customHeight="1" x14ac:dyDescent="0.2">
      <c r="A308" s="82">
        <v>72</v>
      </c>
      <c r="B308" s="30"/>
      <c r="C308" s="28"/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  <c r="Q308" s="159"/>
      <c r="R308" s="159">
        <f t="shared" si="30"/>
        <v>0</v>
      </c>
      <c r="S308" s="159"/>
      <c r="T308" s="159"/>
      <c r="U308" s="159"/>
      <c r="V308" s="159"/>
      <c r="W308" s="159"/>
      <c r="X308" s="165">
        <f t="shared" si="27"/>
        <v>0</v>
      </c>
      <c r="Y308" s="243">
        <f t="shared" si="28"/>
        <v>0</v>
      </c>
      <c r="Z308" s="339"/>
      <c r="AA308" s="364"/>
    </row>
    <row r="309" spans="1:27" ht="24.95" hidden="1" customHeight="1" x14ac:dyDescent="0.2">
      <c r="A309" s="82">
        <v>73</v>
      </c>
      <c r="B309" s="30"/>
      <c r="C309" s="28"/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  <c r="Q309" s="159"/>
      <c r="R309" s="159">
        <f t="shared" si="30"/>
        <v>0</v>
      </c>
      <c r="S309" s="159"/>
      <c r="T309" s="159"/>
      <c r="U309" s="159"/>
      <c r="V309" s="159"/>
      <c r="W309" s="159"/>
      <c r="X309" s="165">
        <f t="shared" si="27"/>
        <v>0</v>
      </c>
      <c r="Y309" s="243">
        <f t="shared" si="28"/>
        <v>0</v>
      </c>
      <c r="Z309" s="339"/>
      <c r="AA309" s="364"/>
    </row>
    <row r="310" spans="1:27" ht="24.95" hidden="1" customHeight="1" x14ac:dyDescent="0.2">
      <c r="A310" s="82">
        <v>74</v>
      </c>
      <c r="B310" s="30"/>
      <c r="C310" s="28"/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  <c r="Q310" s="159"/>
      <c r="R310" s="159">
        <f t="shared" si="30"/>
        <v>0</v>
      </c>
      <c r="S310" s="159"/>
      <c r="T310" s="159"/>
      <c r="U310" s="159"/>
      <c r="V310" s="159"/>
      <c r="W310" s="159"/>
      <c r="X310" s="165">
        <f t="shared" si="27"/>
        <v>0</v>
      </c>
      <c r="Y310" s="243">
        <f t="shared" si="28"/>
        <v>0</v>
      </c>
      <c r="Z310" s="339"/>
      <c r="AA310" s="364"/>
    </row>
    <row r="311" spans="1:27" ht="24.95" hidden="1" customHeight="1" x14ac:dyDescent="0.2">
      <c r="A311" s="82">
        <v>75</v>
      </c>
      <c r="B311" s="30"/>
      <c r="C311" s="28"/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  <c r="Q311" s="159"/>
      <c r="R311" s="159">
        <f t="shared" si="30"/>
        <v>0</v>
      </c>
      <c r="S311" s="159"/>
      <c r="T311" s="159"/>
      <c r="U311" s="159"/>
      <c r="V311" s="159"/>
      <c r="W311" s="159"/>
      <c r="X311" s="165">
        <f>SUM(T311:W311)</f>
        <v>0</v>
      </c>
      <c r="Y311" s="243">
        <f>R311+X311</f>
        <v>0</v>
      </c>
      <c r="Z311" s="339"/>
      <c r="AA311" s="364"/>
    </row>
    <row r="312" spans="1:27" ht="24.95" hidden="1" customHeight="1" x14ac:dyDescent="0.2">
      <c r="A312" s="82">
        <v>76</v>
      </c>
      <c r="B312" s="234"/>
      <c r="C312" s="28"/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  <c r="Q312" s="159"/>
      <c r="R312" s="159">
        <f t="shared" si="30"/>
        <v>0</v>
      </c>
      <c r="S312" s="159"/>
      <c r="T312" s="159"/>
      <c r="U312" s="159"/>
      <c r="V312" s="159"/>
      <c r="W312" s="159"/>
      <c r="X312" s="165">
        <f>SUM(T312:W312)</f>
        <v>0</v>
      </c>
      <c r="Y312" s="243">
        <f>R312+X312</f>
        <v>0</v>
      </c>
      <c r="Z312" s="339"/>
      <c r="AA312" s="364"/>
    </row>
    <row r="313" spans="1:27" ht="24.95" hidden="1" customHeight="1" x14ac:dyDescent="0.2">
      <c r="A313" s="82">
        <v>77</v>
      </c>
      <c r="B313" s="234"/>
      <c r="C313" s="28"/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  <c r="Q313" s="159"/>
      <c r="R313" s="159">
        <f t="shared" si="30"/>
        <v>0</v>
      </c>
      <c r="S313" s="159"/>
      <c r="T313" s="159"/>
      <c r="U313" s="159"/>
      <c r="V313" s="159"/>
      <c r="W313" s="159"/>
      <c r="X313" s="165">
        <f t="shared" ref="X313:X320" si="35">SUM(T313:W313)</f>
        <v>0</v>
      </c>
      <c r="Y313" s="243">
        <f t="shared" ref="Y313:Y320" si="36">R313+X313</f>
        <v>0</v>
      </c>
      <c r="Z313" s="339"/>
      <c r="AA313" s="364"/>
    </row>
    <row r="314" spans="1:27" ht="24.95" hidden="1" customHeight="1" x14ac:dyDescent="0.2">
      <c r="A314" s="82">
        <v>78</v>
      </c>
      <c r="B314" s="234"/>
      <c r="C314" s="28"/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  <c r="Q314" s="159"/>
      <c r="R314" s="159">
        <f t="shared" si="30"/>
        <v>0</v>
      </c>
      <c r="S314" s="159"/>
      <c r="T314" s="159"/>
      <c r="U314" s="159"/>
      <c r="V314" s="159"/>
      <c r="W314" s="159"/>
      <c r="X314" s="165">
        <f t="shared" si="35"/>
        <v>0</v>
      </c>
      <c r="Y314" s="243">
        <f t="shared" si="36"/>
        <v>0</v>
      </c>
      <c r="Z314" s="339"/>
      <c r="AA314" s="364"/>
    </row>
    <row r="315" spans="1:27" ht="24.95" hidden="1" customHeight="1" x14ac:dyDescent="0.2">
      <c r="A315" s="82">
        <v>79</v>
      </c>
      <c r="B315" s="234"/>
      <c r="C315" s="28"/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  <c r="Q315" s="159"/>
      <c r="R315" s="159">
        <f t="shared" si="30"/>
        <v>0</v>
      </c>
      <c r="S315" s="159"/>
      <c r="T315" s="159"/>
      <c r="U315" s="159"/>
      <c r="V315" s="159"/>
      <c r="W315" s="159"/>
      <c r="X315" s="165">
        <f t="shared" si="35"/>
        <v>0</v>
      </c>
      <c r="Y315" s="243">
        <f t="shared" si="36"/>
        <v>0</v>
      </c>
      <c r="Z315" s="339"/>
      <c r="AA315" s="364"/>
    </row>
    <row r="316" spans="1:27" ht="24.95" hidden="1" customHeight="1" x14ac:dyDescent="0.2">
      <c r="A316" s="82">
        <v>80</v>
      </c>
      <c r="B316" s="234"/>
      <c r="C316" s="28"/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  <c r="Q316" s="159"/>
      <c r="R316" s="159">
        <f t="shared" si="30"/>
        <v>0</v>
      </c>
      <c r="S316" s="159"/>
      <c r="T316" s="159"/>
      <c r="U316" s="159"/>
      <c r="V316" s="159"/>
      <c r="W316" s="159"/>
      <c r="X316" s="165">
        <f t="shared" si="35"/>
        <v>0</v>
      </c>
      <c r="Y316" s="243">
        <f t="shared" si="36"/>
        <v>0</v>
      </c>
      <c r="Z316" s="339"/>
      <c r="AA316" s="364"/>
    </row>
    <row r="317" spans="1:27" ht="24.95" hidden="1" customHeight="1" x14ac:dyDescent="0.2">
      <c r="A317" s="82">
        <v>81</v>
      </c>
      <c r="B317" s="234"/>
      <c r="C317" s="28"/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  <c r="Q317" s="159"/>
      <c r="R317" s="159">
        <f t="shared" si="30"/>
        <v>0</v>
      </c>
      <c r="S317" s="159"/>
      <c r="T317" s="159"/>
      <c r="U317" s="159"/>
      <c r="V317" s="159"/>
      <c r="W317" s="159"/>
      <c r="X317" s="165">
        <f t="shared" si="35"/>
        <v>0</v>
      </c>
      <c r="Y317" s="243">
        <f t="shared" si="36"/>
        <v>0</v>
      </c>
      <c r="Z317" s="339"/>
      <c r="AA317" s="364"/>
    </row>
    <row r="318" spans="1:27" ht="24.95" hidden="1" customHeight="1" x14ac:dyDescent="0.2">
      <c r="A318" s="82">
        <v>82</v>
      </c>
      <c r="B318" s="234"/>
      <c r="C318" s="28"/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  <c r="Q318" s="159"/>
      <c r="R318" s="159">
        <f t="shared" si="30"/>
        <v>0</v>
      </c>
      <c r="S318" s="159"/>
      <c r="T318" s="159"/>
      <c r="U318" s="159"/>
      <c r="V318" s="159"/>
      <c r="W318" s="159"/>
      <c r="X318" s="165">
        <f t="shared" si="35"/>
        <v>0</v>
      </c>
      <c r="Y318" s="243">
        <f t="shared" si="36"/>
        <v>0</v>
      </c>
      <c r="Z318" s="339"/>
      <c r="AA318" s="364"/>
    </row>
    <row r="319" spans="1:27" ht="24.95" hidden="1" customHeight="1" x14ac:dyDescent="0.2">
      <c r="A319" s="82">
        <v>83</v>
      </c>
      <c r="B319" s="234"/>
      <c r="C319" s="28"/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  <c r="Q319" s="159"/>
      <c r="R319" s="159">
        <f t="shared" si="30"/>
        <v>0</v>
      </c>
      <c r="S319" s="159"/>
      <c r="T319" s="159"/>
      <c r="U319" s="159"/>
      <c r="V319" s="159"/>
      <c r="W319" s="159"/>
      <c r="X319" s="165">
        <f t="shared" si="35"/>
        <v>0</v>
      </c>
      <c r="Y319" s="243">
        <f t="shared" si="36"/>
        <v>0</v>
      </c>
      <c r="Z319" s="339"/>
      <c r="AA319" s="364"/>
    </row>
    <row r="320" spans="1:27" ht="24.95" hidden="1" customHeight="1" x14ac:dyDescent="0.2">
      <c r="A320" s="82">
        <v>84</v>
      </c>
      <c r="B320" s="234"/>
      <c r="C320" s="28"/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  <c r="Q320" s="159"/>
      <c r="R320" s="159">
        <f t="shared" si="30"/>
        <v>0</v>
      </c>
      <c r="S320" s="159"/>
      <c r="T320" s="159"/>
      <c r="U320" s="159"/>
      <c r="V320" s="159"/>
      <c r="W320" s="159"/>
      <c r="X320" s="165">
        <f t="shared" si="35"/>
        <v>0</v>
      </c>
      <c r="Y320" s="243">
        <f t="shared" si="36"/>
        <v>0</v>
      </c>
      <c r="Z320" s="339"/>
      <c r="AA320" s="364"/>
    </row>
    <row r="321" spans="1:27" ht="24.95" hidden="1" customHeight="1" x14ac:dyDescent="0.2">
      <c r="A321" s="82">
        <v>85</v>
      </c>
      <c r="B321" s="30"/>
      <c r="C321" s="28"/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  <c r="Q321" s="159"/>
      <c r="R321" s="159">
        <f t="shared" si="30"/>
        <v>0</v>
      </c>
      <c r="S321" s="159"/>
      <c r="T321" s="159"/>
      <c r="U321" s="159"/>
      <c r="V321" s="159"/>
      <c r="W321" s="159"/>
      <c r="X321" s="165">
        <f t="shared" ref="X321:X330" si="37">SUM(T321:W321)</f>
        <v>0</v>
      </c>
      <c r="Y321" s="243">
        <f t="shared" ref="Y321:Y330" si="38">R321+X321</f>
        <v>0</v>
      </c>
      <c r="Z321" s="339"/>
      <c r="AA321" s="364"/>
    </row>
    <row r="322" spans="1:27" ht="24.95" hidden="1" customHeight="1" x14ac:dyDescent="0.2">
      <c r="A322" s="82">
        <v>86</v>
      </c>
      <c r="B322" s="30"/>
      <c r="C322" s="28"/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  <c r="Q322" s="159"/>
      <c r="R322" s="159">
        <f t="shared" si="30"/>
        <v>0</v>
      </c>
      <c r="S322" s="159"/>
      <c r="T322" s="159"/>
      <c r="U322" s="159"/>
      <c r="V322" s="159"/>
      <c r="W322" s="159"/>
      <c r="X322" s="165">
        <f t="shared" si="37"/>
        <v>0</v>
      </c>
      <c r="Y322" s="243">
        <f t="shared" si="38"/>
        <v>0</v>
      </c>
      <c r="Z322" s="339"/>
      <c r="AA322" s="364"/>
    </row>
    <row r="323" spans="1:27" ht="24.95" hidden="1" customHeight="1" x14ac:dyDescent="0.2">
      <c r="A323" s="82">
        <v>87</v>
      </c>
      <c r="B323" s="30"/>
      <c r="C323" s="28"/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  <c r="Q323" s="159"/>
      <c r="R323" s="159">
        <f t="shared" si="30"/>
        <v>0</v>
      </c>
      <c r="S323" s="159"/>
      <c r="T323" s="159"/>
      <c r="U323" s="159"/>
      <c r="V323" s="159"/>
      <c r="W323" s="159"/>
      <c r="X323" s="165">
        <f t="shared" si="37"/>
        <v>0</v>
      </c>
      <c r="Y323" s="243">
        <f t="shared" si="38"/>
        <v>0</v>
      </c>
      <c r="Z323" s="339"/>
      <c r="AA323" s="364"/>
    </row>
    <row r="324" spans="1:27" ht="24.95" hidden="1" customHeight="1" x14ac:dyDescent="0.2">
      <c r="A324" s="82">
        <v>88</v>
      </c>
      <c r="B324" s="30"/>
      <c r="C324" s="28"/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  <c r="Q324" s="159"/>
      <c r="R324" s="159">
        <f>SUM(D324:Q324)</f>
        <v>0</v>
      </c>
      <c r="S324" s="159"/>
      <c r="T324" s="159"/>
      <c r="U324" s="159"/>
      <c r="V324" s="159"/>
      <c r="W324" s="159"/>
      <c r="X324" s="165">
        <f t="shared" si="37"/>
        <v>0</v>
      </c>
      <c r="Y324" s="243">
        <f t="shared" si="38"/>
        <v>0</v>
      </c>
      <c r="Z324" s="339"/>
      <c r="AA324" s="364"/>
    </row>
    <row r="325" spans="1:27" ht="24.95" hidden="1" customHeight="1" x14ac:dyDescent="0.2">
      <c r="A325" s="82">
        <v>89</v>
      </c>
      <c r="B325" s="30"/>
      <c r="C325" s="28"/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  <c r="Q325" s="159"/>
      <c r="R325" s="159">
        <f>SUM(D325:Q325)</f>
        <v>0</v>
      </c>
      <c r="S325" s="159"/>
      <c r="T325" s="159"/>
      <c r="U325" s="159"/>
      <c r="V325" s="159"/>
      <c r="W325" s="159"/>
      <c r="X325" s="165">
        <f t="shared" si="37"/>
        <v>0</v>
      </c>
      <c r="Y325" s="243">
        <f t="shared" si="38"/>
        <v>0</v>
      </c>
      <c r="Z325" s="339"/>
      <c r="AA325" s="364"/>
    </row>
    <row r="326" spans="1:27" ht="24.95" hidden="1" customHeight="1" x14ac:dyDescent="0.2">
      <c r="A326" s="82">
        <v>90</v>
      </c>
      <c r="B326" s="30"/>
      <c r="C326" s="28"/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  <c r="Q326" s="159"/>
      <c r="R326" s="159">
        <f>SUM(D326:Q326)</f>
        <v>0</v>
      </c>
      <c r="S326" s="159"/>
      <c r="T326" s="159"/>
      <c r="U326" s="159"/>
      <c r="V326" s="159"/>
      <c r="W326" s="159"/>
      <c r="X326" s="165">
        <f t="shared" si="37"/>
        <v>0</v>
      </c>
      <c r="Y326" s="243">
        <f>R326+X326</f>
        <v>0</v>
      </c>
      <c r="Z326" s="339"/>
      <c r="AA326" s="364"/>
    </row>
    <row r="327" spans="1:27" ht="24.95" hidden="1" customHeight="1" x14ac:dyDescent="0.2">
      <c r="A327" s="82">
        <v>91</v>
      </c>
      <c r="B327" s="30"/>
      <c r="C327" s="28"/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  <c r="Q327" s="159"/>
      <c r="R327" s="159">
        <f>SUM(D327:Q327)</f>
        <v>0</v>
      </c>
      <c r="S327" s="159"/>
      <c r="T327" s="159"/>
      <c r="U327" s="159"/>
      <c r="V327" s="159"/>
      <c r="W327" s="159"/>
      <c r="X327" s="165">
        <f t="shared" si="37"/>
        <v>0</v>
      </c>
      <c r="Y327" s="243">
        <f t="shared" si="38"/>
        <v>0</v>
      </c>
      <c r="Z327" s="339"/>
      <c r="AA327" s="364"/>
    </row>
    <row r="328" spans="1:27" ht="24.95" hidden="1" customHeight="1" x14ac:dyDescent="0.2">
      <c r="A328" s="82">
        <v>92</v>
      </c>
      <c r="B328" s="30"/>
      <c r="C328" s="28"/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  <c r="Q328" s="159"/>
      <c r="R328" s="159">
        <f t="shared" si="30"/>
        <v>0</v>
      </c>
      <c r="S328" s="159"/>
      <c r="T328" s="159"/>
      <c r="U328" s="159"/>
      <c r="V328" s="159"/>
      <c r="W328" s="159"/>
      <c r="X328" s="165">
        <f t="shared" si="37"/>
        <v>0</v>
      </c>
      <c r="Y328" s="243">
        <f t="shared" si="38"/>
        <v>0</v>
      </c>
      <c r="Z328" s="339"/>
      <c r="AA328" s="364"/>
    </row>
    <row r="329" spans="1:27" ht="24.95" hidden="1" customHeight="1" x14ac:dyDescent="0.2">
      <c r="A329" s="82">
        <v>93</v>
      </c>
      <c r="B329" s="30"/>
      <c r="C329" s="28"/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  <c r="Q329" s="159"/>
      <c r="R329" s="159">
        <f t="shared" si="30"/>
        <v>0</v>
      </c>
      <c r="S329" s="159"/>
      <c r="T329" s="159"/>
      <c r="U329" s="159"/>
      <c r="V329" s="159"/>
      <c r="W329" s="159"/>
      <c r="X329" s="165">
        <f t="shared" si="37"/>
        <v>0</v>
      </c>
      <c r="Y329" s="243">
        <f t="shared" si="38"/>
        <v>0</v>
      </c>
      <c r="Z329" s="339"/>
      <c r="AA329" s="364"/>
    </row>
    <row r="330" spans="1:27" ht="24.95" hidden="1" customHeight="1" x14ac:dyDescent="0.2">
      <c r="A330" s="82"/>
      <c r="B330" s="30"/>
      <c r="C330" s="28"/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  <c r="Q330" s="159"/>
      <c r="R330" s="159">
        <f t="shared" si="30"/>
        <v>0</v>
      </c>
      <c r="S330" s="159"/>
      <c r="T330" s="159"/>
      <c r="U330" s="159"/>
      <c r="V330" s="159"/>
      <c r="W330" s="159"/>
      <c r="X330" s="165">
        <f t="shared" si="37"/>
        <v>0</v>
      </c>
      <c r="Y330" s="243">
        <f t="shared" si="38"/>
        <v>0</v>
      </c>
      <c r="Z330" s="339"/>
      <c r="AA330" s="364"/>
    </row>
    <row r="331" spans="1:27" ht="24.95" hidden="1" customHeight="1" x14ac:dyDescent="0.2">
      <c r="A331" s="82"/>
      <c r="B331" s="526"/>
      <c r="C331" s="41"/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65"/>
      <c r="Y331" s="243"/>
      <c r="Z331" s="339"/>
      <c r="AA331" s="364"/>
    </row>
    <row r="332" spans="1:27" ht="17.25" hidden="1" customHeight="1" thickBot="1" x14ac:dyDescent="0.25">
      <c r="A332" s="82"/>
      <c r="B332" s="89"/>
      <c r="C332" s="41"/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>
        <f t="shared" si="30"/>
        <v>0</v>
      </c>
      <c r="S332" s="72"/>
      <c r="T332" s="72"/>
      <c r="U332" s="72"/>
      <c r="V332" s="72"/>
      <c r="W332" s="72"/>
      <c r="X332" s="165"/>
      <c r="Y332" s="243"/>
      <c r="Z332" s="339"/>
      <c r="AA332" s="356"/>
    </row>
    <row r="333" spans="1:27" ht="24.95" hidden="1" customHeight="1" thickTop="1" thickBot="1" x14ac:dyDescent="0.25">
      <c r="A333" s="265"/>
      <c r="B333" s="42" t="s">
        <v>180</v>
      </c>
      <c r="C333" s="44" t="s">
        <v>19</v>
      </c>
      <c r="D333" s="86">
        <f t="shared" ref="D333:Q333" si="39">SUM(D237:D332)</f>
        <v>0</v>
      </c>
      <c r="E333" s="86">
        <f t="shared" si="39"/>
        <v>0</v>
      </c>
      <c r="F333" s="86">
        <f t="shared" si="39"/>
        <v>0</v>
      </c>
      <c r="G333" s="86">
        <f t="shared" si="39"/>
        <v>0</v>
      </c>
      <c r="H333" s="86">
        <f t="shared" si="39"/>
        <v>0</v>
      </c>
      <c r="I333" s="86">
        <f t="shared" si="39"/>
        <v>0</v>
      </c>
      <c r="J333" s="86">
        <f t="shared" si="39"/>
        <v>0</v>
      </c>
      <c r="K333" s="86">
        <f t="shared" si="39"/>
        <v>0</v>
      </c>
      <c r="L333" s="86">
        <f t="shared" si="39"/>
        <v>0</v>
      </c>
      <c r="M333" s="86">
        <f t="shared" si="39"/>
        <v>0</v>
      </c>
      <c r="N333" s="86">
        <f t="shared" si="39"/>
        <v>0</v>
      </c>
      <c r="O333" s="86">
        <f t="shared" si="39"/>
        <v>0</v>
      </c>
      <c r="P333" s="86">
        <f t="shared" si="39"/>
        <v>0</v>
      </c>
      <c r="Q333" s="86">
        <f t="shared" si="39"/>
        <v>0</v>
      </c>
      <c r="R333" s="86">
        <f t="shared" si="30"/>
        <v>0</v>
      </c>
      <c r="S333" s="86"/>
      <c r="T333" s="86">
        <f>SUM(T237:T332)</f>
        <v>0</v>
      </c>
      <c r="U333" s="86">
        <f>SUM(U237:U332)</f>
        <v>0</v>
      </c>
      <c r="V333" s="86">
        <f>SUM(V237:V332)</f>
        <v>0</v>
      </c>
      <c r="W333" s="86">
        <f>SUM(W237:W332)</f>
        <v>0</v>
      </c>
      <c r="X333" s="87">
        <f t="shared" si="27"/>
        <v>0</v>
      </c>
      <c r="Y333" s="87">
        <f t="shared" si="28"/>
        <v>0</v>
      </c>
      <c r="Z333" s="274">
        <f>SUM(Z237:Z332)</f>
        <v>0</v>
      </c>
      <c r="AA333" s="357"/>
    </row>
    <row r="334" spans="1:27" ht="24.95" hidden="1" customHeight="1" thickTop="1" x14ac:dyDescent="0.2">
      <c r="A334" s="213"/>
      <c r="B334" s="228"/>
      <c r="C334" s="229"/>
      <c r="D334" s="266"/>
      <c r="E334" s="266"/>
      <c r="F334" s="266"/>
      <c r="G334" s="266"/>
      <c r="H334" s="266"/>
      <c r="I334" s="266"/>
      <c r="J334" s="266"/>
      <c r="K334" s="266"/>
      <c r="L334" s="266"/>
      <c r="M334" s="266"/>
      <c r="N334" s="266"/>
      <c r="O334" s="266"/>
      <c r="P334" s="266"/>
      <c r="Q334" s="266"/>
      <c r="R334" s="266">
        <f t="shared" ref="R334:R350" si="40">SUM(D334:Q334)</f>
        <v>0</v>
      </c>
      <c r="S334" s="266"/>
      <c r="T334" s="266"/>
      <c r="U334" s="266"/>
      <c r="V334" s="266"/>
      <c r="W334" s="266"/>
      <c r="X334" s="267">
        <f t="shared" ref="X334:X343" si="41">SUM(T334:W334)</f>
        <v>0</v>
      </c>
      <c r="Y334" s="383"/>
      <c r="Z334" s="345"/>
      <c r="AA334" s="357"/>
    </row>
    <row r="335" spans="1:27" ht="16.5" hidden="1" customHeight="1" x14ac:dyDescent="0.2">
      <c r="A335" s="213"/>
      <c r="B335" s="74"/>
      <c r="C335" s="41" t="s">
        <v>182</v>
      </c>
      <c r="D335" s="170"/>
      <c r="E335" s="170"/>
      <c r="F335" s="159"/>
      <c r="G335" s="170"/>
      <c r="H335" s="170"/>
      <c r="I335" s="170"/>
      <c r="J335" s="170"/>
      <c r="K335" s="159"/>
      <c r="L335" s="159"/>
      <c r="M335" s="170"/>
      <c r="N335" s="170"/>
      <c r="O335" s="170"/>
      <c r="P335" s="170"/>
      <c r="Q335" s="170"/>
      <c r="R335" s="170">
        <f t="shared" si="40"/>
        <v>0</v>
      </c>
      <c r="S335" s="170"/>
      <c r="T335" s="170"/>
      <c r="U335" s="170"/>
      <c r="V335" s="170"/>
      <c r="W335" s="170"/>
      <c r="X335" s="171">
        <f t="shared" si="41"/>
        <v>0</v>
      </c>
      <c r="Y335" s="243">
        <f t="shared" ref="Y335:Y343" si="42">R335+X335</f>
        <v>0</v>
      </c>
      <c r="Z335" s="399"/>
      <c r="AA335" s="364"/>
    </row>
    <row r="336" spans="1:27" ht="16.5" hidden="1" customHeight="1" x14ac:dyDescent="0.2">
      <c r="A336" s="213"/>
      <c r="B336" s="570"/>
      <c r="C336" s="41" t="s">
        <v>178</v>
      </c>
      <c r="D336" s="170"/>
      <c r="E336" s="170"/>
      <c r="G336" s="170"/>
      <c r="H336" s="170"/>
      <c r="I336" s="170"/>
      <c r="J336" s="170"/>
      <c r="K336" s="159"/>
      <c r="L336" s="170"/>
      <c r="M336" s="170"/>
      <c r="N336" s="170"/>
      <c r="O336" s="170"/>
      <c r="P336" s="170"/>
      <c r="Q336" s="170"/>
      <c r="R336" s="170">
        <f t="shared" si="40"/>
        <v>0</v>
      </c>
      <c r="S336" s="170"/>
      <c r="T336" s="170"/>
      <c r="U336" s="170"/>
      <c r="V336" s="170"/>
      <c r="W336" s="170"/>
      <c r="X336" s="171"/>
      <c r="Y336" s="243">
        <f t="shared" si="42"/>
        <v>0</v>
      </c>
      <c r="Z336" s="399"/>
      <c r="AA336" s="364"/>
    </row>
    <row r="337" spans="1:27" ht="16.5" hidden="1" customHeight="1" x14ac:dyDescent="0.2">
      <c r="A337" s="213"/>
      <c r="B337" s="570"/>
      <c r="C337" s="41" t="s">
        <v>183</v>
      </c>
      <c r="D337" s="170"/>
      <c r="E337" s="170"/>
      <c r="F337" s="159"/>
      <c r="G337" s="170"/>
      <c r="H337" s="170"/>
      <c r="I337" s="170"/>
      <c r="J337" s="170"/>
      <c r="K337" s="159"/>
      <c r="L337" s="170"/>
      <c r="M337" s="170"/>
      <c r="N337" s="170"/>
      <c r="O337" s="170"/>
      <c r="P337" s="170"/>
      <c r="Q337" s="170"/>
      <c r="R337" s="170">
        <f t="shared" si="40"/>
        <v>0</v>
      </c>
      <c r="S337" s="170"/>
      <c r="T337" s="170"/>
      <c r="U337" s="170"/>
      <c r="V337" s="170"/>
      <c r="W337" s="170"/>
      <c r="X337" s="171"/>
      <c r="Y337" s="243">
        <f t="shared" si="42"/>
        <v>0</v>
      </c>
      <c r="Z337" s="399"/>
      <c r="AA337" s="364"/>
    </row>
    <row r="338" spans="1:27" ht="16.5" hidden="1" customHeight="1" x14ac:dyDescent="0.2">
      <c r="A338" s="213"/>
      <c r="B338" s="570"/>
      <c r="C338" s="41"/>
      <c r="D338" s="170"/>
      <c r="E338" s="170"/>
      <c r="F338" s="366"/>
      <c r="G338" s="170"/>
      <c r="H338" s="170"/>
      <c r="I338" s="170"/>
      <c r="J338" s="170"/>
      <c r="K338" s="159"/>
      <c r="L338" s="170"/>
      <c r="M338" s="170"/>
      <c r="N338" s="170"/>
      <c r="O338" s="170"/>
      <c r="P338" s="170"/>
      <c r="Q338" s="170"/>
      <c r="R338" s="170"/>
      <c r="S338" s="170"/>
      <c r="T338" s="170"/>
      <c r="U338" s="170"/>
      <c r="V338" s="170"/>
      <c r="W338" s="170"/>
      <c r="X338" s="171"/>
      <c r="Y338" s="243"/>
      <c r="Z338" s="399"/>
      <c r="AA338" s="364"/>
    </row>
    <row r="339" spans="1:27" ht="16.5" hidden="1" customHeight="1" x14ac:dyDescent="0.2">
      <c r="A339" s="213"/>
      <c r="B339" s="74" t="s">
        <v>22</v>
      </c>
      <c r="C339" s="39" t="s">
        <v>23</v>
      </c>
      <c r="D339" s="170"/>
      <c r="E339" s="170"/>
      <c r="G339" s="170"/>
      <c r="H339" s="170"/>
      <c r="I339" s="170"/>
      <c r="J339" s="170"/>
      <c r="K339" s="170"/>
      <c r="L339" s="170"/>
      <c r="M339" s="170"/>
      <c r="N339" s="170"/>
      <c r="O339" s="170"/>
      <c r="P339" s="170"/>
      <c r="Q339" s="170"/>
      <c r="R339" s="170">
        <f t="shared" si="40"/>
        <v>0</v>
      </c>
      <c r="S339" s="170"/>
      <c r="T339" s="170"/>
      <c r="U339" s="170"/>
      <c r="V339" s="170"/>
      <c r="W339" s="170"/>
      <c r="X339" s="171"/>
      <c r="Y339" s="243">
        <f t="shared" si="42"/>
        <v>0</v>
      </c>
      <c r="Z339" s="399"/>
      <c r="AA339" s="364"/>
    </row>
    <row r="340" spans="1:27" ht="16.5" hidden="1" customHeight="1" x14ac:dyDescent="0.25">
      <c r="A340" s="213"/>
      <c r="B340" s="91" t="s">
        <v>24</v>
      </c>
      <c r="C340" s="39" t="s">
        <v>23</v>
      </c>
      <c r="D340" s="170"/>
      <c r="E340" s="170"/>
      <c r="F340" s="170"/>
      <c r="G340" s="170"/>
      <c r="H340" s="170"/>
      <c r="I340" s="170"/>
      <c r="J340" s="170"/>
      <c r="K340" s="170"/>
      <c r="L340" s="170"/>
      <c r="M340" s="170"/>
      <c r="N340" s="170"/>
      <c r="O340" s="170"/>
      <c r="P340" s="170"/>
      <c r="Q340" s="170"/>
      <c r="R340" s="170">
        <f t="shared" si="40"/>
        <v>0</v>
      </c>
      <c r="S340" s="170"/>
      <c r="T340" s="170"/>
      <c r="U340" s="170"/>
      <c r="V340" s="170"/>
      <c r="W340" s="170"/>
      <c r="X340" s="171">
        <f t="shared" si="41"/>
        <v>0</v>
      </c>
      <c r="Y340" s="243">
        <f t="shared" si="42"/>
        <v>0</v>
      </c>
      <c r="Z340" s="399"/>
      <c r="AA340" s="364"/>
    </row>
    <row r="341" spans="1:27" ht="16.5" hidden="1" customHeight="1" x14ac:dyDescent="0.25">
      <c r="A341" s="26"/>
      <c r="B341" s="91" t="s">
        <v>81</v>
      </c>
      <c r="C341" s="39" t="s">
        <v>23</v>
      </c>
      <c r="D341" s="170"/>
      <c r="E341" s="170"/>
      <c r="F341" s="170"/>
      <c r="G341" s="170"/>
      <c r="H341" s="170"/>
      <c r="I341" s="170"/>
      <c r="J341" s="170"/>
      <c r="K341" s="170"/>
      <c r="L341" s="170"/>
      <c r="M341" s="170"/>
      <c r="N341" s="170"/>
      <c r="O341" s="170"/>
      <c r="P341" s="170"/>
      <c r="Q341" s="170"/>
      <c r="R341" s="170">
        <f t="shared" si="40"/>
        <v>0</v>
      </c>
      <c r="S341" s="170"/>
      <c r="T341" s="170"/>
      <c r="U341" s="170"/>
      <c r="V341" s="170"/>
      <c r="W341" s="170"/>
      <c r="X341" s="171">
        <f t="shared" si="41"/>
        <v>0</v>
      </c>
      <c r="Y341" s="243">
        <f t="shared" si="42"/>
        <v>0</v>
      </c>
      <c r="Z341" s="399"/>
      <c r="AA341" s="364"/>
    </row>
    <row r="342" spans="1:27" ht="16.5" hidden="1" customHeight="1" x14ac:dyDescent="0.25">
      <c r="A342" s="26"/>
      <c r="B342" s="91" t="s">
        <v>82</v>
      </c>
      <c r="C342" s="39" t="s">
        <v>23</v>
      </c>
      <c r="D342" s="170"/>
      <c r="E342" s="170"/>
      <c r="F342" s="170"/>
      <c r="G342" s="170"/>
      <c r="H342" s="170"/>
      <c r="I342" s="170"/>
      <c r="J342" s="170"/>
      <c r="K342" s="170"/>
      <c r="L342" s="170"/>
      <c r="M342" s="170"/>
      <c r="N342" s="170"/>
      <c r="O342" s="170"/>
      <c r="P342" s="170"/>
      <c r="Q342" s="170"/>
      <c r="R342" s="170">
        <f t="shared" si="40"/>
        <v>0</v>
      </c>
      <c r="S342" s="170"/>
      <c r="T342" s="170"/>
      <c r="U342" s="170"/>
      <c r="V342" s="170"/>
      <c r="W342" s="170"/>
      <c r="X342" s="171">
        <f t="shared" si="41"/>
        <v>0</v>
      </c>
      <c r="Y342" s="243">
        <f t="shared" si="42"/>
        <v>0</v>
      </c>
      <c r="Z342" s="399"/>
      <c r="AA342" s="364"/>
    </row>
    <row r="343" spans="1:27" ht="16.5" hidden="1" customHeight="1" x14ac:dyDescent="0.25">
      <c r="A343" s="26"/>
      <c r="B343" s="91" t="s">
        <v>26</v>
      </c>
      <c r="C343" s="39" t="s">
        <v>23</v>
      </c>
      <c r="D343" s="170"/>
      <c r="E343" s="170"/>
      <c r="F343" s="170"/>
      <c r="G343" s="170"/>
      <c r="H343" s="170"/>
      <c r="I343" s="170"/>
      <c r="J343" s="170"/>
      <c r="K343" s="170"/>
      <c r="L343" s="170"/>
      <c r="M343" s="170"/>
      <c r="N343" s="170"/>
      <c r="O343" s="170"/>
      <c r="P343" s="170"/>
      <c r="Q343" s="170"/>
      <c r="R343" s="170">
        <f t="shared" si="40"/>
        <v>0</v>
      </c>
      <c r="S343" s="170"/>
      <c r="T343" s="170"/>
      <c r="U343" s="170"/>
      <c r="V343" s="170"/>
      <c r="W343" s="170"/>
      <c r="X343" s="171">
        <f t="shared" si="41"/>
        <v>0</v>
      </c>
      <c r="Y343" s="243">
        <f t="shared" si="42"/>
        <v>0</v>
      </c>
      <c r="Z343" s="399"/>
      <c r="AA343" s="364"/>
    </row>
    <row r="344" spans="1:27" ht="16.5" hidden="1" customHeight="1" x14ac:dyDescent="0.25">
      <c r="A344" s="26"/>
      <c r="B344" s="91" t="s">
        <v>72</v>
      </c>
      <c r="C344" s="39" t="s">
        <v>23</v>
      </c>
      <c r="D344" s="170"/>
      <c r="E344" s="170"/>
      <c r="F344" s="170"/>
      <c r="G344" s="170"/>
      <c r="H344" s="170"/>
      <c r="I344" s="170"/>
      <c r="J344" s="170"/>
      <c r="K344" s="170"/>
      <c r="L344" s="170"/>
      <c r="M344" s="170"/>
      <c r="N344" s="170"/>
      <c r="O344" s="170"/>
      <c r="P344" s="170"/>
      <c r="Q344" s="170"/>
      <c r="R344" s="170">
        <f t="shared" si="40"/>
        <v>0</v>
      </c>
      <c r="S344" s="170"/>
      <c r="T344" s="170"/>
      <c r="U344" s="170"/>
      <c r="V344" s="170"/>
      <c r="W344" s="170"/>
      <c r="X344" s="171">
        <f t="shared" ref="X344:X414" si="43">SUM(T344:W344)</f>
        <v>0</v>
      </c>
      <c r="Y344" s="243">
        <f t="shared" ref="Y344:Y414" si="44">R344+X344</f>
        <v>0</v>
      </c>
      <c r="Z344" s="399"/>
      <c r="AA344" s="364"/>
    </row>
    <row r="345" spans="1:27" ht="16.5" hidden="1" customHeight="1" x14ac:dyDescent="0.25">
      <c r="A345" s="26"/>
      <c r="B345" s="91" t="s">
        <v>74</v>
      </c>
      <c r="C345" s="39" t="s">
        <v>23</v>
      </c>
      <c r="D345" s="170"/>
      <c r="E345" s="170"/>
      <c r="F345" s="170"/>
      <c r="G345" s="170"/>
      <c r="H345" s="170"/>
      <c r="I345" s="170"/>
      <c r="J345" s="170"/>
      <c r="K345" s="170"/>
      <c r="L345" s="170"/>
      <c r="M345" s="170"/>
      <c r="N345" s="170"/>
      <c r="O345" s="170"/>
      <c r="P345" s="170"/>
      <c r="Q345" s="170"/>
      <c r="R345" s="170">
        <f t="shared" si="40"/>
        <v>0</v>
      </c>
      <c r="S345" s="170"/>
      <c r="T345" s="170"/>
      <c r="U345" s="170"/>
      <c r="V345" s="170"/>
      <c r="W345" s="170"/>
      <c r="X345" s="171">
        <f t="shared" si="43"/>
        <v>0</v>
      </c>
      <c r="Y345" s="243">
        <f t="shared" si="44"/>
        <v>0</v>
      </c>
      <c r="Z345" s="399"/>
      <c r="AA345" s="364"/>
    </row>
    <row r="346" spans="1:27" ht="16.5" hidden="1" customHeight="1" x14ac:dyDescent="0.25">
      <c r="A346" s="26"/>
      <c r="B346" s="91" t="s">
        <v>115</v>
      </c>
      <c r="C346" s="39" t="s">
        <v>23</v>
      </c>
      <c r="D346" s="170"/>
      <c r="E346" s="170"/>
      <c r="F346" s="170"/>
      <c r="G346" s="170"/>
      <c r="H346" s="170"/>
      <c r="I346" s="170"/>
      <c r="J346" s="170"/>
      <c r="K346" s="170"/>
      <c r="L346" s="170"/>
      <c r="M346" s="170"/>
      <c r="N346" s="170"/>
      <c r="O346" s="170"/>
      <c r="P346" s="170"/>
      <c r="Q346" s="170"/>
      <c r="R346" s="170">
        <f t="shared" si="40"/>
        <v>0</v>
      </c>
      <c r="S346" s="170"/>
      <c r="T346" s="170"/>
      <c r="U346" s="170"/>
      <c r="V346" s="170"/>
      <c r="W346" s="170"/>
      <c r="X346" s="171">
        <f t="shared" si="43"/>
        <v>0</v>
      </c>
      <c r="Y346" s="243">
        <f t="shared" si="44"/>
        <v>0</v>
      </c>
      <c r="Z346" s="399"/>
      <c r="AA346" s="364"/>
    </row>
    <row r="347" spans="1:27" ht="16.5" hidden="1" customHeight="1" x14ac:dyDescent="0.25">
      <c r="A347" s="26"/>
      <c r="B347" s="91" t="s">
        <v>28</v>
      </c>
      <c r="C347" s="39" t="s">
        <v>23</v>
      </c>
      <c r="D347" s="170"/>
      <c r="E347" s="170"/>
      <c r="F347" s="170"/>
      <c r="G347" s="170"/>
      <c r="H347" s="170"/>
      <c r="I347" s="170"/>
      <c r="J347" s="170"/>
      <c r="K347" s="170"/>
      <c r="L347" s="170"/>
      <c r="M347" s="170"/>
      <c r="N347" s="170"/>
      <c r="O347" s="170"/>
      <c r="P347" s="170"/>
      <c r="Q347" s="170"/>
      <c r="R347" s="170">
        <f t="shared" si="40"/>
        <v>0</v>
      </c>
      <c r="S347" s="170"/>
      <c r="T347" s="170"/>
      <c r="U347" s="170"/>
      <c r="V347" s="170"/>
      <c r="W347" s="170"/>
      <c r="X347" s="171">
        <f t="shared" si="43"/>
        <v>0</v>
      </c>
      <c r="Y347" s="243">
        <f t="shared" si="44"/>
        <v>0</v>
      </c>
      <c r="Z347" s="399"/>
      <c r="AA347" s="364"/>
    </row>
    <row r="348" spans="1:27" ht="16.5" hidden="1" customHeight="1" x14ac:dyDescent="0.25">
      <c r="A348" s="26"/>
      <c r="B348" s="91" t="s">
        <v>29</v>
      </c>
      <c r="C348" s="39" t="s">
        <v>23</v>
      </c>
      <c r="D348" s="170"/>
      <c r="E348" s="170"/>
      <c r="F348" s="170"/>
      <c r="G348" s="170"/>
      <c r="H348" s="170"/>
      <c r="I348" s="170"/>
      <c r="J348" s="170"/>
      <c r="K348" s="170"/>
      <c r="L348" s="170"/>
      <c r="M348" s="170"/>
      <c r="N348" s="170"/>
      <c r="O348" s="170"/>
      <c r="P348" s="170"/>
      <c r="Q348" s="170"/>
      <c r="R348" s="170">
        <f t="shared" si="40"/>
        <v>0</v>
      </c>
      <c r="S348" s="170"/>
      <c r="T348" s="170"/>
      <c r="U348" s="170"/>
      <c r="V348" s="170"/>
      <c r="W348" s="170"/>
      <c r="X348" s="171">
        <f t="shared" si="43"/>
        <v>0</v>
      </c>
      <c r="Y348" s="243">
        <f t="shared" si="44"/>
        <v>0</v>
      </c>
      <c r="Z348" s="399"/>
      <c r="AA348" s="364"/>
    </row>
    <row r="349" spans="1:27" ht="16.5" hidden="1" customHeight="1" x14ac:dyDescent="0.2">
      <c r="A349" s="26"/>
      <c r="B349" s="74" t="s">
        <v>76</v>
      </c>
      <c r="C349" s="39" t="s">
        <v>23</v>
      </c>
      <c r="D349" s="170"/>
      <c r="E349" s="170"/>
      <c r="F349" s="170"/>
      <c r="G349" s="170"/>
      <c r="H349" s="170"/>
      <c r="I349" s="170"/>
      <c r="J349" s="170"/>
      <c r="K349" s="170"/>
      <c r="L349" s="170"/>
      <c r="M349" s="170"/>
      <c r="N349" s="170"/>
      <c r="O349" s="170"/>
      <c r="P349" s="170"/>
      <c r="Q349" s="170"/>
      <c r="R349" s="170">
        <f t="shared" si="40"/>
        <v>0</v>
      </c>
      <c r="S349" s="170"/>
      <c r="T349" s="170"/>
      <c r="U349" s="170"/>
      <c r="V349" s="170"/>
      <c r="W349" s="170"/>
      <c r="X349" s="171">
        <f t="shared" si="43"/>
        <v>0</v>
      </c>
      <c r="Y349" s="243">
        <f t="shared" si="44"/>
        <v>0</v>
      </c>
      <c r="Z349" s="399"/>
      <c r="AA349" s="364"/>
    </row>
    <row r="350" spans="1:27" ht="16.5" hidden="1" customHeight="1" x14ac:dyDescent="0.2">
      <c r="A350" s="26"/>
      <c r="B350" s="74" t="s">
        <v>96</v>
      </c>
      <c r="C350" s="39" t="s">
        <v>23</v>
      </c>
      <c r="D350" s="170"/>
      <c r="E350" s="170"/>
      <c r="F350" s="170"/>
      <c r="G350" s="170"/>
      <c r="H350" s="170"/>
      <c r="I350" s="170"/>
      <c r="J350" s="170"/>
      <c r="K350" s="170"/>
      <c r="L350" s="170"/>
      <c r="M350" s="170"/>
      <c r="N350" s="170"/>
      <c r="O350" s="170"/>
      <c r="P350" s="170"/>
      <c r="Q350" s="170"/>
      <c r="R350" s="170">
        <f t="shared" si="40"/>
        <v>0</v>
      </c>
      <c r="S350" s="170"/>
      <c r="T350" s="170"/>
      <c r="U350" s="170"/>
      <c r="V350" s="170"/>
      <c r="W350" s="170"/>
      <c r="X350" s="171">
        <f t="shared" si="43"/>
        <v>0</v>
      </c>
      <c r="Y350" s="243">
        <f t="shared" si="44"/>
        <v>0</v>
      </c>
      <c r="Z350" s="399"/>
      <c r="AA350" s="364"/>
    </row>
    <row r="351" spans="1:27" ht="16.5" hidden="1" customHeight="1" x14ac:dyDescent="0.2">
      <c r="A351" s="26"/>
      <c r="B351" s="74" t="s">
        <v>97</v>
      </c>
      <c r="C351" s="39" t="s">
        <v>23</v>
      </c>
      <c r="D351" s="170"/>
      <c r="E351" s="170"/>
      <c r="F351" s="170"/>
      <c r="G351" s="170"/>
      <c r="H351" s="170"/>
      <c r="I351" s="170"/>
      <c r="J351" s="170"/>
      <c r="K351" s="170"/>
      <c r="L351" s="170"/>
      <c r="M351" s="170"/>
      <c r="N351" s="170"/>
      <c r="O351" s="170"/>
      <c r="P351" s="170"/>
      <c r="Q351" s="170"/>
      <c r="R351" s="170">
        <f t="shared" ref="R351:R421" si="45">SUM(D351:Q351)</f>
        <v>0</v>
      </c>
      <c r="S351" s="170"/>
      <c r="T351" s="170"/>
      <c r="U351" s="170"/>
      <c r="V351" s="170"/>
      <c r="W351" s="170"/>
      <c r="X351" s="171">
        <f t="shared" si="43"/>
        <v>0</v>
      </c>
      <c r="Y351" s="243">
        <f t="shared" si="44"/>
        <v>0</v>
      </c>
      <c r="Z351" s="399"/>
      <c r="AA351" s="364"/>
    </row>
    <row r="352" spans="1:27" ht="16.5" hidden="1" customHeight="1" x14ac:dyDescent="0.2">
      <c r="A352" s="26"/>
      <c r="B352" s="74" t="s">
        <v>117</v>
      </c>
      <c r="C352" s="39" t="s">
        <v>23</v>
      </c>
      <c r="D352" s="170"/>
      <c r="E352" s="170"/>
      <c r="F352" s="170"/>
      <c r="G352" s="170"/>
      <c r="H352" s="170"/>
      <c r="I352" s="170"/>
      <c r="J352" s="170"/>
      <c r="K352" s="170"/>
      <c r="L352" s="170"/>
      <c r="M352" s="170"/>
      <c r="N352" s="170"/>
      <c r="O352" s="170"/>
      <c r="P352" s="170"/>
      <c r="Q352" s="170"/>
      <c r="R352" s="170">
        <f t="shared" si="45"/>
        <v>0</v>
      </c>
      <c r="S352" s="170"/>
      <c r="T352" s="170"/>
      <c r="U352" s="170"/>
      <c r="V352" s="170"/>
      <c r="W352" s="170"/>
      <c r="X352" s="171">
        <f t="shared" si="43"/>
        <v>0</v>
      </c>
      <c r="Y352" s="243">
        <f t="shared" si="44"/>
        <v>0</v>
      </c>
      <c r="Z352" s="399"/>
      <c r="AA352" s="364"/>
    </row>
    <row r="353" spans="1:28" ht="16.5" hidden="1" customHeight="1" x14ac:dyDescent="0.2">
      <c r="A353" s="26"/>
      <c r="B353" s="401" t="s">
        <v>24</v>
      </c>
      <c r="C353" s="402" t="s">
        <v>118</v>
      </c>
      <c r="D353" s="170"/>
      <c r="E353" s="170"/>
      <c r="F353" s="403"/>
      <c r="G353" s="170"/>
      <c r="H353" s="170"/>
      <c r="I353" s="170"/>
      <c r="J353" s="170"/>
      <c r="K353" s="170"/>
      <c r="L353" s="170"/>
      <c r="M353" s="170"/>
      <c r="N353" s="170"/>
      <c r="O353" s="170"/>
      <c r="P353" s="170"/>
      <c r="Q353" s="170"/>
      <c r="R353" s="170">
        <f t="shared" si="45"/>
        <v>0</v>
      </c>
      <c r="S353" s="170"/>
      <c r="T353" s="170"/>
      <c r="U353" s="170"/>
      <c r="V353" s="170"/>
      <c r="W353" s="170"/>
      <c r="X353" s="171">
        <f t="shared" si="43"/>
        <v>0</v>
      </c>
      <c r="Y353" s="406">
        <f t="shared" si="44"/>
        <v>0</v>
      </c>
      <c r="Z353" s="399"/>
      <c r="AA353" s="364"/>
    </row>
    <row r="354" spans="1:28" ht="17.25" hidden="1" customHeight="1" x14ac:dyDescent="0.2">
      <c r="A354" s="82"/>
      <c r="B354" s="84"/>
      <c r="C354" s="41"/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  <c r="Q354" s="159"/>
      <c r="R354" s="159">
        <f t="shared" si="45"/>
        <v>0</v>
      </c>
      <c r="S354" s="159"/>
      <c r="T354" s="159"/>
      <c r="U354" s="159"/>
      <c r="V354" s="159"/>
      <c r="W354" s="159"/>
      <c r="X354" s="165">
        <f t="shared" si="43"/>
        <v>0</v>
      </c>
      <c r="Y354" s="243">
        <f t="shared" si="44"/>
        <v>0</v>
      </c>
      <c r="Z354" s="339"/>
      <c r="AA354" s="364"/>
    </row>
    <row r="355" spans="1:28" ht="18.75" hidden="1" customHeight="1" thickTop="1" thickBot="1" x14ac:dyDescent="0.25">
      <c r="A355" s="47"/>
      <c r="B355" s="90"/>
      <c r="C355" s="44" t="s">
        <v>31</v>
      </c>
      <c r="D355" s="166">
        <f>SUM(D334:D354)</f>
        <v>0</v>
      </c>
      <c r="E355" s="166">
        <f>SUM(E334:E354)</f>
        <v>0</v>
      </c>
      <c r="F355" s="166">
        <f>SUM(F334:F354)</f>
        <v>0</v>
      </c>
      <c r="G355" s="166">
        <f t="shared" ref="G355:R355" si="46">SUM(G334:G354)</f>
        <v>0</v>
      </c>
      <c r="H355" s="166">
        <f t="shared" si="46"/>
        <v>0</v>
      </c>
      <c r="I355" s="166">
        <f t="shared" si="46"/>
        <v>0</v>
      </c>
      <c r="J355" s="166">
        <f t="shared" si="46"/>
        <v>0</v>
      </c>
      <c r="K355" s="166">
        <f t="shared" si="46"/>
        <v>0</v>
      </c>
      <c r="L355" s="166">
        <f t="shared" si="46"/>
        <v>0</v>
      </c>
      <c r="M355" s="166">
        <f t="shared" si="46"/>
        <v>0</v>
      </c>
      <c r="N355" s="166">
        <f t="shared" si="46"/>
        <v>0</v>
      </c>
      <c r="O355" s="166">
        <f t="shared" si="46"/>
        <v>0</v>
      </c>
      <c r="P355" s="166">
        <f t="shared" si="46"/>
        <v>0</v>
      </c>
      <c r="Q355" s="166">
        <f t="shared" si="46"/>
        <v>0</v>
      </c>
      <c r="R355" s="166">
        <f t="shared" si="46"/>
        <v>0</v>
      </c>
      <c r="S355" s="166"/>
      <c r="T355" s="166">
        <f t="shared" ref="T355:Z355" si="47">SUM(T334:T354)</f>
        <v>0</v>
      </c>
      <c r="U355" s="166">
        <f t="shared" si="47"/>
        <v>0</v>
      </c>
      <c r="V355" s="166">
        <f t="shared" si="47"/>
        <v>0</v>
      </c>
      <c r="W355" s="166">
        <f t="shared" si="47"/>
        <v>0</v>
      </c>
      <c r="X355" s="169">
        <f t="shared" si="47"/>
        <v>0</v>
      </c>
      <c r="Y355" s="169">
        <f t="shared" si="47"/>
        <v>0</v>
      </c>
      <c r="Z355" s="276">
        <f t="shared" si="47"/>
        <v>0</v>
      </c>
      <c r="AA355" s="365"/>
    </row>
    <row r="356" spans="1:28" ht="9.9499999999999993" hidden="1" customHeight="1" thickTop="1" x14ac:dyDescent="0.2">
      <c r="A356" s="192"/>
      <c r="B356" s="193"/>
      <c r="C356" s="194"/>
      <c r="D356" s="195"/>
      <c r="E356" s="195"/>
      <c r="F356" s="195"/>
      <c r="G356" s="195"/>
      <c r="H356" s="195"/>
      <c r="I356" s="195"/>
      <c r="J356" s="195"/>
      <c r="K356" s="195"/>
      <c r="L356" s="195"/>
      <c r="M356" s="195"/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277"/>
      <c r="AA356" s="365"/>
    </row>
    <row r="357" spans="1:28" ht="17.25" hidden="1" customHeight="1" x14ac:dyDescent="0.2">
      <c r="A357" s="197"/>
      <c r="B357" s="198"/>
      <c r="C357" s="206" t="s">
        <v>69</v>
      </c>
      <c r="D357" s="199"/>
      <c r="E357" s="199"/>
      <c r="F357" s="199"/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>
        <f t="shared" si="45"/>
        <v>0</v>
      </c>
      <c r="S357" s="199"/>
      <c r="T357" s="199"/>
      <c r="U357" s="199"/>
      <c r="V357" s="199"/>
      <c r="W357" s="199"/>
      <c r="X357" s="199">
        <f t="shared" si="43"/>
        <v>0</v>
      </c>
      <c r="Y357" s="199">
        <f t="shared" si="44"/>
        <v>0</v>
      </c>
      <c r="Z357" s="278"/>
      <c r="AA357" s="365"/>
    </row>
    <row r="358" spans="1:28" ht="9.9499999999999993" hidden="1" customHeight="1" thickBot="1" x14ac:dyDescent="0.25">
      <c r="A358" s="201"/>
      <c r="B358" s="202"/>
      <c r="C358" s="203"/>
      <c r="D358" s="204"/>
      <c r="E358" s="204"/>
      <c r="F358" s="204"/>
      <c r="G358" s="204"/>
      <c r="H358" s="204"/>
      <c r="I358" s="204"/>
      <c r="J358" s="204"/>
      <c r="K358" s="204"/>
      <c r="L358" s="204"/>
      <c r="M358" s="204"/>
      <c r="N358" s="204"/>
      <c r="O358" s="204"/>
      <c r="P358" s="204"/>
      <c r="Q358" s="204"/>
      <c r="R358" s="204"/>
      <c r="S358" s="204"/>
      <c r="T358" s="204"/>
      <c r="U358" s="204"/>
      <c r="V358" s="204"/>
      <c r="W358" s="204"/>
      <c r="X358" s="204"/>
      <c r="Y358" s="204"/>
      <c r="Z358" s="279"/>
      <c r="AA358" s="365"/>
    </row>
    <row r="359" spans="1:28" ht="24.75" hidden="1" customHeight="1" thickTop="1" thickBot="1" x14ac:dyDescent="0.25">
      <c r="A359" s="92"/>
      <c r="B359" s="128" t="s">
        <v>184</v>
      </c>
      <c r="C359" s="44" t="s">
        <v>151</v>
      </c>
      <c r="D359" s="571">
        <f>D236+D333+D355+D357</f>
        <v>154018</v>
      </c>
      <c r="E359" s="571">
        <f t="shared" ref="E359:Z359" si="48">E236+E333+E355+E357</f>
        <v>36396</v>
      </c>
      <c r="F359" s="571">
        <f t="shared" si="48"/>
        <v>4730285.9090000009</v>
      </c>
      <c r="G359" s="571">
        <f t="shared" si="48"/>
        <v>197440</v>
      </c>
      <c r="H359" s="571">
        <f t="shared" si="48"/>
        <v>150591.49600000001</v>
      </c>
      <c r="I359" s="571">
        <f t="shared" si="48"/>
        <v>52112</v>
      </c>
      <c r="J359" s="571">
        <f t="shared" si="48"/>
        <v>685330</v>
      </c>
      <c r="K359" s="571">
        <f t="shared" si="48"/>
        <v>2855229.594</v>
      </c>
      <c r="L359" s="571">
        <f t="shared" si="48"/>
        <v>3011496</v>
      </c>
      <c r="M359" s="571">
        <f t="shared" si="48"/>
        <v>37208</v>
      </c>
      <c r="N359" s="571">
        <f t="shared" si="48"/>
        <v>57843</v>
      </c>
      <c r="O359" s="571">
        <f t="shared" si="48"/>
        <v>10000</v>
      </c>
      <c r="P359" s="571">
        <f t="shared" si="48"/>
        <v>0</v>
      </c>
      <c r="Q359" s="571">
        <f t="shared" si="48"/>
        <v>563293</v>
      </c>
      <c r="R359" s="571">
        <f t="shared" si="48"/>
        <v>12541242.999000002</v>
      </c>
      <c r="S359" s="172"/>
      <c r="T359" s="571">
        <f t="shared" si="48"/>
        <v>0</v>
      </c>
      <c r="U359" s="571">
        <f t="shared" si="48"/>
        <v>3740000</v>
      </c>
      <c r="V359" s="571">
        <f t="shared" si="48"/>
        <v>66267.035000000003</v>
      </c>
      <c r="W359" s="571">
        <f t="shared" si="48"/>
        <v>0</v>
      </c>
      <c r="X359" s="572">
        <f t="shared" si="48"/>
        <v>3806267.0350000001</v>
      </c>
      <c r="Y359" s="572">
        <f t="shared" si="48"/>
        <v>16347510.034000002</v>
      </c>
      <c r="Z359" s="573">
        <f t="shared" si="48"/>
        <v>6436382.5250000004</v>
      </c>
      <c r="AA359" s="367"/>
      <c r="AB359" s="134"/>
    </row>
    <row r="360" spans="1:28" ht="24.95" hidden="1" customHeight="1" thickTop="1" x14ac:dyDescent="0.2">
      <c r="A360" s="576"/>
      <c r="B360" s="576" t="s">
        <v>185</v>
      </c>
      <c r="C360" s="580" t="s">
        <v>18</v>
      </c>
      <c r="D360" s="581">
        <f t="shared" ref="D360:Q360" si="49">D359</f>
        <v>154018</v>
      </c>
      <c r="E360" s="581">
        <f t="shared" si="49"/>
        <v>36396</v>
      </c>
      <c r="F360" s="581">
        <f t="shared" si="49"/>
        <v>4730285.9090000009</v>
      </c>
      <c r="G360" s="581">
        <f t="shared" si="49"/>
        <v>197440</v>
      </c>
      <c r="H360" s="581">
        <f t="shared" si="49"/>
        <v>150591.49600000001</v>
      </c>
      <c r="I360" s="581">
        <f t="shared" si="49"/>
        <v>52112</v>
      </c>
      <c r="J360" s="581">
        <f t="shared" si="49"/>
        <v>685330</v>
      </c>
      <c r="K360" s="581">
        <f t="shared" si="49"/>
        <v>2855229.594</v>
      </c>
      <c r="L360" s="581">
        <f t="shared" si="49"/>
        <v>3011496</v>
      </c>
      <c r="M360" s="581">
        <f t="shared" si="49"/>
        <v>37208</v>
      </c>
      <c r="N360" s="581">
        <f t="shared" si="49"/>
        <v>57843</v>
      </c>
      <c r="O360" s="581">
        <f t="shared" si="49"/>
        <v>10000</v>
      </c>
      <c r="P360" s="581">
        <f t="shared" si="49"/>
        <v>0</v>
      </c>
      <c r="Q360" s="581">
        <f t="shared" si="49"/>
        <v>563293</v>
      </c>
      <c r="R360" s="581">
        <f t="shared" si="45"/>
        <v>12541242.999000002</v>
      </c>
      <c r="S360" s="581"/>
      <c r="T360" s="581">
        <f>T359</f>
        <v>0</v>
      </c>
      <c r="U360" s="581">
        <f>U359</f>
        <v>3740000</v>
      </c>
      <c r="V360" s="581">
        <f>V359</f>
        <v>66267.035000000003</v>
      </c>
      <c r="W360" s="581">
        <f>W359</f>
        <v>0</v>
      </c>
      <c r="X360" s="582">
        <f t="shared" si="43"/>
        <v>3806267.0350000001</v>
      </c>
      <c r="Y360" s="583">
        <f t="shared" si="44"/>
        <v>16347510.034000002</v>
      </c>
      <c r="Z360" s="584">
        <f>Z359</f>
        <v>6436382.5250000004</v>
      </c>
      <c r="AA360" s="357"/>
    </row>
    <row r="361" spans="1:28" ht="20.100000000000001" hidden="1" customHeight="1" x14ac:dyDescent="0.25">
      <c r="A361" s="26">
        <v>1</v>
      </c>
      <c r="B361" s="91"/>
      <c r="C361" s="39"/>
      <c r="D361" s="170"/>
      <c r="E361" s="170"/>
      <c r="F361" s="170"/>
      <c r="G361" s="170"/>
      <c r="H361" s="170"/>
      <c r="I361" s="170"/>
      <c r="J361" s="170"/>
      <c r="K361" s="170"/>
      <c r="L361" s="170"/>
      <c r="M361" s="170"/>
      <c r="N361" s="170"/>
      <c r="O361" s="170"/>
      <c r="P361" s="170"/>
      <c r="Q361" s="170"/>
      <c r="R361" s="170">
        <f t="shared" si="45"/>
        <v>0</v>
      </c>
      <c r="S361" s="170"/>
      <c r="T361" s="170"/>
      <c r="U361" s="170"/>
      <c r="V361" s="170"/>
      <c r="W361" s="170"/>
      <c r="X361" s="171">
        <f t="shared" si="43"/>
        <v>0</v>
      </c>
      <c r="Y361" s="243">
        <f t="shared" si="44"/>
        <v>0</v>
      </c>
      <c r="Z361" s="399"/>
      <c r="AA361" s="364"/>
    </row>
    <row r="362" spans="1:28" ht="20.100000000000001" hidden="1" customHeight="1" x14ac:dyDescent="0.25">
      <c r="A362" s="26">
        <v>2</v>
      </c>
      <c r="B362" s="91"/>
      <c r="C362" s="39"/>
      <c r="D362" s="170"/>
      <c r="E362" s="170"/>
      <c r="F362" s="170"/>
      <c r="G362" s="170"/>
      <c r="H362" s="170"/>
      <c r="I362" s="170"/>
      <c r="J362" s="170"/>
      <c r="K362" s="170"/>
      <c r="L362" s="170"/>
      <c r="M362" s="170"/>
      <c r="N362" s="170"/>
      <c r="O362" s="170"/>
      <c r="P362" s="170"/>
      <c r="Q362" s="170"/>
      <c r="R362" s="170">
        <f t="shared" si="45"/>
        <v>0</v>
      </c>
      <c r="S362" s="170"/>
      <c r="T362" s="170"/>
      <c r="U362" s="170"/>
      <c r="V362" s="170"/>
      <c r="W362" s="170"/>
      <c r="X362" s="171">
        <f t="shared" si="43"/>
        <v>0</v>
      </c>
      <c r="Y362" s="243">
        <f t="shared" si="44"/>
        <v>0</v>
      </c>
      <c r="Z362" s="399"/>
      <c r="AA362" s="364"/>
    </row>
    <row r="363" spans="1:28" ht="20.100000000000001" hidden="1" customHeight="1" x14ac:dyDescent="0.25">
      <c r="A363" s="26">
        <v>3</v>
      </c>
      <c r="B363" s="91"/>
      <c r="C363" s="39"/>
      <c r="D363" s="170"/>
      <c r="E363" s="170"/>
      <c r="F363" s="170"/>
      <c r="G363" s="170"/>
      <c r="H363" s="170"/>
      <c r="I363" s="170"/>
      <c r="J363" s="170"/>
      <c r="K363" s="170"/>
      <c r="L363" s="170"/>
      <c r="M363" s="170"/>
      <c r="N363" s="170"/>
      <c r="O363" s="170"/>
      <c r="P363" s="170"/>
      <c r="Q363" s="170"/>
      <c r="R363" s="170">
        <f t="shared" si="45"/>
        <v>0</v>
      </c>
      <c r="S363" s="170"/>
      <c r="T363" s="170"/>
      <c r="U363" s="170"/>
      <c r="V363" s="170"/>
      <c r="W363" s="170"/>
      <c r="X363" s="171">
        <f t="shared" si="43"/>
        <v>0</v>
      </c>
      <c r="Y363" s="243">
        <f t="shared" si="44"/>
        <v>0</v>
      </c>
      <c r="Z363" s="399"/>
      <c r="AA363" s="364"/>
    </row>
    <row r="364" spans="1:28" ht="20.100000000000001" hidden="1" customHeight="1" x14ac:dyDescent="0.25">
      <c r="A364" s="26">
        <v>4</v>
      </c>
      <c r="B364" s="91"/>
      <c r="C364" s="39"/>
      <c r="D364" s="170"/>
      <c r="E364" s="170"/>
      <c r="F364" s="170"/>
      <c r="G364" s="170"/>
      <c r="H364" s="170"/>
      <c r="I364" s="170"/>
      <c r="J364" s="170"/>
      <c r="K364" s="170"/>
      <c r="L364" s="170"/>
      <c r="M364" s="170"/>
      <c r="N364" s="170"/>
      <c r="O364" s="170"/>
      <c r="P364" s="170"/>
      <c r="Q364" s="170"/>
      <c r="R364" s="170">
        <f>SUM(D364:Q364)</f>
        <v>0</v>
      </c>
      <c r="S364" s="170"/>
      <c r="T364" s="170"/>
      <c r="U364" s="170"/>
      <c r="V364" s="170"/>
      <c r="W364" s="170"/>
      <c r="X364" s="171">
        <f>SUM(T364:W364)</f>
        <v>0</v>
      </c>
      <c r="Y364" s="243">
        <f>R364+X364</f>
        <v>0</v>
      </c>
      <c r="Z364" s="399"/>
      <c r="AA364" s="364"/>
    </row>
    <row r="365" spans="1:28" ht="20.100000000000001" hidden="1" customHeight="1" x14ac:dyDescent="0.2">
      <c r="A365" s="26">
        <v>5</v>
      </c>
      <c r="B365" s="74"/>
      <c r="C365" s="39"/>
      <c r="D365" s="170"/>
      <c r="E365" s="170"/>
      <c r="F365" s="170"/>
      <c r="G365" s="170"/>
      <c r="H365" s="170"/>
      <c r="I365" s="170"/>
      <c r="J365" s="170"/>
      <c r="K365" s="170"/>
      <c r="L365" s="170"/>
      <c r="M365" s="170"/>
      <c r="N365" s="170"/>
      <c r="O365" s="170"/>
      <c r="P365" s="170"/>
      <c r="Q365" s="170"/>
      <c r="R365" s="170">
        <f t="shared" si="45"/>
        <v>0</v>
      </c>
      <c r="S365" s="170"/>
      <c r="T365" s="170"/>
      <c r="U365" s="170"/>
      <c r="V365" s="170"/>
      <c r="W365" s="170"/>
      <c r="X365" s="171">
        <f t="shared" si="43"/>
        <v>0</v>
      </c>
      <c r="Y365" s="243">
        <f t="shared" si="44"/>
        <v>0</v>
      </c>
      <c r="Z365" s="399"/>
      <c r="AA365" s="364"/>
    </row>
    <row r="366" spans="1:28" ht="20.100000000000001" hidden="1" customHeight="1" x14ac:dyDescent="0.25">
      <c r="A366" s="26">
        <v>6</v>
      </c>
      <c r="B366" s="91"/>
      <c r="C366" s="39"/>
      <c r="D366" s="170"/>
      <c r="E366" s="170"/>
      <c r="F366" s="170"/>
      <c r="G366" s="170"/>
      <c r="H366" s="170"/>
      <c r="I366" s="170"/>
      <c r="J366" s="170"/>
      <c r="K366" s="170"/>
      <c r="L366" s="170"/>
      <c r="M366" s="170"/>
      <c r="N366" s="170"/>
      <c r="O366" s="170"/>
      <c r="P366" s="170"/>
      <c r="Q366" s="170"/>
      <c r="R366" s="170">
        <f t="shared" si="45"/>
        <v>0</v>
      </c>
      <c r="S366" s="170"/>
      <c r="T366" s="170"/>
      <c r="U366" s="170"/>
      <c r="V366" s="170"/>
      <c r="W366" s="170"/>
      <c r="X366" s="171">
        <f t="shared" si="43"/>
        <v>0</v>
      </c>
      <c r="Y366" s="243">
        <f t="shared" si="44"/>
        <v>0</v>
      </c>
      <c r="Z366" s="399"/>
      <c r="AA366" s="364"/>
    </row>
    <row r="367" spans="1:28" ht="20.100000000000001" hidden="1" customHeight="1" x14ac:dyDescent="0.25">
      <c r="A367" s="26">
        <v>7</v>
      </c>
      <c r="B367" s="91"/>
      <c r="C367" s="39"/>
      <c r="D367" s="170"/>
      <c r="E367" s="170"/>
      <c r="F367" s="170"/>
      <c r="G367" s="170"/>
      <c r="H367" s="170"/>
      <c r="I367" s="170"/>
      <c r="J367" s="170"/>
      <c r="K367" s="170"/>
      <c r="L367" s="170"/>
      <c r="M367" s="170"/>
      <c r="N367" s="170"/>
      <c r="O367" s="170"/>
      <c r="P367" s="170"/>
      <c r="Q367" s="170"/>
      <c r="R367" s="170">
        <f t="shared" si="45"/>
        <v>0</v>
      </c>
      <c r="S367" s="170"/>
      <c r="T367" s="170"/>
      <c r="U367" s="170"/>
      <c r="V367" s="170"/>
      <c r="W367" s="170"/>
      <c r="X367" s="171">
        <f t="shared" si="43"/>
        <v>0</v>
      </c>
      <c r="Y367" s="243">
        <f t="shared" si="44"/>
        <v>0</v>
      </c>
      <c r="Z367" s="399"/>
      <c r="AA367" s="364"/>
    </row>
    <row r="368" spans="1:28" ht="20.100000000000001" hidden="1" customHeight="1" x14ac:dyDescent="0.25">
      <c r="A368" s="26">
        <v>8</v>
      </c>
      <c r="B368" s="91"/>
      <c r="C368" s="39"/>
      <c r="D368" s="170"/>
      <c r="E368" s="170"/>
      <c r="F368" s="170"/>
      <c r="G368" s="170"/>
      <c r="H368" s="170"/>
      <c r="I368" s="170"/>
      <c r="J368" s="170"/>
      <c r="K368" s="170"/>
      <c r="L368" s="170"/>
      <c r="M368" s="170"/>
      <c r="N368" s="170"/>
      <c r="O368" s="170"/>
      <c r="P368" s="170"/>
      <c r="Q368" s="170"/>
      <c r="R368" s="170">
        <f t="shared" si="45"/>
        <v>0</v>
      </c>
      <c r="S368" s="170"/>
      <c r="T368" s="170"/>
      <c r="U368" s="170"/>
      <c r="V368" s="170"/>
      <c r="W368" s="170"/>
      <c r="X368" s="171">
        <f t="shared" si="43"/>
        <v>0</v>
      </c>
      <c r="Y368" s="243">
        <f t="shared" si="44"/>
        <v>0</v>
      </c>
      <c r="Z368" s="399"/>
      <c r="AA368" s="364"/>
    </row>
    <row r="369" spans="1:42" ht="20.100000000000001" hidden="1" customHeight="1" x14ac:dyDescent="0.25">
      <c r="A369" s="26">
        <v>9</v>
      </c>
      <c r="B369" s="91"/>
      <c r="C369" s="39"/>
      <c r="D369" s="170"/>
      <c r="E369" s="170"/>
      <c r="F369" s="170"/>
      <c r="G369" s="170"/>
      <c r="H369" s="170"/>
      <c r="I369" s="170"/>
      <c r="J369" s="170"/>
      <c r="K369" s="170"/>
      <c r="L369" s="170"/>
      <c r="M369" s="170"/>
      <c r="N369" s="170"/>
      <c r="O369" s="170"/>
      <c r="P369" s="170"/>
      <c r="Q369" s="170"/>
      <c r="R369" s="170">
        <f t="shared" si="45"/>
        <v>0</v>
      </c>
      <c r="S369" s="170"/>
      <c r="T369" s="170"/>
      <c r="U369" s="170"/>
      <c r="V369" s="170"/>
      <c r="W369" s="170"/>
      <c r="X369" s="171">
        <f t="shared" si="43"/>
        <v>0</v>
      </c>
      <c r="Y369" s="243">
        <f t="shared" si="44"/>
        <v>0</v>
      </c>
      <c r="Z369" s="399"/>
      <c r="AA369" s="364"/>
    </row>
    <row r="370" spans="1:42" ht="20.100000000000001" hidden="1" customHeight="1" x14ac:dyDescent="0.25">
      <c r="A370" s="26">
        <v>10</v>
      </c>
      <c r="B370" s="91"/>
      <c r="C370" s="39"/>
      <c r="D370" s="170"/>
      <c r="E370" s="170"/>
      <c r="F370" s="170"/>
      <c r="G370" s="170"/>
      <c r="H370" s="170"/>
      <c r="I370" s="170"/>
      <c r="J370" s="170"/>
      <c r="K370" s="170"/>
      <c r="L370" s="170"/>
      <c r="M370" s="170"/>
      <c r="N370" s="170"/>
      <c r="O370" s="170"/>
      <c r="P370" s="170"/>
      <c r="Q370" s="170"/>
      <c r="R370" s="170">
        <f t="shared" si="45"/>
        <v>0</v>
      </c>
      <c r="S370" s="170"/>
      <c r="T370" s="170"/>
      <c r="U370" s="170"/>
      <c r="V370" s="170"/>
      <c r="W370" s="170"/>
      <c r="X370" s="171">
        <f t="shared" si="43"/>
        <v>0</v>
      </c>
      <c r="Y370" s="243">
        <f t="shared" si="44"/>
        <v>0</v>
      </c>
      <c r="Z370" s="399"/>
      <c r="AA370" s="364"/>
    </row>
    <row r="371" spans="1:42" ht="20.100000000000001" hidden="1" customHeight="1" x14ac:dyDescent="0.25">
      <c r="A371" s="26">
        <v>11</v>
      </c>
      <c r="B371" s="91"/>
      <c r="C371" s="39"/>
      <c r="D371" s="170"/>
      <c r="E371" s="170"/>
      <c r="F371" s="170"/>
      <c r="G371" s="170"/>
      <c r="H371" s="170"/>
      <c r="I371" s="170"/>
      <c r="J371" s="170"/>
      <c r="K371" s="170"/>
      <c r="L371" s="170"/>
      <c r="M371" s="170"/>
      <c r="N371" s="170"/>
      <c r="O371" s="170"/>
      <c r="P371" s="170"/>
      <c r="Q371" s="170"/>
      <c r="R371" s="170">
        <f t="shared" si="45"/>
        <v>0</v>
      </c>
      <c r="S371" s="170"/>
      <c r="T371" s="170"/>
      <c r="U371" s="170"/>
      <c r="V371" s="170"/>
      <c r="W371" s="170"/>
      <c r="X371" s="171">
        <f t="shared" si="43"/>
        <v>0</v>
      </c>
      <c r="Y371" s="243">
        <f t="shared" si="44"/>
        <v>0</v>
      </c>
      <c r="Z371" s="399"/>
      <c r="AA371" s="364"/>
    </row>
    <row r="372" spans="1:42" ht="20.100000000000001" hidden="1" customHeight="1" x14ac:dyDescent="0.25">
      <c r="A372" s="26">
        <v>12</v>
      </c>
      <c r="B372" s="91"/>
      <c r="C372" s="39"/>
      <c r="D372" s="170"/>
      <c r="E372" s="170"/>
      <c r="F372" s="170"/>
      <c r="G372" s="170"/>
      <c r="H372" s="170"/>
      <c r="I372" s="170"/>
      <c r="J372" s="170"/>
      <c r="K372" s="170"/>
      <c r="L372" s="170"/>
      <c r="M372" s="170"/>
      <c r="N372" s="170"/>
      <c r="O372" s="170"/>
      <c r="P372" s="170"/>
      <c r="Q372" s="170"/>
      <c r="R372" s="170">
        <f t="shared" si="45"/>
        <v>0</v>
      </c>
      <c r="S372" s="170"/>
      <c r="T372" s="170"/>
      <c r="U372" s="170"/>
      <c r="V372" s="170"/>
      <c r="W372" s="170"/>
      <c r="X372" s="171">
        <f t="shared" si="43"/>
        <v>0</v>
      </c>
      <c r="Y372" s="243">
        <f t="shared" si="44"/>
        <v>0</v>
      </c>
      <c r="Z372" s="399"/>
      <c r="AA372" s="364"/>
    </row>
    <row r="373" spans="1:42" ht="20.100000000000001" hidden="1" customHeight="1" x14ac:dyDescent="0.25">
      <c r="A373" s="26">
        <v>13</v>
      </c>
      <c r="B373" s="91"/>
      <c r="C373" s="39"/>
      <c r="D373" s="170"/>
      <c r="E373" s="170"/>
      <c r="F373" s="170"/>
      <c r="G373" s="170"/>
      <c r="H373" s="170"/>
      <c r="I373" s="170"/>
      <c r="J373" s="170"/>
      <c r="K373" s="170"/>
      <c r="L373" s="170"/>
      <c r="M373" s="170"/>
      <c r="N373" s="170"/>
      <c r="O373" s="170"/>
      <c r="P373" s="170"/>
      <c r="Q373" s="170"/>
      <c r="R373" s="170">
        <f t="shared" si="45"/>
        <v>0</v>
      </c>
      <c r="S373" s="170"/>
      <c r="T373" s="170"/>
      <c r="U373" s="170"/>
      <c r="V373" s="170"/>
      <c r="W373" s="170"/>
      <c r="X373" s="171">
        <f t="shared" si="43"/>
        <v>0</v>
      </c>
      <c r="Y373" s="243">
        <f t="shared" si="44"/>
        <v>0</v>
      </c>
      <c r="Z373" s="399"/>
      <c r="AA373" s="364"/>
    </row>
    <row r="374" spans="1:42" ht="20.100000000000001" hidden="1" customHeight="1" x14ac:dyDescent="0.25">
      <c r="A374" s="26">
        <v>14</v>
      </c>
      <c r="B374" s="91"/>
      <c r="C374" s="39"/>
      <c r="D374" s="170"/>
      <c r="E374" s="170"/>
      <c r="F374" s="170"/>
      <c r="G374" s="170"/>
      <c r="H374" s="170"/>
      <c r="I374" s="170"/>
      <c r="J374" s="170"/>
      <c r="K374" s="170"/>
      <c r="L374" s="170"/>
      <c r="M374" s="170"/>
      <c r="N374" s="170"/>
      <c r="O374" s="170"/>
      <c r="P374" s="170"/>
      <c r="Q374" s="170"/>
      <c r="R374" s="170">
        <f t="shared" si="45"/>
        <v>0</v>
      </c>
      <c r="S374" s="170"/>
      <c r="T374" s="170"/>
      <c r="U374" s="170"/>
      <c r="V374" s="170"/>
      <c r="W374" s="170"/>
      <c r="X374" s="171">
        <f t="shared" si="43"/>
        <v>0</v>
      </c>
      <c r="Y374" s="243">
        <f t="shared" si="44"/>
        <v>0</v>
      </c>
      <c r="Z374" s="399"/>
      <c r="AA374" s="364"/>
    </row>
    <row r="375" spans="1:42" ht="20.100000000000001" hidden="1" customHeight="1" x14ac:dyDescent="0.25">
      <c r="A375" s="26">
        <v>15</v>
      </c>
      <c r="B375" s="91"/>
      <c r="C375" s="39"/>
      <c r="D375" s="170"/>
      <c r="E375" s="170"/>
      <c r="F375" s="170"/>
      <c r="G375" s="170"/>
      <c r="H375" s="170"/>
      <c r="I375" s="170"/>
      <c r="J375" s="170"/>
      <c r="K375" s="170"/>
      <c r="L375" s="170"/>
      <c r="M375" s="170"/>
      <c r="N375" s="170"/>
      <c r="O375" s="170"/>
      <c r="P375" s="170"/>
      <c r="Q375" s="170"/>
      <c r="R375" s="170">
        <f t="shared" si="45"/>
        <v>0</v>
      </c>
      <c r="S375" s="170"/>
      <c r="T375" s="170"/>
      <c r="U375" s="170"/>
      <c r="V375" s="170"/>
      <c r="W375" s="170"/>
      <c r="X375" s="171">
        <f t="shared" si="43"/>
        <v>0</v>
      </c>
      <c r="Y375" s="243">
        <f t="shared" si="44"/>
        <v>0</v>
      </c>
      <c r="Z375" s="399"/>
      <c r="AA375" s="364"/>
    </row>
    <row r="376" spans="1:42" ht="20.100000000000001" hidden="1" customHeight="1" x14ac:dyDescent="0.25">
      <c r="A376" s="26">
        <v>16</v>
      </c>
      <c r="B376" s="585"/>
      <c r="C376" s="39"/>
      <c r="D376" s="170"/>
      <c r="E376" s="170"/>
      <c r="F376" s="170"/>
      <c r="G376" s="170"/>
      <c r="H376" s="170"/>
      <c r="I376" s="170"/>
      <c r="J376" s="170"/>
      <c r="K376" s="170"/>
      <c r="L376" s="170"/>
      <c r="M376" s="170"/>
      <c r="N376" s="170"/>
      <c r="O376" s="170"/>
      <c r="P376" s="170"/>
      <c r="Q376" s="170"/>
      <c r="R376" s="170">
        <f t="shared" si="45"/>
        <v>0</v>
      </c>
      <c r="S376" s="170"/>
      <c r="T376" s="170"/>
      <c r="U376" s="170"/>
      <c r="V376" s="170"/>
      <c r="W376" s="170"/>
      <c r="X376" s="171">
        <f t="shared" si="43"/>
        <v>0</v>
      </c>
      <c r="Y376" s="243">
        <f t="shared" si="44"/>
        <v>0</v>
      </c>
      <c r="Z376" s="399"/>
      <c r="AA376" s="364"/>
    </row>
    <row r="377" spans="1:42" s="559" customFormat="1" ht="20.100000000000001" hidden="1" customHeight="1" x14ac:dyDescent="0.25">
      <c r="A377" s="26">
        <v>17</v>
      </c>
      <c r="B377" s="585"/>
      <c r="C377" s="39"/>
      <c r="D377" s="553"/>
      <c r="E377" s="553"/>
      <c r="F377" s="553"/>
      <c r="G377" s="553"/>
      <c r="H377" s="553"/>
      <c r="I377" s="553"/>
      <c r="J377" s="553"/>
      <c r="K377" s="553"/>
      <c r="L377" s="553"/>
      <c r="M377" s="553"/>
      <c r="N377" s="553"/>
      <c r="O377" s="553"/>
      <c r="P377" s="553"/>
      <c r="Q377" s="553"/>
      <c r="R377" s="170">
        <f t="shared" si="45"/>
        <v>0</v>
      </c>
      <c r="S377" s="553"/>
      <c r="T377" s="553"/>
      <c r="U377" s="553"/>
      <c r="V377" s="553"/>
      <c r="W377" s="553"/>
      <c r="X377" s="171">
        <f t="shared" si="43"/>
        <v>0</v>
      </c>
      <c r="Y377" s="243">
        <f t="shared" si="44"/>
        <v>0</v>
      </c>
      <c r="Z377" s="586"/>
      <c r="AA377" s="587"/>
      <c r="AB377" s="569"/>
      <c r="AC377" s="569"/>
      <c r="AD377" s="569"/>
      <c r="AE377" s="569"/>
      <c r="AF377" s="569"/>
      <c r="AG377" s="569"/>
      <c r="AH377" s="569"/>
      <c r="AI377" s="569"/>
      <c r="AJ377" s="569"/>
      <c r="AK377" s="569"/>
      <c r="AL377" s="569"/>
      <c r="AM377" s="569"/>
      <c r="AN377" s="569"/>
      <c r="AO377" s="569"/>
      <c r="AP377" s="569"/>
    </row>
    <row r="378" spans="1:42" s="559" customFormat="1" ht="20.100000000000001" hidden="1" customHeight="1" x14ac:dyDescent="0.25">
      <c r="A378" s="26">
        <v>18</v>
      </c>
      <c r="B378" s="585"/>
      <c r="C378" s="39"/>
      <c r="D378" s="553"/>
      <c r="E378" s="553"/>
      <c r="F378" s="553"/>
      <c r="G378" s="553"/>
      <c r="H378" s="553"/>
      <c r="I378" s="553"/>
      <c r="J378" s="553"/>
      <c r="K378" s="553"/>
      <c r="L378" s="553"/>
      <c r="M378" s="553"/>
      <c r="N378" s="553"/>
      <c r="O378" s="553"/>
      <c r="P378" s="553"/>
      <c r="Q378" s="553"/>
      <c r="R378" s="170">
        <f t="shared" si="45"/>
        <v>0</v>
      </c>
      <c r="S378" s="553"/>
      <c r="T378" s="553"/>
      <c r="U378" s="553"/>
      <c r="V378" s="553"/>
      <c r="W378" s="553"/>
      <c r="X378" s="171">
        <f t="shared" si="43"/>
        <v>0</v>
      </c>
      <c r="Y378" s="243">
        <f t="shared" si="44"/>
        <v>0</v>
      </c>
      <c r="Z378" s="586"/>
      <c r="AA378" s="587"/>
      <c r="AB378" s="569"/>
      <c r="AC378" s="569"/>
      <c r="AD378" s="569"/>
      <c r="AE378" s="569"/>
      <c r="AF378" s="569"/>
      <c r="AG378" s="569"/>
      <c r="AH378" s="569"/>
      <c r="AI378" s="569"/>
      <c r="AJ378" s="569"/>
      <c r="AK378" s="569"/>
      <c r="AL378" s="569"/>
      <c r="AM378" s="569"/>
      <c r="AN378" s="569"/>
      <c r="AO378" s="569"/>
      <c r="AP378" s="569"/>
    </row>
    <row r="379" spans="1:42" ht="20.100000000000001" hidden="1" customHeight="1" x14ac:dyDescent="0.25">
      <c r="A379" s="26">
        <v>19</v>
      </c>
      <c r="B379" s="91"/>
      <c r="C379" s="39"/>
      <c r="D379" s="170"/>
      <c r="E379" s="170"/>
      <c r="F379" s="170"/>
      <c r="G379" s="170"/>
      <c r="H379" s="170"/>
      <c r="I379" s="170"/>
      <c r="J379" s="170"/>
      <c r="K379" s="170"/>
      <c r="L379" s="170"/>
      <c r="M379" s="170"/>
      <c r="N379" s="170"/>
      <c r="O379" s="170"/>
      <c r="P379" s="170"/>
      <c r="Q379" s="170"/>
      <c r="R379" s="170">
        <f t="shared" si="45"/>
        <v>0</v>
      </c>
      <c r="S379" s="170"/>
      <c r="T379" s="170"/>
      <c r="U379" s="170"/>
      <c r="V379" s="170"/>
      <c r="W379" s="170"/>
      <c r="X379" s="171">
        <f t="shared" si="43"/>
        <v>0</v>
      </c>
      <c r="Y379" s="243">
        <f t="shared" si="44"/>
        <v>0</v>
      </c>
      <c r="Z379" s="399"/>
      <c r="AA379" s="364"/>
    </row>
    <row r="380" spans="1:42" ht="20.100000000000001" hidden="1" customHeight="1" x14ac:dyDescent="0.2">
      <c r="A380" s="26">
        <v>20</v>
      </c>
      <c r="B380" s="74"/>
      <c r="C380" s="39"/>
      <c r="D380" s="170"/>
      <c r="E380" s="170"/>
      <c r="F380" s="170"/>
      <c r="G380" s="170"/>
      <c r="H380" s="170"/>
      <c r="I380" s="170"/>
      <c r="J380" s="170"/>
      <c r="K380" s="170"/>
      <c r="L380" s="170"/>
      <c r="M380" s="170"/>
      <c r="N380" s="170"/>
      <c r="O380" s="170"/>
      <c r="P380" s="170"/>
      <c r="Q380" s="170"/>
      <c r="R380" s="170">
        <f t="shared" si="45"/>
        <v>0</v>
      </c>
      <c r="S380" s="170"/>
      <c r="T380" s="170"/>
      <c r="U380" s="170"/>
      <c r="V380" s="170"/>
      <c r="W380" s="170"/>
      <c r="X380" s="171">
        <f t="shared" si="43"/>
        <v>0</v>
      </c>
      <c r="Y380" s="243">
        <f t="shared" si="44"/>
        <v>0</v>
      </c>
      <c r="Z380" s="399"/>
      <c r="AA380" s="364"/>
    </row>
    <row r="381" spans="1:42" ht="20.100000000000001" hidden="1" customHeight="1" x14ac:dyDescent="0.2">
      <c r="A381" s="26">
        <v>21</v>
      </c>
      <c r="B381" s="74"/>
      <c r="C381" s="39"/>
      <c r="D381" s="170"/>
      <c r="E381" s="170"/>
      <c r="F381" s="170"/>
      <c r="G381" s="170"/>
      <c r="H381" s="170"/>
      <c r="I381" s="170"/>
      <c r="J381" s="170"/>
      <c r="K381" s="170"/>
      <c r="L381" s="170"/>
      <c r="M381" s="170"/>
      <c r="N381" s="170"/>
      <c r="O381" s="170"/>
      <c r="P381" s="170"/>
      <c r="Q381" s="170"/>
      <c r="R381" s="170">
        <f t="shared" si="45"/>
        <v>0</v>
      </c>
      <c r="S381" s="170"/>
      <c r="T381" s="170"/>
      <c r="U381" s="170"/>
      <c r="V381" s="170"/>
      <c r="W381" s="170"/>
      <c r="X381" s="171">
        <f t="shared" si="43"/>
        <v>0</v>
      </c>
      <c r="Y381" s="243">
        <f t="shared" si="44"/>
        <v>0</v>
      </c>
      <c r="Z381" s="399"/>
      <c r="AA381" s="364"/>
    </row>
    <row r="382" spans="1:42" ht="20.100000000000001" hidden="1" customHeight="1" x14ac:dyDescent="0.2">
      <c r="A382" s="26">
        <v>22</v>
      </c>
      <c r="B382" s="74"/>
      <c r="C382" s="39"/>
      <c r="D382" s="170"/>
      <c r="E382" s="170"/>
      <c r="F382" s="170"/>
      <c r="G382" s="170"/>
      <c r="H382" s="170"/>
      <c r="I382" s="170"/>
      <c r="J382" s="170"/>
      <c r="K382" s="170"/>
      <c r="L382" s="170"/>
      <c r="M382" s="170"/>
      <c r="N382" s="170"/>
      <c r="O382" s="170"/>
      <c r="P382" s="170"/>
      <c r="Q382" s="170"/>
      <c r="R382" s="170">
        <f t="shared" si="45"/>
        <v>0</v>
      </c>
      <c r="S382" s="170"/>
      <c r="T382" s="170"/>
      <c r="U382" s="170"/>
      <c r="V382" s="170"/>
      <c r="W382" s="170"/>
      <c r="X382" s="171">
        <f t="shared" si="43"/>
        <v>0</v>
      </c>
      <c r="Y382" s="243">
        <f t="shared" si="44"/>
        <v>0</v>
      </c>
      <c r="Z382" s="399"/>
      <c r="AA382" s="364"/>
    </row>
    <row r="383" spans="1:42" ht="20.100000000000001" hidden="1" customHeight="1" x14ac:dyDescent="0.2">
      <c r="A383" s="26">
        <v>23</v>
      </c>
      <c r="B383" s="74"/>
      <c r="C383" s="39"/>
      <c r="D383" s="170"/>
      <c r="E383" s="170"/>
      <c r="F383" s="170"/>
      <c r="G383" s="170"/>
      <c r="H383" s="170"/>
      <c r="I383" s="170"/>
      <c r="J383" s="170"/>
      <c r="K383" s="170"/>
      <c r="L383" s="170"/>
      <c r="M383" s="170"/>
      <c r="N383" s="170"/>
      <c r="O383" s="170"/>
      <c r="P383" s="170"/>
      <c r="Q383" s="170"/>
      <c r="R383" s="170">
        <f t="shared" si="45"/>
        <v>0</v>
      </c>
      <c r="S383" s="170"/>
      <c r="T383" s="170"/>
      <c r="U383" s="170"/>
      <c r="V383" s="170"/>
      <c r="W383" s="170"/>
      <c r="X383" s="171">
        <f t="shared" si="43"/>
        <v>0</v>
      </c>
      <c r="Y383" s="243">
        <f t="shared" si="44"/>
        <v>0</v>
      </c>
      <c r="Z383" s="399"/>
      <c r="AA383" s="364"/>
    </row>
    <row r="384" spans="1:42" ht="20.100000000000001" hidden="1" customHeight="1" x14ac:dyDescent="0.2">
      <c r="A384" s="26">
        <v>24</v>
      </c>
      <c r="B384" s="74"/>
      <c r="C384" s="39"/>
      <c r="D384" s="170"/>
      <c r="E384" s="170"/>
      <c r="F384" s="170"/>
      <c r="G384" s="170"/>
      <c r="H384" s="170"/>
      <c r="I384" s="170"/>
      <c r="J384" s="170"/>
      <c r="K384" s="170"/>
      <c r="L384" s="170"/>
      <c r="M384" s="170"/>
      <c r="N384" s="170"/>
      <c r="O384" s="170"/>
      <c r="P384" s="170"/>
      <c r="Q384" s="170"/>
      <c r="R384" s="170">
        <f t="shared" si="45"/>
        <v>0</v>
      </c>
      <c r="S384" s="170"/>
      <c r="T384" s="170"/>
      <c r="U384" s="170"/>
      <c r="V384" s="170"/>
      <c r="W384" s="170"/>
      <c r="X384" s="171">
        <f t="shared" si="43"/>
        <v>0</v>
      </c>
      <c r="Y384" s="243">
        <f t="shared" si="44"/>
        <v>0</v>
      </c>
      <c r="Z384" s="399"/>
      <c r="AA384" s="364"/>
    </row>
    <row r="385" spans="1:27" ht="20.100000000000001" hidden="1" customHeight="1" x14ac:dyDescent="0.2">
      <c r="A385" s="26">
        <v>25</v>
      </c>
      <c r="B385" s="74"/>
      <c r="C385" s="39"/>
      <c r="D385" s="170"/>
      <c r="E385" s="170"/>
      <c r="F385" s="170"/>
      <c r="G385" s="170"/>
      <c r="H385" s="170"/>
      <c r="I385" s="170"/>
      <c r="J385" s="170"/>
      <c r="K385" s="170"/>
      <c r="L385" s="170"/>
      <c r="M385" s="170"/>
      <c r="N385" s="170"/>
      <c r="O385" s="170"/>
      <c r="P385" s="170"/>
      <c r="Q385" s="170"/>
      <c r="R385" s="170">
        <f t="shared" si="45"/>
        <v>0</v>
      </c>
      <c r="S385" s="170"/>
      <c r="T385" s="170"/>
      <c r="U385" s="170"/>
      <c r="V385" s="170"/>
      <c r="W385" s="170"/>
      <c r="X385" s="171">
        <f t="shared" si="43"/>
        <v>0</v>
      </c>
      <c r="Y385" s="243">
        <f t="shared" si="44"/>
        <v>0</v>
      </c>
      <c r="Z385" s="399"/>
      <c r="AA385" s="364"/>
    </row>
    <row r="386" spans="1:27" ht="20.100000000000001" hidden="1" customHeight="1" x14ac:dyDescent="0.2">
      <c r="A386" s="26">
        <v>26</v>
      </c>
      <c r="B386" s="74"/>
      <c r="C386" s="39"/>
      <c r="D386" s="170"/>
      <c r="E386" s="170"/>
      <c r="F386" s="170"/>
      <c r="G386" s="170"/>
      <c r="H386" s="170"/>
      <c r="I386" s="170"/>
      <c r="J386" s="170"/>
      <c r="K386" s="170"/>
      <c r="L386" s="170"/>
      <c r="M386" s="170"/>
      <c r="N386" s="170"/>
      <c r="O386" s="170"/>
      <c r="P386" s="170"/>
      <c r="Q386" s="170"/>
      <c r="R386" s="170">
        <f t="shared" si="45"/>
        <v>0</v>
      </c>
      <c r="S386" s="170"/>
      <c r="T386" s="170"/>
      <c r="U386" s="170"/>
      <c r="V386" s="170"/>
      <c r="W386" s="170"/>
      <c r="X386" s="171">
        <f t="shared" si="43"/>
        <v>0</v>
      </c>
      <c r="Y386" s="243">
        <f t="shared" si="44"/>
        <v>0</v>
      </c>
      <c r="Z386" s="399"/>
      <c r="AA386" s="364"/>
    </row>
    <row r="387" spans="1:27" ht="20.100000000000001" hidden="1" customHeight="1" x14ac:dyDescent="0.2">
      <c r="A387" s="26">
        <v>27</v>
      </c>
      <c r="B387" s="74"/>
      <c r="C387" s="39"/>
      <c r="D387" s="170"/>
      <c r="E387" s="170"/>
      <c r="F387" s="170"/>
      <c r="G387" s="170"/>
      <c r="H387" s="170"/>
      <c r="I387" s="170"/>
      <c r="J387" s="170"/>
      <c r="K387" s="170"/>
      <c r="L387" s="170"/>
      <c r="M387" s="170"/>
      <c r="N387" s="170"/>
      <c r="O387" s="170"/>
      <c r="P387" s="170"/>
      <c r="Q387" s="170"/>
      <c r="R387" s="170">
        <f t="shared" si="45"/>
        <v>0</v>
      </c>
      <c r="S387" s="170"/>
      <c r="T387" s="170"/>
      <c r="U387" s="170"/>
      <c r="V387" s="170"/>
      <c r="W387" s="170"/>
      <c r="X387" s="171">
        <f t="shared" si="43"/>
        <v>0</v>
      </c>
      <c r="Y387" s="243">
        <f t="shared" si="44"/>
        <v>0</v>
      </c>
      <c r="Z387" s="399"/>
      <c r="AA387" s="364"/>
    </row>
    <row r="388" spans="1:27" ht="20.100000000000001" hidden="1" customHeight="1" x14ac:dyDescent="0.2">
      <c r="A388" s="26">
        <v>28</v>
      </c>
      <c r="B388" s="74"/>
      <c r="C388" s="39"/>
      <c r="D388" s="170"/>
      <c r="E388" s="170"/>
      <c r="F388" s="170"/>
      <c r="G388" s="170"/>
      <c r="H388" s="170"/>
      <c r="I388" s="170"/>
      <c r="J388" s="170"/>
      <c r="K388" s="170"/>
      <c r="L388" s="170"/>
      <c r="M388" s="170"/>
      <c r="N388" s="170"/>
      <c r="O388" s="170"/>
      <c r="P388" s="170"/>
      <c r="Q388" s="170"/>
      <c r="R388" s="170">
        <f t="shared" si="45"/>
        <v>0</v>
      </c>
      <c r="S388" s="170"/>
      <c r="T388" s="170"/>
      <c r="U388" s="170"/>
      <c r="V388" s="170"/>
      <c r="W388" s="170"/>
      <c r="X388" s="171">
        <f t="shared" si="43"/>
        <v>0</v>
      </c>
      <c r="Y388" s="243">
        <f t="shared" si="44"/>
        <v>0</v>
      </c>
      <c r="Z388" s="399"/>
      <c r="AA388" s="364"/>
    </row>
    <row r="389" spans="1:27" ht="20.100000000000001" hidden="1" customHeight="1" x14ac:dyDescent="0.2">
      <c r="A389" s="617">
        <v>29</v>
      </c>
      <c r="B389" s="298"/>
      <c r="C389" s="39"/>
      <c r="D389" s="170"/>
      <c r="E389" s="170"/>
      <c r="F389" s="170"/>
      <c r="G389" s="170"/>
      <c r="H389" s="170"/>
      <c r="I389" s="170"/>
      <c r="J389" s="170"/>
      <c r="K389" s="170"/>
      <c r="L389" s="170"/>
      <c r="M389" s="170"/>
      <c r="N389" s="170"/>
      <c r="O389" s="170"/>
      <c r="P389" s="170"/>
      <c r="Q389" s="170"/>
      <c r="R389" s="170">
        <f t="shared" si="45"/>
        <v>0</v>
      </c>
      <c r="S389" s="170"/>
      <c r="T389" s="170"/>
      <c r="U389" s="170"/>
      <c r="V389" s="170"/>
      <c r="W389" s="170"/>
      <c r="X389" s="171">
        <f t="shared" si="43"/>
        <v>0</v>
      </c>
      <c r="Y389" s="243">
        <f t="shared" si="44"/>
        <v>0</v>
      </c>
      <c r="Z389" s="399"/>
      <c r="AA389" s="364"/>
    </row>
    <row r="390" spans="1:27" ht="20.100000000000001" hidden="1" customHeight="1" x14ac:dyDescent="0.2">
      <c r="A390" s="26"/>
      <c r="B390" s="74"/>
      <c r="C390" s="39"/>
      <c r="D390" s="170"/>
      <c r="E390" s="170"/>
      <c r="F390" s="170"/>
      <c r="G390" s="170"/>
      <c r="H390" s="170"/>
      <c r="I390" s="170"/>
      <c r="J390" s="170"/>
      <c r="K390" s="170"/>
      <c r="L390" s="170"/>
      <c r="M390" s="170"/>
      <c r="N390" s="170"/>
      <c r="O390" s="170"/>
      <c r="P390" s="170"/>
      <c r="Q390" s="170"/>
      <c r="R390" s="170">
        <f t="shared" si="45"/>
        <v>0</v>
      </c>
      <c r="S390" s="170"/>
      <c r="T390" s="170"/>
      <c r="U390" s="170"/>
      <c r="V390" s="170"/>
      <c r="W390" s="170"/>
      <c r="X390" s="171">
        <f t="shared" si="43"/>
        <v>0</v>
      </c>
      <c r="Y390" s="243">
        <f t="shared" si="44"/>
        <v>0</v>
      </c>
      <c r="Z390" s="399"/>
      <c r="AA390" s="364"/>
    </row>
    <row r="391" spans="1:27" ht="20.100000000000001" hidden="1" customHeight="1" x14ac:dyDescent="0.2">
      <c r="A391" s="26"/>
      <c r="B391" s="74"/>
      <c r="C391" s="39"/>
      <c r="D391" s="170"/>
      <c r="E391" s="170"/>
      <c r="F391" s="170"/>
      <c r="G391" s="170"/>
      <c r="H391" s="170"/>
      <c r="I391" s="170"/>
      <c r="J391" s="170"/>
      <c r="K391" s="170"/>
      <c r="L391" s="170"/>
      <c r="M391" s="170"/>
      <c r="N391" s="170"/>
      <c r="O391" s="170"/>
      <c r="P391" s="170"/>
      <c r="Q391" s="170"/>
      <c r="R391" s="170">
        <f t="shared" si="45"/>
        <v>0</v>
      </c>
      <c r="S391" s="170"/>
      <c r="T391" s="170"/>
      <c r="U391" s="170"/>
      <c r="V391" s="170"/>
      <c r="W391" s="170"/>
      <c r="X391" s="171">
        <f t="shared" si="43"/>
        <v>0</v>
      </c>
      <c r="Y391" s="243">
        <f t="shared" si="44"/>
        <v>0</v>
      </c>
      <c r="Z391" s="399"/>
      <c r="AA391" s="364"/>
    </row>
    <row r="392" spans="1:27" ht="20.100000000000001" hidden="1" customHeight="1" x14ac:dyDescent="0.2">
      <c r="A392" s="26"/>
      <c r="B392" s="74"/>
      <c r="C392" s="39"/>
      <c r="D392" s="170"/>
      <c r="E392" s="170"/>
      <c r="F392" s="170"/>
      <c r="G392" s="170"/>
      <c r="H392" s="170"/>
      <c r="I392" s="170"/>
      <c r="J392" s="170"/>
      <c r="K392" s="170"/>
      <c r="L392" s="170"/>
      <c r="M392" s="170"/>
      <c r="N392" s="170"/>
      <c r="O392" s="170"/>
      <c r="P392" s="170"/>
      <c r="Q392" s="170"/>
      <c r="R392" s="170">
        <f t="shared" si="45"/>
        <v>0</v>
      </c>
      <c r="S392" s="170"/>
      <c r="T392" s="170"/>
      <c r="U392" s="170"/>
      <c r="V392" s="170"/>
      <c r="W392" s="170"/>
      <c r="X392" s="171">
        <f t="shared" si="43"/>
        <v>0</v>
      </c>
      <c r="Y392" s="243">
        <f t="shared" si="44"/>
        <v>0</v>
      </c>
      <c r="Z392" s="399"/>
      <c r="AA392" s="364"/>
    </row>
    <row r="393" spans="1:27" ht="20.100000000000001" hidden="1" customHeight="1" x14ac:dyDescent="0.2">
      <c r="A393" s="26"/>
      <c r="B393" s="74"/>
      <c r="C393" s="39"/>
      <c r="D393" s="170"/>
      <c r="E393" s="170"/>
      <c r="F393" s="170"/>
      <c r="G393" s="170"/>
      <c r="H393" s="170"/>
      <c r="I393" s="170"/>
      <c r="J393" s="170"/>
      <c r="K393" s="170"/>
      <c r="L393" s="170"/>
      <c r="M393" s="170"/>
      <c r="N393" s="170"/>
      <c r="O393" s="170"/>
      <c r="P393" s="170"/>
      <c r="Q393" s="170"/>
      <c r="R393" s="170">
        <f t="shared" si="45"/>
        <v>0</v>
      </c>
      <c r="S393" s="170"/>
      <c r="T393" s="170"/>
      <c r="U393" s="170"/>
      <c r="V393" s="170"/>
      <c r="W393" s="170"/>
      <c r="X393" s="171">
        <f t="shared" si="43"/>
        <v>0</v>
      </c>
      <c r="Y393" s="243">
        <f t="shared" si="44"/>
        <v>0</v>
      </c>
      <c r="Z393" s="399"/>
      <c r="AA393" s="364"/>
    </row>
    <row r="394" spans="1:27" ht="20.100000000000001" hidden="1" customHeight="1" x14ac:dyDescent="0.2">
      <c r="A394" s="26"/>
      <c r="B394" s="74"/>
      <c r="C394" s="39"/>
      <c r="D394" s="170"/>
      <c r="E394" s="170"/>
      <c r="F394" s="170"/>
      <c r="G394" s="170"/>
      <c r="H394" s="170"/>
      <c r="I394" s="170"/>
      <c r="J394" s="170"/>
      <c r="K394" s="170"/>
      <c r="L394" s="170"/>
      <c r="M394" s="170"/>
      <c r="N394" s="170"/>
      <c r="O394" s="170"/>
      <c r="P394" s="170"/>
      <c r="Q394" s="170"/>
      <c r="R394" s="170">
        <f t="shared" si="45"/>
        <v>0</v>
      </c>
      <c r="S394" s="170"/>
      <c r="T394" s="170"/>
      <c r="U394" s="170"/>
      <c r="V394" s="170"/>
      <c r="W394" s="170"/>
      <c r="X394" s="171">
        <f t="shared" si="43"/>
        <v>0</v>
      </c>
      <c r="Y394" s="243">
        <f t="shared" si="44"/>
        <v>0</v>
      </c>
      <c r="Z394" s="399"/>
      <c r="AA394" s="364"/>
    </row>
    <row r="395" spans="1:27" ht="20.100000000000001" hidden="1" customHeight="1" x14ac:dyDescent="0.2">
      <c r="A395" s="26"/>
      <c r="B395" s="74"/>
      <c r="C395" s="39"/>
      <c r="D395" s="170"/>
      <c r="E395" s="170"/>
      <c r="F395" s="170"/>
      <c r="G395" s="170"/>
      <c r="H395" s="170"/>
      <c r="I395" s="170"/>
      <c r="J395" s="170"/>
      <c r="K395" s="170"/>
      <c r="L395" s="170"/>
      <c r="M395" s="170"/>
      <c r="N395" s="170"/>
      <c r="O395" s="170"/>
      <c r="P395" s="170"/>
      <c r="Q395" s="170"/>
      <c r="R395" s="170">
        <f t="shared" si="45"/>
        <v>0</v>
      </c>
      <c r="S395" s="170"/>
      <c r="T395" s="170"/>
      <c r="U395" s="170"/>
      <c r="V395" s="170"/>
      <c r="W395" s="170"/>
      <c r="X395" s="171">
        <f t="shared" si="43"/>
        <v>0</v>
      </c>
      <c r="Y395" s="243">
        <f t="shared" si="44"/>
        <v>0</v>
      </c>
      <c r="Z395" s="399"/>
      <c r="AA395" s="364"/>
    </row>
    <row r="396" spans="1:27" ht="20.100000000000001" hidden="1" customHeight="1" x14ac:dyDescent="0.2">
      <c r="A396" s="26"/>
      <c r="B396" s="74"/>
      <c r="C396" s="39"/>
      <c r="D396" s="170"/>
      <c r="E396" s="170"/>
      <c r="F396" s="170"/>
      <c r="G396" s="170"/>
      <c r="H396" s="170"/>
      <c r="I396" s="170"/>
      <c r="J396" s="170"/>
      <c r="K396" s="170"/>
      <c r="L396" s="170"/>
      <c r="M396" s="170"/>
      <c r="N396" s="170"/>
      <c r="O396" s="170"/>
      <c r="P396" s="170"/>
      <c r="Q396" s="170"/>
      <c r="R396" s="170">
        <f t="shared" si="45"/>
        <v>0</v>
      </c>
      <c r="S396" s="170"/>
      <c r="T396" s="170"/>
      <c r="U396" s="170"/>
      <c r="V396" s="170"/>
      <c r="W396" s="170"/>
      <c r="X396" s="171">
        <f t="shared" si="43"/>
        <v>0</v>
      </c>
      <c r="Y396" s="243">
        <f t="shared" si="44"/>
        <v>0</v>
      </c>
      <c r="Z396" s="399"/>
      <c r="AA396" s="364"/>
    </row>
    <row r="397" spans="1:27" ht="20.100000000000001" hidden="1" customHeight="1" x14ac:dyDescent="0.2">
      <c r="A397" s="26"/>
      <c r="B397" s="74"/>
      <c r="C397" s="39"/>
      <c r="D397" s="170"/>
      <c r="E397" s="170"/>
      <c r="F397" s="170"/>
      <c r="G397" s="170"/>
      <c r="H397" s="170"/>
      <c r="I397" s="170"/>
      <c r="J397" s="170"/>
      <c r="K397" s="170"/>
      <c r="L397" s="170"/>
      <c r="M397" s="170"/>
      <c r="N397" s="170"/>
      <c r="O397" s="170"/>
      <c r="P397" s="170"/>
      <c r="Q397" s="170"/>
      <c r="R397" s="170">
        <f t="shared" si="45"/>
        <v>0</v>
      </c>
      <c r="S397" s="170"/>
      <c r="T397" s="170"/>
      <c r="U397" s="170"/>
      <c r="V397" s="170"/>
      <c r="W397" s="170"/>
      <c r="X397" s="171">
        <f t="shared" si="43"/>
        <v>0</v>
      </c>
      <c r="Y397" s="243">
        <f t="shared" si="44"/>
        <v>0</v>
      </c>
      <c r="Z397" s="399"/>
      <c r="AA397" s="364"/>
    </row>
    <row r="398" spans="1:27" ht="20.100000000000001" hidden="1" customHeight="1" x14ac:dyDescent="0.2">
      <c r="A398" s="26"/>
      <c r="B398" s="74"/>
      <c r="C398" s="39"/>
      <c r="D398" s="170"/>
      <c r="E398" s="170"/>
      <c r="F398" s="170"/>
      <c r="G398" s="170"/>
      <c r="H398" s="170"/>
      <c r="I398" s="170"/>
      <c r="J398" s="170"/>
      <c r="K398" s="170"/>
      <c r="L398" s="170"/>
      <c r="M398" s="170"/>
      <c r="N398" s="170"/>
      <c r="O398" s="170"/>
      <c r="P398" s="170"/>
      <c r="Q398" s="170"/>
      <c r="R398" s="170">
        <f t="shared" si="45"/>
        <v>0</v>
      </c>
      <c r="S398" s="170"/>
      <c r="T398" s="170"/>
      <c r="U398" s="170"/>
      <c r="V398" s="170"/>
      <c r="W398" s="170"/>
      <c r="X398" s="171">
        <f t="shared" si="43"/>
        <v>0</v>
      </c>
      <c r="Y398" s="243">
        <f t="shared" si="44"/>
        <v>0</v>
      </c>
      <c r="Z398" s="399"/>
      <c r="AA398" s="364"/>
    </row>
    <row r="399" spans="1:27" ht="20.100000000000001" hidden="1" customHeight="1" x14ac:dyDescent="0.2">
      <c r="A399" s="26"/>
      <c r="B399" s="74"/>
      <c r="C399" s="39"/>
      <c r="D399" s="170"/>
      <c r="E399" s="170"/>
      <c r="F399" s="170"/>
      <c r="G399" s="170"/>
      <c r="H399" s="170"/>
      <c r="I399" s="170"/>
      <c r="J399" s="170"/>
      <c r="K399" s="170"/>
      <c r="L399" s="170"/>
      <c r="M399" s="170"/>
      <c r="N399" s="170"/>
      <c r="O399" s="170"/>
      <c r="P399" s="170"/>
      <c r="Q399" s="170"/>
      <c r="R399" s="170">
        <f t="shared" si="45"/>
        <v>0</v>
      </c>
      <c r="S399" s="170"/>
      <c r="T399" s="170"/>
      <c r="U399" s="170"/>
      <c r="V399" s="170"/>
      <c r="W399" s="170"/>
      <c r="X399" s="171">
        <f t="shared" si="43"/>
        <v>0</v>
      </c>
      <c r="Y399" s="243">
        <f t="shared" si="44"/>
        <v>0</v>
      </c>
      <c r="Z399" s="399"/>
      <c r="AA399" s="364"/>
    </row>
    <row r="400" spans="1:27" ht="20.100000000000001" hidden="1" customHeight="1" x14ac:dyDescent="0.2">
      <c r="A400" s="26"/>
      <c r="B400" s="74"/>
      <c r="C400" s="39"/>
      <c r="D400" s="170"/>
      <c r="E400" s="170"/>
      <c r="F400" s="170"/>
      <c r="G400" s="170"/>
      <c r="H400" s="170"/>
      <c r="I400" s="170"/>
      <c r="J400" s="170"/>
      <c r="K400" s="170"/>
      <c r="L400" s="170"/>
      <c r="M400" s="170"/>
      <c r="N400" s="170"/>
      <c r="O400" s="170"/>
      <c r="P400" s="170"/>
      <c r="Q400" s="170"/>
      <c r="R400" s="170">
        <f t="shared" si="45"/>
        <v>0</v>
      </c>
      <c r="S400" s="170"/>
      <c r="T400" s="170"/>
      <c r="U400" s="170"/>
      <c r="V400" s="170"/>
      <c r="W400" s="170"/>
      <c r="X400" s="171">
        <f t="shared" si="43"/>
        <v>0</v>
      </c>
      <c r="Y400" s="243">
        <f t="shared" si="44"/>
        <v>0</v>
      </c>
      <c r="Z400" s="399"/>
      <c r="AA400" s="364"/>
    </row>
    <row r="401" spans="1:27" ht="20.100000000000001" hidden="1" customHeight="1" x14ac:dyDescent="0.2">
      <c r="A401" s="26"/>
      <c r="B401" s="413"/>
      <c r="C401" s="39"/>
      <c r="D401" s="170"/>
      <c r="E401" s="170"/>
      <c r="F401" s="170"/>
      <c r="G401" s="170"/>
      <c r="H401" s="170"/>
      <c r="I401" s="170"/>
      <c r="J401" s="170"/>
      <c r="K401" s="170"/>
      <c r="L401" s="170"/>
      <c r="M401" s="170"/>
      <c r="N401" s="170"/>
      <c r="O401" s="170"/>
      <c r="P401" s="170"/>
      <c r="Q401" s="170"/>
      <c r="R401" s="170">
        <f t="shared" si="45"/>
        <v>0</v>
      </c>
      <c r="S401" s="170"/>
      <c r="T401" s="170"/>
      <c r="U401" s="170"/>
      <c r="V401" s="170"/>
      <c r="W401" s="170"/>
      <c r="X401" s="171">
        <f t="shared" si="43"/>
        <v>0</v>
      </c>
      <c r="Y401" s="243">
        <f t="shared" si="44"/>
        <v>0</v>
      </c>
      <c r="Z401" s="399"/>
      <c r="AA401" s="364"/>
    </row>
    <row r="402" spans="1:27" ht="20.100000000000001" hidden="1" customHeight="1" x14ac:dyDescent="0.2">
      <c r="A402" s="26"/>
      <c r="B402" s="74"/>
      <c r="C402" s="39"/>
      <c r="D402" s="170"/>
      <c r="E402" s="170"/>
      <c r="F402" s="170"/>
      <c r="G402" s="170"/>
      <c r="H402" s="170"/>
      <c r="I402" s="170"/>
      <c r="J402" s="170"/>
      <c r="K402" s="170"/>
      <c r="L402" s="170"/>
      <c r="M402" s="170"/>
      <c r="N402" s="170"/>
      <c r="O402" s="170"/>
      <c r="P402" s="170"/>
      <c r="Q402" s="170"/>
      <c r="R402" s="170">
        <f t="shared" si="45"/>
        <v>0</v>
      </c>
      <c r="S402" s="170"/>
      <c r="T402" s="170"/>
      <c r="U402" s="170"/>
      <c r="V402" s="170"/>
      <c r="W402" s="170"/>
      <c r="X402" s="171">
        <f t="shared" si="43"/>
        <v>0</v>
      </c>
      <c r="Y402" s="243">
        <f t="shared" si="44"/>
        <v>0</v>
      </c>
      <c r="Z402" s="399"/>
      <c r="AA402" s="364"/>
    </row>
    <row r="403" spans="1:27" ht="20.100000000000001" hidden="1" customHeight="1" x14ac:dyDescent="0.2">
      <c r="A403" s="26"/>
      <c r="B403" s="74"/>
      <c r="C403" s="39"/>
      <c r="D403" s="170"/>
      <c r="E403" s="170"/>
      <c r="F403" s="170"/>
      <c r="G403" s="170"/>
      <c r="H403" s="170"/>
      <c r="I403" s="170"/>
      <c r="J403" s="170"/>
      <c r="K403" s="170"/>
      <c r="L403" s="170"/>
      <c r="M403" s="170"/>
      <c r="N403" s="170"/>
      <c r="O403" s="170"/>
      <c r="P403" s="170"/>
      <c r="Q403" s="170"/>
      <c r="R403" s="170">
        <f t="shared" si="45"/>
        <v>0</v>
      </c>
      <c r="S403" s="170"/>
      <c r="T403" s="170"/>
      <c r="U403" s="170"/>
      <c r="V403" s="170"/>
      <c r="W403" s="170"/>
      <c r="X403" s="171">
        <f t="shared" si="43"/>
        <v>0</v>
      </c>
      <c r="Y403" s="243">
        <f t="shared" si="44"/>
        <v>0</v>
      </c>
      <c r="Z403" s="399"/>
      <c r="AA403" s="364"/>
    </row>
    <row r="404" spans="1:27" ht="20.100000000000001" hidden="1" customHeight="1" x14ac:dyDescent="0.2">
      <c r="A404" s="26"/>
      <c r="B404" s="74"/>
      <c r="C404" s="39"/>
      <c r="D404" s="170"/>
      <c r="E404" s="170"/>
      <c r="F404" s="170"/>
      <c r="G404" s="170"/>
      <c r="H404" s="170"/>
      <c r="I404" s="170"/>
      <c r="J404" s="170"/>
      <c r="K404" s="170"/>
      <c r="L404" s="170"/>
      <c r="M404" s="170"/>
      <c r="N404" s="170"/>
      <c r="O404" s="170"/>
      <c r="P404" s="170"/>
      <c r="Q404" s="170"/>
      <c r="R404" s="170">
        <f t="shared" si="45"/>
        <v>0</v>
      </c>
      <c r="S404" s="170"/>
      <c r="T404" s="170"/>
      <c r="U404" s="170"/>
      <c r="V404" s="170"/>
      <c r="W404" s="170"/>
      <c r="X404" s="171">
        <f t="shared" si="43"/>
        <v>0</v>
      </c>
      <c r="Y404" s="243">
        <f t="shared" si="44"/>
        <v>0</v>
      </c>
      <c r="Z404" s="399"/>
      <c r="AA404" s="364"/>
    </row>
    <row r="405" spans="1:27" ht="20.100000000000001" hidden="1" customHeight="1" x14ac:dyDescent="0.2">
      <c r="A405" s="26"/>
      <c r="B405" s="74"/>
      <c r="C405" s="39"/>
      <c r="D405" s="170"/>
      <c r="E405" s="170"/>
      <c r="F405" s="170"/>
      <c r="G405" s="170"/>
      <c r="H405" s="170"/>
      <c r="I405" s="170"/>
      <c r="J405" s="170"/>
      <c r="K405" s="170"/>
      <c r="L405" s="170"/>
      <c r="M405" s="170"/>
      <c r="N405" s="170"/>
      <c r="O405" s="170"/>
      <c r="P405" s="170"/>
      <c r="Q405" s="170"/>
      <c r="R405" s="170">
        <f t="shared" si="45"/>
        <v>0</v>
      </c>
      <c r="S405" s="170"/>
      <c r="T405" s="170"/>
      <c r="U405" s="170"/>
      <c r="V405" s="170"/>
      <c r="W405" s="170"/>
      <c r="X405" s="171">
        <f t="shared" si="43"/>
        <v>0</v>
      </c>
      <c r="Y405" s="243">
        <f t="shared" si="44"/>
        <v>0</v>
      </c>
      <c r="Z405" s="399"/>
      <c r="AA405" s="364"/>
    </row>
    <row r="406" spans="1:27" ht="20.100000000000001" hidden="1" customHeight="1" x14ac:dyDescent="0.2">
      <c r="A406" s="26"/>
      <c r="B406" s="74"/>
      <c r="C406" s="39"/>
      <c r="D406" s="170"/>
      <c r="E406" s="170"/>
      <c r="F406" s="170"/>
      <c r="G406" s="170"/>
      <c r="H406" s="170"/>
      <c r="I406" s="170"/>
      <c r="J406" s="170"/>
      <c r="K406" s="170"/>
      <c r="L406" s="170"/>
      <c r="M406" s="170"/>
      <c r="N406" s="170"/>
      <c r="O406" s="170"/>
      <c r="P406" s="170"/>
      <c r="Q406" s="170"/>
      <c r="R406" s="170">
        <f t="shared" si="45"/>
        <v>0</v>
      </c>
      <c r="S406" s="170"/>
      <c r="T406" s="170"/>
      <c r="U406" s="170"/>
      <c r="V406" s="170"/>
      <c r="W406" s="170"/>
      <c r="X406" s="171">
        <f t="shared" si="43"/>
        <v>0</v>
      </c>
      <c r="Y406" s="243">
        <f t="shared" si="44"/>
        <v>0</v>
      </c>
      <c r="Z406" s="399"/>
      <c r="AA406" s="364"/>
    </row>
    <row r="407" spans="1:27" ht="20.100000000000001" hidden="1" customHeight="1" x14ac:dyDescent="0.2">
      <c r="A407" s="26"/>
      <c r="B407" s="74"/>
      <c r="C407" s="39"/>
      <c r="D407" s="170"/>
      <c r="E407" s="170"/>
      <c r="F407" s="170"/>
      <c r="G407" s="170"/>
      <c r="H407" s="170"/>
      <c r="I407" s="170"/>
      <c r="J407" s="170"/>
      <c r="K407" s="170"/>
      <c r="L407" s="170"/>
      <c r="M407" s="170"/>
      <c r="N407" s="170"/>
      <c r="O407" s="170"/>
      <c r="P407" s="170"/>
      <c r="Q407" s="170"/>
      <c r="R407" s="170">
        <f t="shared" si="45"/>
        <v>0</v>
      </c>
      <c r="S407" s="170"/>
      <c r="T407" s="170"/>
      <c r="U407" s="170"/>
      <c r="V407" s="170"/>
      <c r="W407" s="170"/>
      <c r="X407" s="171">
        <f t="shared" si="43"/>
        <v>0</v>
      </c>
      <c r="Y407" s="243">
        <f t="shared" si="44"/>
        <v>0</v>
      </c>
      <c r="Z407" s="399"/>
      <c r="AA407" s="364"/>
    </row>
    <row r="408" spans="1:27" ht="20.100000000000001" hidden="1" customHeight="1" x14ac:dyDescent="0.2">
      <c r="A408" s="26"/>
      <c r="B408" s="74"/>
      <c r="C408" s="39"/>
      <c r="D408" s="170"/>
      <c r="E408" s="170"/>
      <c r="F408" s="170"/>
      <c r="G408" s="170"/>
      <c r="H408" s="170"/>
      <c r="I408" s="170"/>
      <c r="J408" s="170"/>
      <c r="K408" s="170"/>
      <c r="L408" s="170"/>
      <c r="M408" s="170"/>
      <c r="N408" s="170"/>
      <c r="O408" s="170"/>
      <c r="P408" s="170"/>
      <c r="Q408" s="170"/>
      <c r="R408" s="170">
        <f t="shared" si="45"/>
        <v>0</v>
      </c>
      <c r="S408" s="170"/>
      <c r="T408" s="170"/>
      <c r="U408" s="170"/>
      <c r="V408" s="170"/>
      <c r="W408" s="170"/>
      <c r="X408" s="171">
        <f t="shared" si="43"/>
        <v>0</v>
      </c>
      <c r="Y408" s="243">
        <f t="shared" si="44"/>
        <v>0</v>
      </c>
      <c r="Z408" s="399"/>
      <c r="AA408" s="364"/>
    </row>
    <row r="409" spans="1:27" ht="20.100000000000001" hidden="1" customHeight="1" x14ac:dyDescent="0.2">
      <c r="A409" s="26"/>
      <c r="B409" s="74"/>
      <c r="C409" s="39"/>
      <c r="D409" s="170"/>
      <c r="E409" s="170"/>
      <c r="F409" s="170"/>
      <c r="G409" s="170"/>
      <c r="H409" s="170"/>
      <c r="I409" s="170"/>
      <c r="J409" s="170"/>
      <c r="K409" s="170"/>
      <c r="L409" s="170"/>
      <c r="M409" s="170"/>
      <c r="N409" s="170"/>
      <c r="O409" s="170"/>
      <c r="P409" s="170"/>
      <c r="Q409" s="170"/>
      <c r="R409" s="170">
        <f t="shared" si="45"/>
        <v>0</v>
      </c>
      <c r="S409" s="170"/>
      <c r="T409" s="170"/>
      <c r="U409" s="170"/>
      <c r="V409" s="170"/>
      <c r="W409" s="170"/>
      <c r="X409" s="171">
        <f t="shared" si="43"/>
        <v>0</v>
      </c>
      <c r="Y409" s="243">
        <f t="shared" si="44"/>
        <v>0</v>
      </c>
      <c r="Z409" s="399"/>
      <c r="AA409" s="364"/>
    </row>
    <row r="410" spans="1:27" ht="20.100000000000001" hidden="1" customHeight="1" x14ac:dyDescent="0.2">
      <c r="A410" s="26"/>
      <c r="B410" s="74"/>
      <c r="C410" s="39"/>
      <c r="D410" s="170"/>
      <c r="E410" s="170"/>
      <c r="F410" s="170"/>
      <c r="G410" s="170"/>
      <c r="H410" s="170"/>
      <c r="I410" s="170"/>
      <c r="J410" s="170"/>
      <c r="L410" s="170"/>
      <c r="M410" s="170"/>
      <c r="N410" s="170"/>
      <c r="O410" s="170"/>
      <c r="P410" s="170"/>
      <c r="Q410" s="170"/>
      <c r="R410" s="170">
        <f t="shared" si="45"/>
        <v>0</v>
      </c>
      <c r="S410" s="170"/>
      <c r="T410" s="170"/>
      <c r="U410" s="170"/>
      <c r="V410" s="170"/>
      <c r="W410" s="170"/>
      <c r="X410" s="171">
        <f t="shared" si="43"/>
        <v>0</v>
      </c>
      <c r="Y410" s="243">
        <f t="shared" si="44"/>
        <v>0</v>
      </c>
      <c r="Z410" s="412"/>
      <c r="AA410" s="364"/>
    </row>
    <row r="411" spans="1:27" ht="20.100000000000001" hidden="1" customHeight="1" x14ac:dyDescent="0.2">
      <c r="A411" s="26"/>
      <c r="B411" s="298"/>
      <c r="C411" s="39"/>
      <c r="D411" s="170"/>
      <c r="E411" s="170"/>
      <c r="F411" s="170"/>
      <c r="G411" s="170"/>
      <c r="H411" s="170"/>
      <c r="I411" s="170"/>
      <c r="J411" s="170"/>
      <c r="L411" s="170"/>
      <c r="M411" s="170"/>
      <c r="N411" s="170"/>
      <c r="O411" s="170"/>
      <c r="P411" s="170"/>
      <c r="Q411" s="170"/>
      <c r="R411" s="170">
        <f t="shared" si="45"/>
        <v>0</v>
      </c>
      <c r="S411" s="170"/>
      <c r="T411" s="170"/>
      <c r="U411" s="170"/>
      <c r="V411" s="170"/>
      <c r="W411" s="170"/>
      <c r="X411" s="171">
        <f t="shared" si="43"/>
        <v>0</v>
      </c>
      <c r="Y411" s="243">
        <f t="shared" si="44"/>
        <v>0</v>
      </c>
      <c r="Z411" s="412"/>
      <c r="AA411" s="364"/>
    </row>
    <row r="412" spans="1:27" ht="20.100000000000001" hidden="1" customHeight="1" x14ac:dyDescent="0.2">
      <c r="A412" s="26"/>
      <c r="B412" s="74"/>
      <c r="C412" s="39"/>
      <c r="D412" s="170"/>
      <c r="E412" s="170"/>
      <c r="F412" s="170"/>
      <c r="G412" s="170"/>
      <c r="H412" s="170"/>
      <c r="I412" s="170"/>
      <c r="J412" s="170"/>
      <c r="L412" s="170"/>
      <c r="M412" s="170"/>
      <c r="N412" s="170"/>
      <c r="O412" s="170"/>
      <c r="P412" s="170"/>
      <c r="Q412" s="170"/>
      <c r="R412" s="170">
        <f t="shared" si="45"/>
        <v>0</v>
      </c>
      <c r="S412" s="170"/>
      <c r="T412" s="170"/>
      <c r="U412" s="170"/>
      <c r="V412" s="170"/>
      <c r="W412" s="170"/>
      <c r="X412" s="171">
        <f t="shared" si="43"/>
        <v>0</v>
      </c>
      <c r="Y412" s="243">
        <f t="shared" si="44"/>
        <v>0</v>
      </c>
      <c r="Z412" s="412"/>
      <c r="AA412" s="364"/>
    </row>
    <row r="413" spans="1:27" ht="20.100000000000001" hidden="1" customHeight="1" x14ac:dyDescent="0.2">
      <c r="A413" s="26"/>
      <c r="B413" s="74"/>
      <c r="C413" s="39"/>
      <c r="D413" s="170"/>
      <c r="E413" s="170"/>
      <c r="F413" s="170"/>
      <c r="G413" s="170"/>
      <c r="H413" s="170"/>
      <c r="I413" s="170"/>
      <c r="J413" s="170"/>
      <c r="K413" s="170"/>
      <c r="L413" s="170"/>
      <c r="M413" s="170"/>
      <c r="N413" s="170"/>
      <c r="O413" s="170"/>
      <c r="P413" s="170"/>
      <c r="Q413" s="170"/>
      <c r="R413" s="170">
        <f t="shared" si="45"/>
        <v>0</v>
      </c>
      <c r="S413" s="170"/>
      <c r="T413" s="170"/>
      <c r="U413" s="170"/>
      <c r="V413" s="170"/>
      <c r="W413" s="170"/>
      <c r="X413" s="171">
        <f t="shared" si="43"/>
        <v>0</v>
      </c>
      <c r="Y413" s="243">
        <f t="shared" si="44"/>
        <v>0</v>
      </c>
      <c r="Z413" s="412"/>
      <c r="AA413" s="364"/>
    </row>
    <row r="414" spans="1:27" ht="20.100000000000001" hidden="1" customHeight="1" x14ac:dyDescent="0.2">
      <c r="A414" s="26"/>
      <c r="B414" s="74"/>
      <c r="C414" s="39"/>
      <c r="D414" s="170"/>
      <c r="E414" s="170"/>
      <c r="F414" s="170"/>
      <c r="G414" s="170"/>
      <c r="H414" s="170"/>
      <c r="I414" s="170"/>
      <c r="J414" s="170"/>
      <c r="K414" s="170"/>
      <c r="L414" s="170"/>
      <c r="M414" s="170"/>
      <c r="N414" s="170"/>
      <c r="O414" s="170"/>
      <c r="P414" s="170"/>
      <c r="Q414" s="170"/>
      <c r="R414" s="170">
        <f t="shared" si="45"/>
        <v>0</v>
      </c>
      <c r="S414" s="170"/>
      <c r="T414" s="170"/>
      <c r="U414" s="170"/>
      <c r="V414" s="170"/>
      <c r="W414" s="170"/>
      <c r="X414" s="171">
        <f t="shared" si="43"/>
        <v>0</v>
      </c>
      <c r="Y414" s="243">
        <f t="shared" si="44"/>
        <v>0</v>
      </c>
      <c r="Z414" s="412"/>
      <c r="AA414" s="364"/>
    </row>
    <row r="415" spans="1:27" ht="20.100000000000001" hidden="1" customHeight="1" x14ac:dyDescent="0.2">
      <c r="A415" s="26"/>
      <c r="B415" s="74"/>
      <c r="C415" s="39"/>
      <c r="D415" s="170"/>
      <c r="E415" s="170"/>
      <c r="F415" s="170"/>
      <c r="G415" s="170"/>
      <c r="H415" s="170"/>
      <c r="I415" s="170"/>
      <c r="J415" s="170"/>
      <c r="K415" s="170"/>
      <c r="L415" s="170"/>
      <c r="M415" s="170"/>
      <c r="N415" s="170"/>
      <c r="O415" s="170"/>
      <c r="P415" s="170"/>
      <c r="Q415" s="170"/>
      <c r="R415" s="170">
        <f t="shared" si="45"/>
        <v>0</v>
      </c>
      <c r="S415" s="170"/>
      <c r="T415" s="170"/>
      <c r="U415" s="170"/>
      <c r="V415" s="170"/>
      <c r="W415" s="170"/>
      <c r="X415" s="171">
        <f t="shared" ref="X415:X439" si="50">SUM(T415:W415)</f>
        <v>0</v>
      </c>
      <c r="Y415" s="243">
        <f t="shared" ref="Y415:Y439" si="51">R415+X415</f>
        <v>0</v>
      </c>
      <c r="Z415" s="412"/>
      <c r="AA415" s="364"/>
    </row>
    <row r="416" spans="1:27" ht="20.100000000000001" hidden="1" customHeight="1" x14ac:dyDescent="0.2">
      <c r="A416" s="26"/>
      <c r="B416" s="74"/>
      <c r="C416" s="39"/>
      <c r="D416" s="170"/>
      <c r="E416" s="170"/>
      <c r="F416" s="170"/>
      <c r="G416" s="170"/>
      <c r="H416" s="170"/>
      <c r="I416" s="170"/>
      <c r="J416" s="170"/>
      <c r="K416" s="170"/>
      <c r="L416" s="170"/>
      <c r="M416" s="170"/>
      <c r="N416" s="170"/>
      <c r="O416" s="170"/>
      <c r="P416" s="170"/>
      <c r="Q416" s="170"/>
      <c r="R416" s="170">
        <f t="shared" si="45"/>
        <v>0</v>
      </c>
      <c r="S416" s="170"/>
      <c r="T416" s="170"/>
      <c r="U416" s="170"/>
      <c r="V416" s="170"/>
      <c r="W416" s="170"/>
      <c r="X416" s="171">
        <f t="shared" si="50"/>
        <v>0</v>
      </c>
      <c r="Y416" s="243">
        <f t="shared" si="51"/>
        <v>0</v>
      </c>
      <c r="Z416" s="412"/>
      <c r="AA416" s="364"/>
    </row>
    <row r="417" spans="1:27" ht="20.100000000000001" hidden="1" customHeight="1" x14ac:dyDescent="0.2">
      <c r="A417" s="26"/>
      <c r="B417" s="74"/>
      <c r="C417" s="39"/>
      <c r="D417" s="170"/>
      <c r="E417" s="170"/>
      <c r="F417" s="170"/>
      <c r="G417" s="170"/>
      <c r="H417" s="170"/>
      <c r="I417" s="170"/>
      <c r="J417" s="170"/>
      <c r="K417" s="170"/>
      <c r="L417" s="170"/>
      <c r="M417" s="170"/>
      <c r="N417" s="170"/>
      <c r="O417" s="170"/>
      <c r="P417" s="170"/>
      <c r="Q417" s="170"/>
      <c r="R417" s="170">
        <f t="shared" si="45"/>
        <v>0</v>
      </c>
      <c r="S417" s="170"/>
      <c r="T417" s="170"/>
      <c r="U417" s="170"/>
      <c r="V417" s="170"/>
      <c r="W417" s="170"/>
      <c r="X417" s="171">
        <f t="shared" si="50"/>
        <v>0</v>
      </c>
      <c r="Y417" s="243">
        <f t="shared" si="51"/>
        <v>0</v>
      </c>
      <c r="Z417" s="412"/>
      <c r="AA417" s="364"/>
    </row>
    <row r="418" spans="1:27" ht="20.100000000000001" hidden="1" customHeight="1" x14ac:dyDescent="0.2">
      <c r="A418" s="26"/>
      <c r="B418" s="74"/>
      <c r="C418" s="39"/>
      <c r="D418" s="170"/>
      <c r="E418" s="170"/>
      <c r="F418" s="170"/>
      <c r="G418" s="170"/>
      <c r="H418" s="170"/>
      <c r="I418" s="170"/>
      <c r="J418" s="170"/>
      <c r="K418" s="170"/>
      <c r="L418" s="170"/>
      <c r="M418" s="170"/>
      <c r="N418" s="170"/>
      <c r="O418" s="170"/>
      <c r="P418" s="170"/>
      <c r="Q418" s="170"/>
      <c r="R418" s="170">
        <f t="shared" si="45"/>
        <v>0</v>
      </c>
      <c r="S418" s="170"/>
      <c r="T418" s="170"/>
      <c r="U418" s="170"/>
      <c r="V418" s="170"/>
      <c r="W418" s="170"/>
      <c r="X418" s="171">
        <f t="shared" si="50"/>
        <v>0</v>
      </c>
      <c r="Y418" s="243">
        <f t="shared" si="51"/>
        <v>0</v>
      </c>
      <c r="Z418" s="412"/>
      <c r="AA418" s="364"/>
    </row>
    <row r="419" spans="1:27" ht="20.100000000000001" hidden="1" customHeight="1" x14ac:dyDescent="0.2">
      <c r="A419" s="26"/>
      <c r="B419" s="74"/>
      <c r="C419" s="39"/>
      <c r="D419" s="170"/>
      <c r="E419" s="170"/>
      <c r="F419" s="170"/>
      <c r="G419" s="170"/>
      <c r="H419" s="170"/>
      <c r="I419" s="170"/>
      <c r="J419" s="170"/>
      <c r="K419" s="170"/>
      <c r="L419" s="170"/>
      <c r="M419" s="170"/>
      <c r="N419" s="170"/>
      <c r="O419" s="170"/>
      <c r="P419" s="170"/>
      <c r="Q419" s="170"/>
      <c r="R419" s="170">
        <f t="shared" si="45"/>
        <v>0</v>
      </c>
      <c r="S419" s="170"/>
      <c r="T419" s="170"/>
      <c r="U419" s="170"/>
      <c r="V419" s="170"/>
      <c r="W419" s="170"/>
      <c r="X419" s="171">
        <f t="shared" si="50"/>
        <v>0</v>
      </c>
      <c r="Y419" s="243">
        <f t="shared" si="51"/>
        <v>0</v>
      </c>
      <c r="Z419" s="412"/>
      <c r="AA419" s="364"/>
    </row>
    <row r="420" spans="1:27" ht="20.100000000000001" hidden="1" customHeight="1" x14ac:dyDescent="0.2">
      <c r="A420" s="26"/>
      <c r="B420" s="74"/>
      <c r="C420" s="39"/>
      <c r="D420" s="170"/>
      <c r="E420" s="170"/>
      <c r="F420" s="170"/>
      <c r="G420" s="170"/>
      <c r="H420" s="170"/>
      <c r="I420" s="170"/>
      <c r="J420" s="170"/>
      <c r="K420" s="170"/>
      <c r="L420" s="170"/>
      <c r="M420" s="170"/>
      <c r="N420" s="170"/>
      <c r="O420" s="170"/>
      <c r="P420" s="170"/>
      <c r="Q420" s="170"/>
      <c r="R420" s="170">
        <f t="shared" si="45"/>
        <v>0</v>
      </c>
      <c r="S420" s="170"/>
      <c r="T420" s="170"/>
      <c r="U420" s="170"/>
      <c r="V420" s="170"/>
      <c r="W420" s="170"/>
      <c r="X420" s="171">
        <f t="shared" si="50"/>
        <v>0</v>
      </c>
      <c r="Y420" s="243">
        <f t="shared" si="51"/>
        <v>0</v>
      </c>
      <c r="Z420" s="412"/>
      <c r="AA420" s="364"/>
    </row>
    <row r="421" spans="1:27" ht="20.100000000000001" hidden="1" customHeight="1" x14ac:dyDescent="0.2">
      <c r="A421" s="26"/>
      <c r="B421" s="413"/>
      <c r="C421" s="39"/>
      <c r="D421" s="170"/>
      <c r="E421" s="170"/>
      <c r="F421" s="170"/>
      <c r="G421" s="170"/>
      <c r="H421" s="170"/>
      <c r="I421" s="170"/>
      <c r="J421" s="170"/>
      <c r="K421" s="170"/>
      <c r="L421" s="170"/>
      <c r="M421" s="170"/>
      <c r="N421" s="170"/>
      <c r="O421" s="170"/>
      <c r="P421" s="170"/>
      <c r="Q421" s="170"/>
      <c r="R421" s="170">
        <f t="shared" si="45"/>
        <v>0</v>
      </c>
      <c r="S421" s="170"/>
      <c r="T421" s="170"/>
      <c r="U421" s="170"/>
      <c r="V421" s="170"/>
      <c r="W421" s="170"/>
      <c r="X421" s="171">
        <f t="shared" si="50"/>
        <v>0</v>
      </c>
      <c r="Y421" s="243">
        <f t="shared" si="51"/>
        <v>0</v>
      </c>
      <c r="Z421" s="412"/>
      <c r="AA421" s="364"/>
    </row>
    <row r="422" spans="1:27" ht="20.100000000000001" hidden="1" customHeight="1" x14ac:dyDescent="0.2">
      <c r="A422" s="26"/>
      <c r="B422" s="413"/>
      <c r="C422" s="39"/>
      <c r="D422" s="170"/>
      <c r="E422" s="170"/>
      <c r="F422" s="170"/>
      <c r="G422" s="170"/>
      <c r="H422" s="170"/>
      <c r="I422" s="170"/>
      <c r="J422" s="170"/>
      <c r="K422" s="170"/>
      <c r="L422" s="170"/>
      <c r="M422" s="170"/>
      <c r="N422" s="170"/>
      <c r="O422" s="170"/>
      <c r="P422" s="170"/>
      <c r="Q422" s="170"/>
      <c r="R422" s="170">
        <f t="shared" ref="R422:R443" si="52">SUM(D422:Q422)</f>
        <v>0</v>
      </c>
      <c r="S422" s="170"/>
      <c r="T422" s="170"/>
      <c r="U422" s="170"/>
      <c r="V422" s="170"/>
      <c r="W422" s="170"/>
      <c r="X422" s="171">
        <f t="shared" si="50"/>
        <v>0</v>
      </c>
      <c r="Y422" s="243">
        <f t="shared" si="51"/>
        <v>0</v>
      </c>
      <c r="Z422" s="412"/>
      <c r="AA422" s="364"/>
    </row>
    <row r="423" spans="1:27" ht="20.100000000000001" hidden="1" customHeight="1" x14ac:dyDescent="0.2">
      <c r="A423" s="26"/>
      <c r="B423" s="74"/>
      <c r="C423" s="39"/>
      <c r="D423" s="170"/>
      <c r="E423" s="170"/>
      <c r="F423" s="170"/>
      <c r="G423" s="170"/>
      <c r="H423" s="170"/>
      <c r="I423" s="170"/>
      <c r="J423" s="170"/>
      <c r="K423" s="170"/>
      <c r="L423" s="170"/>
      <c r="M423" s="170"/>
      <c r="N423" s="170"/>
      <c r="O423" s="170"/>
      <c r="P423" s="170"/>
      <c r="Q423" s="170"/>
      <c r="R423" s="170">
        <f t="shared" si="52"/>
        <v>0</v>
      </c>
      <c r="S423" s="170"/>
      <c r="T423" s="170"/>
      <c r="U423" s="170"/>
      <c r="V423" s="170"/>
      <c r="W423" s="170"/>
      <c r="X423" s="171">
        <f t="shared" si="50"/>
        <v>0</v>
      </c>
      <c r="Y423" s="243">
        <f t="shared" si="51"/>
        <v>0</v>
      </c>
      <c r="Z423" s="399"/>
      <c r="AA423" s="364"/>
    </row>
    <row r="424" spans="1:27" ht="20.100000000000001" hidden="1" customHeight="1" x14ac:dyDescent="0.2">
      <c r="A424" s="26"/>
      <c r="B424" s="74"/>
      <c r="C424" s="39"/>
      <c r="D424" s="170"/>
      <c r="E424" s="170"/>
      <c r="F424" s="170"/>
      <c r="G424" s="170"/>
      <c r="H424" s="170"/>
      <c r="I424" s="170"/>
      <c r="K424" s="170"/>
      <c r="L424" s="170"/>
      <c r="M424" s="170"/>
      <c r="N424" s="170"/>
      <c r="O424" s="170"/>
      <c r="P424" s="170"/>
      <c r="Q424" s="170"/>
      <c r="R424" s="170">
        <f t="shared" si="52"/>
        <v>0</v>
      </c>
      <c r="S424" s="170"/>
      <c r="T424" s="170"/>
      <c r="U424" s="170"/>
      <c r="V424" s="170"/>
      <c r="W424" s="170"/>
      <c r="X424" s="171">
        <f t="shared" si="50"/>
        <v>0</v>
      </c>
      <c r="Y424" s="243">
        <f t="shared" si="51"/>
        <v>0</v>
      </c>
      <c r="Z424" s="399"/>
      <c r="AA424" s="364"/>
    </row>
    <row r="425" spans="1:27" ht="20.100000000000001" hidden="1" customHeight="1" x14ac:dyDescent="0.2">
      <c r="A425" s="26"/>
      <c r="B425" s="74"/>
      <c r="C425" s="39"/>
      <c r="D425" s="170"/>
      <c r="E425" s="170"/>
      <c r="F425" s="170"/>
      <c r="G425" s="170"/>
      <c r="H425" s="170"/>
      <c r="I425" s="170"/>
      <c r="J425" s="170"/>
      <c r="K425" s="170"/>
      <c r="L425" s="170"/>
      <c r="M425" s="170"/>
      <c r="N425" s="170"/>
      <c r="O425" s="170"/>
      <c r="P425" s="170"/>
      <c r="Q425" s="170"/>
      <c r="R425" s="170">
        <f t="shared" si="52"/>
        <v>0</v>
      </c>
      <c r="S425" s="170"/>
      <c r="T425" s="170"/>
      <c r="U425" s="170"/>
      <c r="V425" s="170"/>
      <c r="W425" s="170"/>
      <c r="X425" s="171">
        <f t="shared" si="50"/>
        <v>0</v>
      </c>
      <c r="Y425" s="243">
        <f t="shared" si="51"/>
        <v>0</v>
      </c>
      <c r="Z425" s="399"/>
      <c r="AA425" s="364"/>
    </row>
    <row r="426" spans="1:27" ht="20.100000000000001" hidden="1" customHeight="1" x14ac:dyDescent="0.2">
      <c r="A426" s="26"/>
      <c r="B426" s="413"/>
      <c r="C426" s="39"/>
      <c r="D426" s="170"/>
      <c r="E426" s="170"/>
      <c r="F426" s="170"/>
      <c r="G426" s="170"/>
      <c r="H426" s="170"/>
      <c r="I426" s="170"/>
      <c r="J426" s="170"/>
      <c r="K426" s="170"/>
      <c r="L426" s="170"/>
      <c r="M426" s="170"/>
      <c r="N426" s="170"/>
      <c r="O426" s="170"/>
      <c r="P426" s="170"/>
      <c r="Q426" s="170"/>
      <c r="R426" s="170">
        <f t="shared" si="52"/>
        <v>0</v>
      </c>
      <c r="S426" s="170"/>
      <c r="T426" s="170"/>
      <c r="U426" s="170"/>
      <c r="V426" s="170"/>
      <c r="W426" s="170"/>
      <c r="X426" s="171">
        <f t="shared" si="50"/>
        <v>0</v>
      </c>
      <c r="Y426" s="243">
        <f t="shared" si="51"/>
        <v>0</v>
      </c>
      <c r="Z426" s="399"/>
      <c r="AA426" s="364"/>
    </row>
    <row r="427" spans="1:27" ht="20.100000000000001" hidden="1" customHeight="1" x14ac:dyDescent="0.2">
      <c r="A427" s="26"/>
      <c r="B427" s="74"/>
      <c r="C427" s="39"/>
      <c r="D427" s="170"/>
      <c r="E427" s="170"/>
      <c r="F427" s="170"/>
      <c r="G427" s="170"/>
      <c r="H427" s="170"/>
      <c r="I427" s="170"/>
      <c r="J427" s="170"/>
      <c r="K427" s="170"/>
      <c r="L427" s="170"/>
      <c r="M427" s="170"/>
      <c r="N427" s="170"/>
      <c r="O427" s="170"/>
      <c r="P427" s="170"/>
      <c r="Q427" s="170"/>
      <c r="R427" s="170">
        <f t="shared" si="52"/>
        <v>0</v>
      </c>
      <c r="S427" s="170"/>
      <c r="T427" s="170"/>
      <c r="U427" s="170"/>
      <c r="V427" s="170"/>
      <c r="W427" s="170"/>
      <c r="X427" s="171">
        <f t="shared" si="50"/>
        <v>0</v>
      </c>
      <c r="Y427" s="243">
        <f t="shared" si="51"/>
        <v>0</v>
      </c>
      <c r="Z427" s="399"/>
      <c r="AA427" s="364"/>
    </row>
    <row r="428" spans="1:27" ht="20.100000000000001" hidden="1" customHeight="1" x14ac:dyDescent="0.2">
      <c r="A428" s="26"/>
      <c r="B428" s="74"/>
      <c r="C428" s="39"/>
      <c r="D428" s="170"/>
      <c r="E428" s="170"/>
      <c r="F428" s="170"/>
      <c r="G428" s="170"/>
      <c r="H428" s="170"/>
      <c r="I428" s="170"/>
      <c r="J428" s="170"/>
      <c r="K428" s="170"/>
      <c r="L428" s="170"/>
      <c r="M428" s="170"/>
      <c r="N428" s="170"/>
      <c r="O428" s="170"/>
      <c r="P428" s="170"/>
      <c r="Q428" s="170"/>
      <c r="R428" s="170">
        <f t="shared" si="52"/>
        <v>0</v>
      </c>
      <c r="S428" s="170"/>
      <c r="T428" s="170"/>
      <c r="U428" s="170"/>
      <c r="V428" s="170"/>
      <c r="W428" s="170"/>
      <c r="X428" s="171">
        <f t="shared" si="50"/>
        <v>0</v>
      </c>
      <c r="Y428" s="243">
        <f t="shared" si="51"/>
        <v>0</v>
      </c>
      <c r="Z428" s="399"/>
      <c r="AA428" s="364"/>
    </row>
    <row r="429" spans="1:27" ht="20.100000000000001" hidden="1" customHeight="1" x14ac:dyDescent="0.2">
      <c r="A429" s="26"/>
      <c r="B429" s="74"/>
      <c r="C429" s="39"/>
      <c r="D429" s="170"/>
      <c r="E429" s="170"/>
      <c r="F429" s="170"/>
      <c r="G429" s="170"/>
      <c r="H429" s="170"/>
      <c r="I429" s="170"/>
      <c r="J429" s="170"/>
      <c r="K429" s="170"/>
      <c r="L429" s="170"/>
      <c r="M429" s="170"/>
      <c r="N429" s="170"/>
      <c r="O429" s="170"/>
      <c r="P429" s="170"/>
      <c r="Q429" s="170"/>
      <c r="R429" s="170">
        <f t="shared" si="52"/>
        <v>0</v>
      </c>
      <c r="S429" s="170"/>
      <c r="T429" s="170"/>
      <c r="U429" s="170"/>
      <c r="V429" s="170"/>
      <c r="W429" s="170"/>
      <c r="X429" s="171">
        <f t="shared" si="50"/>
        <v>0</v>
      </c>
      <c r="Y429" s="243">
        <f t="shared" si="51"/>
        <v>0</v>
      </c>
      <c r="Z429" s="399"/>
      <c r="AA429" s="364"/>
    </row>
    <row r="430" spans="1:27" ht="20.100000000000001" hidden="1" customHeight="1" x14ac:dyDescent="0.2">
      <c r="A430" s="26"/>
      <c r="B430" s="413"/>
      <c r="C430" s="39"/>
      <c r="D430" s="170"/>
      <c r="E430" s="170"/>
      <c r="F430" s="170"/>
      <c r="G430" s="170"/>
      <c r="H430" s="170"/>
      <c r="I430" s="170"/>
      <c r="J430" s="170"/>
      <c r="K430" s="170"/>
      <c r="L430" s="170"/>
      <c r="M430" s="170"/>
      <c r="N430" s="170"/>
      <c r="O430" s="170"/>
      <c r="P430" s="170"/>
      <c r="Q430" s="170"/>
      <c r="R430" s="170">
        <f t="shared" si="52"/>
        <v>0</v>
      </c>
      <c r="S430" s="170"/>
      <c r="T430" s="170"/>
      <c r="U430" s="170"/>
      <c r="V430" s="170"/>
      <c r="W430" s="170"/>
      <c r="X430" s="171">
        <f t="shared" si="50"/>
        <v>0</v>
      </c>
      <c r="Y430" s="243">
        <f t="shared" si="51"/>
        <v>0</v>
      </c>
      <c r="Z430" s="399"/>
      <c r="AA430" s="364"/>
    </row>
    <row r="431" spans="1:27" ht="20.100000000000001" hidden="1" customHeight="1" x14ac:dyDescent="0.2">
      <c r="A431" s="26"/>
      <c r="B431" s="74"/>
      <c r="C431" s="39"/>
      <c r="D431" s="170"/>
      <c r="E431" s="170"/>
      <c r="F431" s="170"/>
      <c r="G431" s="170"/>
      <c r="H431" s="170"/>
      <c r="I431" s="170"/>
      <c r="J431" s="170"/>
      <c r="K431" s="170"/>
      <c r="L431" s="170"/>
      <c r="M431" s="170"/>
      <c r="N431" s="170"/>
      <c r="O431" s="170"/>
      <c r="P431" s="170"/>
      <c r="Q431" s="170"/>
      <c r="R431" s="170">
        <f t="shared" si="52"/>
        <v>0</v>
      </c>
      <c r="S431" s="170"/>
      <c r="T431" s="170"/>
      <c r="U431" s="170"/>
      <c r="V431" s="170"/>
      <c r="W431" s="170"/>
      <c r="X431" s="171">
        <f t="shared" si="50"/>
        <v>0</v>
      </c>
      <c r="Y431" s="243">
        <f t="shared" si="51"/>
        <v>0</v>
      </c>
      <c r="Z431" s="399"/>
      <c r="AA431" s="364"/>
    </row>
    <row r="432" spans="1:27" ht="20.100000000000001" hidden="1" customHeight="1" x14ac:dyDescent="0.2">
      <c r="A432" s="26"/>
      <c r="B432" s="74"/>
      <c r="C432" s="39"/>
      <c r="D432" s="170"/>
      <c r="E432" s="170"/>
      <c r="F432" s="170"/>
      <c r="G432" s="170"/>
      <c r="H432" s="170"/>
      <c r="I432" s="170"/>
      <c r="J432" s="170"/>
      <c r="K432" s="170"/>
      <c r="L432" s="170"/>
      <c r="M432" s="170"/>
      <c r="N432" s="170"/>
      <c r="O432" s="170"/>
      <c r="P432" s="170"/>
      <c r="Q432" s="170"/>
      <c r="R432" s="170">
        <f t="shared" si="52"/>
        <v>0</v>
      </c>
      <c r="S432" s="170"/>
      <c r="T432" s="170"/>
      <c r="U432" s="170"/>
      <c r="V432" s="170"/>
      <c r="W432" s="170"/>
      <c r="X432" s="171">
        <f t="shared" si="50"/>
        <v>0</v>
      </c>
      <c r="Y432" s="243">
        <f t="shared" si="51"/>
        <v>0</v>
      </c>
      <c r="Z432" s="399"/>
      <c r="AA432" s="364"/>
    </row>
    <row r="433" spans="1:28" ht="20.100000000000001" hidden="1" customHeight="1" x14ac:dyDescent="0.2">
      <c r="A433" s="26"/>
      <c r="B433" s="74"/>
      <c r="C433" s="39"/>
      <c r="D433" s="170"/>
      <c r="E433" s="170"/>
      <c r="F433" s="170"/>
      <c r="G433" s="170"/>
      <c r="H433" s="170"/>
      <c r="I433" s="170"/>
      <c r="J433" s="170"/>
      <c r="K433" s="170"/>
      <c r="L433" s="170"/>
      <c r="M433" s="170"/>
      <c r="N433" s="170"/>
      <c r="O433" s="170"/>
      <c r="P433" s="170"/>
      <c r="Q433" s="170"/>
      <c r="R433" s="170">
        <f t="shared" si="52"/>
        <v>0</v>
      </c>
      <c r="S433" s="170"/>
      <c r="T433" s="170"/>
      <c r="U433" s="170"/>
      <c r="V433" s="170"/>
      <c r="W433" s="170"/>
      <c r="X433" s="171">
        <f t="shared" si="50"/>
        <v>0</v>
      </c>
      <c r="Y433" s="243">
        <f t="shared" si="51"/>
        <v>0</v>
      </c>
      <c r="Z433" s="399"/>
      <c r="AA433" s="364"/>
    </row>
    <row r="434" spans="1:28" ht="20.100000000000001" hidden="1" customHeight="1" x14ac:dyDescent="0.2">
      <c r="A434" s="26"/>
      <c r="B434" s="74"/>
      <c r="C434" s="39"/>
      <c r="D434" s="170"/>
      <c r="E434" s="170"/>
      <c r="F434" s="170"/>
      <c r="G434" s="170"/>
      <c r="H434" s="170"/>
      <c r="I434" s="170"/>
      <c r="J434" s="170"/>
      <c r="K434" s="170"/>
      <c r="L434" s="170"/>
      <c r="M434" s="170"/>
      <c r="N434" s="170"/>
      <c r="O434" s="170"/>
      <c r="P434" s="170"/>
      <c r="Q434" s="170"/>
      <c r="R434" s="170">
        <f t="shared" si="52"/>
        <v>0</v>
      </c>
      <c r="S434" s="170"/>
      <c r="T434" s="170"/>
      <c r="U434" s="170"/>
      <c r="V434" s="170"/>
      <c r="W434" s="170"/>
      <c r="X434" s="171">
        <f t="shared" si="50"/>
        <v>0</v>
      </c>
      <c r="Y434" s="243">
        <f t="shared" si="51"/>
        <v>0</v>
      </c>
      <c r="Z434" s="399"/>
      <c r="AA434" s="364"/>
    </row>
    <row r="435" spans="1:28" ht="20.100000000000001" hidden="1" customHeight="1" x14ac:dyDescent="0.2">
      <c r="A435" s="26"/>
      <c r="B435" s="74"/>
      <c r="C435" s="39"/>
      <c r="D435" s="170"/>
      <c r="E435" s="170"/>
      <c r="F435" s="170"/>
      <c r="G435" s="170"/>
      <c r="H435" s="170"/>
      <c r="I435" s="170"/>
      <c r="J435" s="170"/>
      <c r="K435" s="170"/>
      <c r="L435" s="170"/>
      <c r="M435" s="170"/>
      <c r="N435" s="170"/>
      <c r="O435" s="170"/>
      <c r="P435" s="170"/>
      <c r="Q435" s="170"/>
      <c r="R435" s="170">
        <f t="shared" si="52"/>
        <v>0</v>
      </c>
      <c r="S435" s="170"/>
      <c r="T435" s="170"/>
      <c r="U435" s="170"/>
      <c r="V435" s="170"/>
      <c r="W435" s="170"/>
      <c r="X435" s="171">
        <f t="shared" si="50"/>
        <v>0</v>
      </c>
      <c r="Y435" s="243">
        <f t="shared" si="51"/>
        <v>0</v>
      </c>
      <c r="Z435" s="399"/>
      <c r="AA435" s="364"/>
    </row>
    <row r="436" spans="1:28" ht="20.100000000000001" hidden="1" customHeight="1" x14ac:dyDescent="0.2">
      <c r="A436" s="26"/>
      <c r="B436" s="74"/>
      <c r="C436" s="39"/>
      <c r="D436" s="170"/>
      <c r="E436" s="170"/>
      <c r="F436" s="170"/>
      <c r="G436" s="170"/>
      <c r="H436" s="170"/>
      <c r="I436" s="170"/>
      <c r="J436" s="170"/>
      <c r="K436" s="170"/>
      <c r="L436" s="170"/>
      <c r="M436" s="170"/>
      <c r="N436" s="170"/>
      <c r="O436" s="170"/>
      <c r="P436" s="170"/>
      <c r="Q436" s="170"/>
      <c r="R436" s="170">
        <f t="shared" si="52"/>
        <v>0</v>
      </c>
      <c r="S436" s="170"/>
      <c r="T436" s="170"/>
      <c r="U436" s="170"/>
      <c r="V436" s="170"/>
      <c r="W436" s="170"/>
      <c r="X436" s="171">
        <f t="shared" si="50"/>
        <v>0</v>
      </c>
      <c r="Y436" s="243">
        <f t="shared" si="51"/>
        <v>0</v>
      </c>
      <c r="Z436" s="399"/>
      <c r="AA436" s="364"/>
    </row>
    <row r="437" spans="1:28" ht="20.100000000000001" hidden="1" customHeight="1" x14ac:dyDescent="0.2">
      <c r="A437" s="26"/>
      <c r="B437" s="74"/>
      <c r="C437" s="39"/>
      <c r="D437" s="170"/>
      <c r="E437" s="170"/>
      <c r="F437" s="170"/>
      <c r="G437" s="170"/>
      <c r="H437" s="170"/>
      <c r="I437" s="170"/>
      <c r="J437" s="170"/>
      <c r="K437" s="170"/>
      <c r="L437" s="170"/>
      <c r="M437" s="170"/>
      <c r="N437" s="170"/>
      <c r="O437" s="170"/>
      <c r="P437" s="170"/>
      <c r="Q437" s="170"/>
      <c r="R437" s="170">
        <f t="shared" si="52"/>
        <v>0</v>
      </c>
      <c r="S437" s="170"/>
      <c r="T437" s="170"/>
      <c r="U437" s="170"/>
      <c r="V437" s="170"/>
      <c r="W437" s="170"/>
      <c r="X437" s="171">
        <f t="shared" si="50"/>
        <v>0</v>
      </c>
      <c r="Y437" s="243">
        <f t="shared" si="51"/>
        <v>0</v>
      </c>
      <c r="Z437" s="399"/>
      <c r="AA437" s="364"/>
    </row>
    <row r="438" spans="1:28" ht="20.100000000000001" hidden="1" customHeight="1" x14ac:dyDescent="0.2">
      <c r="A438" s="26"/>
      <c r="B438" s="298"/>
      <c r="C438" s="39"/>
      <c r="D438" s="170"/>
      <c r="E438" s="170"/>
      <c r="F438" s="170"/>
      <c r="G438" s="170"/>
      <c r="H438" s="170"/>
      <c r="I438" s="170"/>
      <c r="J438" s="170"/>
      <c r="K438" s="170"/>
      <c r="L438" s="170"/>
      <c r="M438" s="170"/>
      <c r="N438" s="170"/>
      <c r="O438" s="170"/>
      <c r="P438" s="170"/>
      <c r="Q438" s="170"/>
      <c r="R438" s="170">
        <f t="shared" si="52"/>
        <v>0</v>
      </c>
      <c r="S438" s="170"/>
      <c r="T438" s="170"/>
      <c r="U438" s="170"/>
      <c r="V438" s="170"/>
      <c r="W438" s="170"/>
      <c r="X438" s="171">
        <f t="shared" si="50"/>
        <v>0</v>
      </c>
      <c r="Y438" s="243">
        <f t="shared" si="51"/>
        <v>0</v>
      </c>
      <c r="Z438" s="399"/>
      <c r="AA438" s="364"/>
    </row>
    <row r="439" spans="1:28" ht="20.100000000000001" hidden="1" customHeight="1" x14ac:dyDescent="0.2">
      <c r="A439" s="26"/>
      <c r="B439" s="74"/>
      <c r="C439" s="207" t="s">
        <v>69</v>
      </c>
      <c r="D439" s="170"/>
      <c r="E439" s="170"/>
      <c r="F439" s="170"/>
      <c r="G439" s="170"/>
      <c r="H439" s="170"/>
      <c r="I439" s="170"/>
      <c r="J439" s="170"/>
      <c r="K439" s="170"/>
      <c r="L439" s="170"/>
      <c r="M439" s="170"/>
      <c r="N439" s="170"/>
      <c r="O439" s="170"/>
      <c r="P439" s="170"/>
      <c r="Q439" s="170"/>
      <c r="R439" s="170">
        <f t="shared" si="52"/>
        <v>0</v>
      </c>
      <c r="S439" s="170"/>
      <c r="T439" s="170"/>
      <c r="U439" s="170"/>
      <c r="V439" s="170"/>
      <c r="W439" s="170"/>
      <c r="X439" s="171">
        <f t="shared" si="50"/>
        <v>0</v>
      </c>
      <c r="Y439" s="243">
        <f t="shared" si="51"/>
        <v>0</v>
      </c>
      <c r="Z439" s="399"/>
      <c r="AA439" s="364"/>
    </row>
    <row r="440" spans="1:28" ht="15" hidden="1" customHeight="1" thickBot="1" x14ac:dyDescent="0.25">
      <c r="A440" s="26"/>
      <c r="B440" s="74"/>
      <c r="C440" s="39"/>
      <c r="D440" s="170"/>
      <c r="E440" s="170"/>
      <c r="F440" s="170"/>
      <c r="G440" s="170"/>
      <c r="H440" s="170"/>
      <c r="I440" s="170"/>
      <c r="J440" s="170"/>
      <c r="K440" s="170"/>
      <c r="L440" s="170"/>
      <c r="M440" s="170"/>
      <c r="N440" s="170"/>
      <c r="O440" s="170"/>
      <c r="P440" s="170"/>
      <c r="Q440" s="170"/>
      <c r="R440" s="170"/>
      <c r="S440" s="170"/>
      <c r="T440" s="170"/>
      <c r="U440" s="170"/>
      <c r="V440" s="170"/>
      <c r="W440" s="170"/>
      <c r="X440" s="171"/>
      <c r="Y440" s="243"/>
      <c r="Z440" s="399"/>
      <c r="AA440" s="364"/>
    </row>
    <row r="441" spans="1:28" ht="24.75" hidden="1" customHeight="1" thickTop="1" thickBot="1" x14ac:dyDescent="0.25">
      <c r="A441" s="47"/>
      <c r="B441" s="268" t="s">
        <v>186</v>
      </c>
      <c r="C441" s="44" t="s">
        <v>32</v>
      </c>
      <c r="D441" s="183">
        <f t="shared" ref="D441:Q441" si="53">SUM(D361:D440)</f>
        <v>0</v>
      </c>
      <c r="E441" s="183">
        <f t="shared" si="53"/>
        <v>0</v>
      </c>
      <c r="F441" s="183">
        <f t="shared" si="53"/>
        <v>0</v>
      </c>
      <c r="G441" s="183">
        <f t="shared" si="53"/>
        <v>0</v>
      </c>
      <c r="H441" s="183">
        <f t="shared" si="53"/>
        <v>0</v>
      </c>
      <c r="I441" s="183">
        <f t="shared" si="53"/>
        <v>0</v>
      </c>
      <c r="J441" s="183">
        <f t="shared" si="53"/>
        <v>0</v>
      </c>
      <c r="K441" s="183">
        <f t="shared" si="53"/>
        <v>0</v>
      </c>
      <c r="L441" s="183">
        <f t="shared" si="53"/>
        <v>0</v>
      </c>
      <c r="M441" s="183">
        <f t="shared" si="53"/>
        <v>0</v>
      </c>
      <c r="N441" s="183">
        <f t="shared" si="53"/>
        <v>0</v>
      </c>
      <c r="O441" s="183">
        <f t="shared" si="53"/>
        <v>0</v>
      </c>
      <c r="P441" s="183">
        <f t="shared" si="53"/>
        <v>0</v>
      </c>
      <c r="Q441" s="183">
        <f t="shared" si="53"/>
        <v>0</v>
      </c>
      <c r="R441" s="183">
        <f t="shared" si="52"/>
        <v>0</v>
      </c>
      <c r="S441" s="183"/>
      <c r="T441" s="183">
        <f>SUM(T361:T440)</f>
        <v>0</v>
      </c>
      <c r="U441" s="183">
        <f>SUM(U361:U440)</f>
        <v>0</v>
      </c>
      <c r="V441" s="183">
        <f>SUM(V361:V440)</f>
        <v>0</v>
      </c>
      <c r="W441" s="183">
        <f>SUM(W361:W440)</f>
        <v>0</v>
      </c>
      <c r="X441" s="488">
        <f>SUM(T441:W441)</f>
        <v>0</v>
      </c>
      <c r="Y441" s="385">
        <f>R441+X441</f>
        <v>0</v>
      </c>
      <c r="Z441" s="184">
        <f>SUM(Z361:Z440)</f>
        <v>0</v>
      </c>
      <c r="AA441" s="367"/>
    </row>
    <row r="442" spans="1:28" ht="27.75" hidden="1" customHeight="1" thickTop="1" thickBot="1" x14ac:dyDescent="0.25">
      <c r="A442" s="47"/>
      <c r="B442" s="604" t="s">
        <v>185</v>
      </c>
      <c r="C442" s="44" t="s">
        <v>152</v>
      </c>
      <c r="D442" s="571">
        <f t="shared" ref="D442:Q442" si="54">D360+D441</f>
        <v>154018</v>
      </c>
      <c r="E442" s="571">
        <f t="shared" si="54"/>
        <v>36396</v>
      </c>
      <c r="F442" s="571">
        <f t="shared" si="54"/>
        <v>4730285.9090000009</v>
      </c>
      <c r="G442" s="571">
        <f t="shared" si="54"/>
        <v>197440</v>
      </c>
      <c r="H442" s="571">
        <f t="shared" si="54"/>
        <v>150591.49600000001</v>
      </c>
      <c r="I442" s="571">
        <f t="shared" si="54"/>
        <v>52112</v>
      </c>
      <c r="J442" s="571">
        <f t="shared" si="54"/>
        <v>685330</v>
      </c>
      <c r="K442" s="571">
        <f t="shared" si="54"/>
        <v>2855229.594</v>
      </c>
      <c r="L442" s="571">
        <f t="shared" si="54"/>
        <v>3011496</v>
      </c>
      <c r="M442" s="571">
        <f t="shared" si="54"/>
        <v>37208</v>
      </c>
      <c r="N442" s="571">
        <f t="shared" si="54"/>
        <v>57843</v>
      </c>
      <c r="O442" s="571">
        <f t="shared" si="54"/>
        <v>10000</v>
      </c>
      <c r="P442" s="571">
        <f t="shared" si="54"/>
        <v>0</v>
      </c>
      <c r="Q442" s="571">
        <f t="shared" si="54"/>
        <v>563293</v>
      </c>
      <c r="R442" s="571">
        <f t="shared" si="52"/>
        <v>12541242.999000002</v>
      </c>
      <c r="S442" s="172"/>
      <c r="T442" s="571">
        <f>T360+T441</f>
        <v>0</v>
      </c>
      <c r="U442" s="571">
        <f>U360+U441</f>
        <v>3740000</v>
      </c>
      <c r="V442" s="571">
        <f>V360+V441</f>
        <v>66267.035000000003</v>
      </c>
      <c r="W442" s="571">
        <f>W360+W441</f>
        <v>0</v>
      </c>
      <c r="X442" s="572">
        <f>SUM(T442:W442)</f>
        <v>3806267.0350000001</v>
      </c>
      <c r="Y442" s="572">
        <f>R442+X442</f>
        <v>16347510.034000002</v>
      </c>
      <c r="Z442" s="573">
        <f>Z360+Z441</f>
        <v>6436382.5250000004</v>
      </c>
      <c r="AA442" s="367"/>
      <c r="AB442" s="85"/>
    </row>
    <row r="443" spans="1:28" ht="24.95" hidden="1" customHeight="1" thickTop="1" x14ac:dyDescent="0.2">
      <c r="A443" s="605"/>
      <c r="B443" s="534" t="s">
        <v>189</v>
      </c>
      <c r="C443" s="580" t="s">
        <v>18</v>
      </c>
      <c r="D443" s="581">
        <f t="shared" ref="D443:Q443" si="55">D442</f>
        <v>154018</v>
      </c>
      <c r="E443" s="581">
        <f t="shared" si="55"/>
        <v>36396</v>
      </c>
      <c r="F443" s="581">
        <f t="shared" si="55"/>
        <v>4730285.9090000009</v>
      </c>
      <c r="G443" s="581">
        <f t="shared" si="55"/>
        <v>197440</v>
      </c>
      <c r="H443" s="581">
        <f t="shared" si="55"/>
        <v>150591.49600000001</v>
      </c>
      <c r="I443" s="581">
        <f t="shared" si="55"/>
        <v>52112</v>
      </c>
      <c r="J443" s="581">
        <f t="shared" si="55"/>
        <v>685330</v>
      </c>
      <c r="K443" s="581">
        <f t="shared" si="55"/>
        <v>2855229.594</v>
      </c>
      <c r="L443" s="581">
        <f t="shared" si="55"/>
        <v>3011496</v>
      </c>
      <c r="M443" s="581">
        <f t="shared" si="55"/>
        <v>37208</v>
      </c>
      <c r="N443" s="581">
        <f t="shared" si="55"/>
        <v>57843</v>
      </c>
      <c r="O443" s="581">
        <f t="shared" si="55"/>
        <v>10000</v>
      </c>
      <c r="P443" s="581">
        <f t="shared" si="55"/>
        <v>0</v>
      </c>
      <c r="Q443" s="581">
        <f t="shared" si="55"/>
        <v>563293</v>
      </c>
      <c r="R443" s="581">
        <f t="shared" si="52"/>
        <v>12541242.999000002</v>
      </c>
      <c r="S443" s="581"/>
      <c r="T443" s="581">
        <f>T442</f>
        <v>0</v>
      </c>
      <c r="U443" s="581">
        <f>U442</f>
        <v>3740000</v>
      </c>
      <c r="V443" s="581">
        <f>V442</f>
        <v>66267.035000000003</v>
      </c>
      <c r="W443" s="581">
        <f>W442</f>
        <v>0</v>
      </c>
      <c r="X443" s="582">
        <f>SUM(T443:W443)</f>
        <v>3806267.0350000001</v>
      </c>
      <c r="Y443" s="583">
        <f>R443+X443</f>
        <v>16347510.034000002</v>
      </c>
      <c r="Z443" s="584">
        <f>Z442</f>
        <v>6436382.5250000004</v>
      </c>
    </row>
    <row r="444" spans="1:28" ht="20.100000000000001" hidden="1" customHeight="1" x14ac:dyDescent="0.2">
      <c r="A444" s="26">
        <v>1</v>
      </c>
      <c r="B444" s="74"/>
      <c r="C444" s="39"/>
      <c r="D444" s="170"/>
      <c r="E444" s="170"/>
      <c r="F444" s="170"/>
      <c r="G444" s="170"/>
      <c r="H444" s="170"/>
      <c r="I444" s="170"/>
      <c r="J444" s="170"/>
      <c r="K444" s="170"/>
      <c r="L444" s="170"/>
      <c r="M444" s="170"/>
      <c r="N444" s="170"/>
      <c r="O444" s="170"/>
      <c r="P444" s="170"/>
      <c r="Q444" s="170"/>
      <c r="R444" s="170">
        <f t="shared" ref="R444:R450" si="56">SUM(D444:Q444)</f>
        <v>0</v>
      </c>
      <c r="S444" s="170"/>
      <c r="T444" s="170"/>
      <c r="U444" s="170"/>
      <c r="V444" s="170"/>
      <c r="W444" s="170"/>
      <c r="X444" s="171">
        <f t="shared" ref="X444:X450" si="57">SUM(T444:W444)</f>
        <v>0</v>
      </c>
      <c r="Y444" s="243">
        <f t="shared" ref="Y444:Y450" si="58">R444+X444</f>
        <v>0</v>
      </c>
      <c r="Z444" s="399"/>
    </row>
    <row r="445" spans="1:28" ht="20.100000000000001" hidden="1" customHeight="1" x14ac:dyDescent="0.2">
      <c r="A445" s="26">
        <v>2</v>
      </c>
      <c r="B445" s="74"/>
      <c r="C445" s="39"/>
      <c r="D445" s="170"/>
      <c r="E445" s="170"/>
      <c r="F445" s="170"/>
      <c r="G445" s="170"/>
      <c r="H445" s="170"/>
      <c r="I445" s="170"/>
      <c r="J445" s="170"/>
      <c r="K445" s="170"/>
      <c r="L445" s="170"/>
      <c r="M445" s="170"/>
      <c r="N445" s="170"/>
      <c r="O445" s="170"/>
      <c r="P445" s="170"/>
      <c r="Q445" s="170"/>
      <c r="R445" s="170">
        <f t="shared" si="56"/>
        <v>0</v>
      </c>
      <c r="S445" s="170"/>
      <c r="T445" s="170"/>
      <c r="U445" s="170"/>
      <c r="V445" s="170"/>
      <c r="W445" s="170"/>
      <c r="X445" s="171">
        <f t="shared" si="57"/>
        <v>0</v>
      </c>
      <c r="Y445" s="243">
        <f t="shared" si="58"/>
        <v>0</v>
      </c>
      <c r="Z445" s="399"/>
    </row>
    <row r="446" spans="1:28" ht="20.100000000000001" hidden="1" customHeight="1" x14ac:dyDescent="0.2">
      <c r="A446" s="26">
        <v>3</v>
      </c>
      <c r="B446" s="74"/>
      <c r="C446" s="39"/>
      <c r="D446" s="170"/>
      <c r="E446" s="170"/>
      <c r="F446" s="170"/>
      <c r="G446" s="170"/>
      <c r="H446" s="170"/>
      <c r="I446" s="170"/>
      <c r="J446" s="170"/>
      <c r="K446" s="170"/>
      <c r="L446" s="170"/>
      <c r="M446" s="170"/>
      <c r="N446" s="170"/>
      <c r="O446" s="170"/>
      <c r="P446" s="170"/>
      <c r="Q446" s="170"/>
      <c r="R446" s="170">
        <f t="shared" si="56"/>
        <v>0</v>
      </c>
      <c r="S446" s="170"/>
      <c r="T446" s="170"/>
      <c r="U446" s="170"/>
      <c r="V446" s="170"/>
      <c r="W446" s="170"/>
      <c r="X446" s="171">
        <f t="shared" si="57"/>
        <v>0</v>
      </c>
      <c r="Y446" s="243">
        <f t="shared" si="58"/>
        <v>0</v>
      </c>
      <c r="Z446" s="399"/>
    </row>
    <row r="447" spans="1:28" ht="20.100000000000001" hidden="1" customHeight="1" x14ac:dyDescent="0.2">
      <c r="A447" s="26">
        <v>4</v>
      </c>
      <c r="B447" s="74"/>
      <c r="C447" s="39"/>
      <c r="D447" s="170"/>
      <c r="E447" s="170"/>
      <c r="F447" s="170"/>
      <c r="G447" s="170"/>
      <c r="H447" s="170"/>
      <c r="I447" s="170"/>
      <c r="J447" s="170"/>
      <c r="K447" s="170"/>
      <c r="L447" s="170"/>
      <c r="M447" s="170"/>
      <c r="N447" s="170"/>
      <c r="O447" s="170"/>
      <c r="P447" s="170"/>
      <c r="Q447" s="170"/>
      <c r="R447" s="170">
        <f t="shared" si="56"/>
        <v>0</v>
      </c>
      <c r="S447" s="170"/>
      <c r="T447" s="170"/>
      <c r="U447" s="170"/>
      <c r="V447" s="170"/>
      <c r="W447" s="170"/>
      <c r="X447" s="171">
        <f t="shared" si="57"/>
        <v>0</v>
      </c>
      <c r="Y447" s="243">
        <f t="shared" si="58"/>
        <v>0</v>
      </c>
      <c r="Z447" s="399"/>
    </row>
    <row r="448" spans="1:28" ht="20.100000000000001" hidden="1" customHeight="1" x14ac:dyDescent="0.2">
      <c r="A448" s="26">
        <v>5</v>
      </c>
      <c r="B448" s="74"/>
      <c r="C448" s="39"/>
      <c r="D448" s="170"/>
      <c r="E448" s="170"/>
      <c r="F448" s="170"/>
      <c r="G448" s="170"/>
      <c r="H448" s="170"/>
      <c r="I448" s="170"/>
      <c r="J448" s="170"/>
      <c r="K448" s="170"/>
      <c r="L448" s="170"/>
      <c r="M448" s="170"/>
      <c r="N448" s="170"/>
      <c r="O448" s="170"/>
      <c r="P448" s="170"/>
      <c r="Q448" s="170"/>
      <c r="R448" s="170">
        <f t="shared" si="56"/>
        <v>0</v>
      </c>
      <c r="S448" s="170"/>
      <c r="T448" s="170"/>
      <c r="U448" s="170"/>
      <c r="V448" s="170"/>
      <c r="W448" s="170"/>
      <c r="X448" s="171">
        <f t="shared" si="57"/>
        <v>0</v>
      </c>
      <c r="Y448" s="243">
        <f t="shared" si="58"/>
        <v>0</v>
      </c>
      <c r="Z448" s="399"/>
    </row>
    <row r="449" spans="1:26" ht="20.100000000000001" hidden="1" customHeight="1" x14ac:dyDescent="0.2">
      <c r="A449" s="26">
        <v>6</v>
      </c>
      <c r="B449" s="74"/>
      <c r="C449" s="39"/>
      <c r="D449" s="170"/>
      <c r="E449" s="170"/>
      <c r="F449" s="170"/>
      <c r="G449" s="170"/>
      <c r="H449" s="170"/>
      <c r="I449" s="170"/>
      <c r="J449" s="170"/>
      <c r="K449" s="170"/>
      <c r="L449" s="170"/>
      <c r="M449" s="170"/>
      <c r="N449" s="170"/>
      <c r="O449" s="170"/>
      <c r="P449" s="170"/>
      <c r="Q449" s="170"/>
      <c r="R449" s="170">
        <f t="shared" si="56"/>
        <v>0</v>
      </c>
      <c r="S449" s="170"/>
      <c r="T449" s="170"/>
      <c r="U449" s="170"/>
      <c r="V449" s="170"/>
      <c r="W449" s="170"/>
      <c r="X449" s="171">
        <f t="shared" si="57"/>
        <v>0</v>
      </c>
      <c r="Y449" s="243">
        <f t="shared" si="58"/>
        <v>0</v>
      </c>
      <c r="Z449" s="399"/>
    </row>
    <row r="450" spans="1:26" ht="20.100000000000001" hidden="1" customHeight="1" x14ac:dyDescent="0.2">
      <c r="A450" s="26">
        <v>7</v>
      </c>
      <c r="B450" s="74"/>
      <c r="C450" s="39"/>
      <c r="D450" s="170"/>
      <c r="E450" s="170"/>
      <c r="F450" s="170"/>
      <c r="G450" s="170"/>
      <c r="H450" s="170"/>
      <c r="I450" s="170"/>
      <c r="J450" s="170"/>
      <c r="K450" s="170"/>
      <c r="L450" s="170"/>
      <c r="M450" s="170"/>
      <c r="N450" s="170"/>
      <c r="O450" s="170"/>
      <c r="P450" s="170"/>
      <c r="Q450" s="170"/>
      <c r="R450" s="170">
        <f t="shared" si="56"/>
        <v>0</v>
      </c>
      <c r="S450" s="170"/>
      <c r="T450" s="170"/>
      <c r="U450" s="170"/>
      <c r="V450" s="170"/>
      <c r="W450" s="170"/>
      <c r="X450" s="171">
        <f t="shared" si="57"/>
        <v>0</v>
      </c>
      <c r="Y450" s="243">
        <f t="shared" si="58"/>
        <v>0</v>
      </c>
      <c r="Z450" s="399"/>
    </row>
    <row r="451" spans="1:26" ht="20.100000000000001" hidden="1" customHeight="1" x14ac:dyDescent="0.2">
      <c r="A451" s="26">
        <v>8</v>
      </c>
      <c r="B451" s="74"/>
      <c r="C451" s="39"/>
      <c r="D451" s="170"/>
      <c r="E451" s="170"/>
      <c r="F451" s="170"/>
      <c r="G451" s="170"/>
      <c r="H451" s="170"/>
      <c r="I451" s="170"/>
      <c r="J451" s="170"/>
      <c r="K451" s="170"/>
      <c r="L451" s="170"/>
      <c r="M451" s="170"/>
      <c r="N451" s="170"/>
      <c r="O451" s="170"/>
      <c r="P451" s="170"/>
      <c r="Q451" s="170"/>
      <c r="R451" s="170">
        <f t="shared" ref="R451:R498" si="59">SUM(D451:Q451)</f>
        <v>0</v>
      </c>
      <c r="S451" s="170"/>
      <c r="T451" s="170"/>
      <c r="U451" s="170"/>
      <c r="V451" s="170"/>
      <c r="W451" s="170"/>
      <c r="X451" s="171">
        <f t="shared" ref="X451:X498" si="60">SUM(T451:W451)</f>
        <v>0</v>
      </c>
      <c r="Y451" s="243">
        <f t="shared" ref="Y451:Y498" si="61">R451+X451</f>
        <v>0</v>
      </c>
      <c r="Z451" s="399"/>
    </row>
    <row r="452" spans="1:26" ht="20.100000000000001" hidden="1" customHeight="1" x14ac:dyDescent="0.2">
      <c r="A452" s="26">
        <v>9</v>
      </c>
      <c r="B452" s="74"/>
      <c r="C452" s="39"/>
      <c r="D452" s="170"/>
      <c r="E452" s="170"/>
      <c r="F452" s="170"/>
      <c r="G452" s="170"/>
      <c r="H452" s="170"/>
      <c r="I452" s="170"/>
      <c r="J452" s="170"/>
      <c r="K452" s="170"/>
      <c r="L452" s="170"/>
      <c r="M452" s="170"/>
      <c r="N452" s="170"/>
      <c r="O452" s="170"/>
      <c r="P452" s="170"/>
      <c r="Q452" s="170"/>
      <c r="R452" s="170">
        <f t="shared" si="59"/>
        <v>0</v>
      </c>
      <c r="S452" s="170"/>
      <c r="T452" s="170"/>
      <c r="U452" s="170"/>
      <c r="V452" s="170"/>
      <c r="W452" s="170"/>
      <c r="X452" s="171">
        <f t="shared" si="60"/>
        <v>0</v>
      </c>
      <c r="Y452" s="243">
        <f t="shared" si="61"/>
        <v>0</v>
      </c>
      <c r="Z452" s="399"/>
    </row>
    <row r="453" spans="1:26" ht="20.100000000000001" hidden="1" customHeight="1" x14ac:dyDescent="0.2">
      <c r="A453" s="26">
        <v>10</v>
      </c>
      <c r="B453" s="74"/>
      <c r="C453" s="39"/>
      <c r="D453" s="170"/>
      <c r="E453" s="170"/>
      <c r="F453" s="170"/>
      <c r="G453" s="170"/>
      <c r="H453" s="170"/>
      <c r="I453" s="170"/>
      <c r="J453" s="170"/>
      <c r="K453" s="170"/>
      <c r="L453" s="170"/>
      <c r="M453" s="170"/>
      <c r="N453" s="170"/>
      <c r="O453" s="170"/>
      <c r="P453" s="170"/>
      <c r="Q453" s="170"/>
      <c r="R453" s="170">
        <f t="shared" si="59"/>
        <v>0</v>
      </c>
      <c r="S453" s="170"/>
      <c r="T453" s="170"/>
      <c r="U453" s="170"/>
      <c r="V453" s="170"/>
      <c r="W453" s="170"/>
      <c r="X453" s="171">
        <f t="shared" si="60"/>
        <v>0</v>
      </c>
      <c r="Y453" s="243">
        <f t="shared" si="61"/>
        <v>0</v>
      </c>
      <c r="Z453" s="399"/>
    </row>
    <row r="454" spans="1:26" ht="20.100000000000001" hidden="1" customHeight="1" x14ac:dyDescent="0.2">
      <c r="A454" s="26">
        <v>11</v>
      </c>
      <c r="B454" s="74"/>
      <c r="C454" s="39"/>
      <c r="D454" s="170"/>
      <c r="E454" s="170"/>
      <c r="F454" s="170"/>
      <c r="G454" s="170"/>
      <c r="H454" s="170"/>
      <c r="I454" s="170"/>
      <c r="J454" s="170"/>
      <c r="K454" s="170"/>
      <c r="L454" s="170"/>
      <c r="M454" s="170"/>
      <c r="N454" s="170"/>
      <c r="O454" s="170"/>
      <c r="P454" s="170"/>
      <c r="Q454" s="170"/>
      <c r="R454" s="170">
        <f t="shared" si="59"/>
        <v>0</v>
      </c>
      <c r="S454" s="170"/>
      <c r="T454" s="170"/>
      <c r="U454" s="170"/>
      <c r="V454" s="170"/>
      <c r="W454" s="170"/>
      <c r="X454" s="171">
        <f t="shared" si="60"/>
        <v>0</v>
      </c>
      <c r="Y454" s="243">
        <f t="shared" si="61"/>
        <v>0</v>
      </c>
      <c r="Z454" s="399"/>
    </row>
    <row r="455" spans="1:26" ht="20.100000000000001" hidden="1" customHeight="1" x14ac:dyDescent="0.2">
      <c r="A455" s="26">
        <v>12</v>
      </c>
      <c r="B455" s="298"/>
      <c r="C455" s="39"/>
      <c r="D455" s="170"/>
      <c r="E455" s="170"/>
      <c r="F455" s="170"/>
      <c r="G455" s="170"/>
      <c r="H455" s="170"/>
      <c r="I455" s="170"/>
      <c r="J455" s="170"/>
      <c r="K455" s="170"/>
      <c r="L455" s="170"/>
      <c r="M455" s="170"/>
      <c r="N455" s="170"/>
      <c r="O455" s="170"/>
      <c r="P455" s="170"/>
      <c r="Q455" s="170"/>
      <c r="R455" s="170">
        <f t="shared" si="59"/>
        <v>0</v>
      </c>
      <c r="S455" s="170"/>
      <c r="T455" s="170"/>
      <c r="U455" s="170"/>
      <c r="V455" s="170"/>
      <c r="W455" s="170"/>
      <c r="X455" s="171">
        <f t="shared" si="60"/>
        <v>0</v>
      </c>
      <c r="Y455" s="243">
        <f t="shared" si="61"/>
        <v>0</v>
      </c>
      <c r="Z455" s="399"/>
    </row>
    <row r="456" spans="1:26" ht="20.100000000000001" hidden="1" customHeight="1" x14ac:dyDescent="0.2">
      <c r="A456" s="26">
        <v>13</v>
      </c>
      <c r="B456" s="74"/>
      <c r="C456" s="39"/>
      <c r="D456" s="170"/>
      <c r="E456" s="170"/>
      <c r="F456" s="170"/>
      <c r="G456" s="170"/>
      <c r="H456" s="170"/>
      <c r="I456" s="170"/>
      <c r="J456" s="170"/>
      <c r="K456" s="170"/>
      <c r="L456" s="170"/>
      <c r="M456" s="170"/>
      <c r="N456" s="170"/>
      <c r="O456" s="170"/>
      <c r="P456" s="170"/>
      <c r="Q456" s="170"/>
      <c r="R456" s="170">
        <f t="shared" si="59"/>
        <v>0</v>
      </c>
      <c r="S456" s="170"/>
      <c r="T456" s="170"/>
      <c r="U456" s="170"/>
      <c r="V456" s="170"/>
      <c r="W456" s="170"/>
      <c r="X456" s="171">
        <f t="shared" si="60"/>
        <v>0</v>
      </c>
      <c r="Y456" s="243">
        <f t="shared" si="61"/>
        <v>0</v>
      </c>
      <c r="Z456" s="399"/>
    </row>
    <row r="457" spans="1:26" ht="20.100000000000001" hidden="1" customHeight="1" x14ac:dyDescent="0.2">
      <c r="A457" s="26">
        <v>14</v>
      </c>
      <c r="B457" s="74"/>
      <c r="C457" s="39"/>
      <c r="D457" s="170"/>
      <c r="E457" s="170"/>
      <c r="F457" s="170"/>
      <c r="G457" s="170"/>
      <c r="H457" s="170"/>
      <c r="I457" s="170"/>
      <c r="J457" s="170"/>
      <c r="K457" s="170"/>
      <c r="L457" s="170"/>
      <c r="M457" s="170"/>
      <c r="N457" s="170"/>
      <c r="O457" s="170"/>
      <c r="P457" s="170"/>
      <c r="Q457" s="170"/>
      <c r="R457" s="170">
        <f t="shared" si="59"/>
        <v>0</v>
      </c>
      <c r="S457" s="170"/>
      <c r="T457" s="170"/>
      <c r="U457" s="170"/>
      <c r="V457" s="170"/>
      <c r="W457" s="170"/>
      <c r="X457" s="171">
        <f t="shared" si="60"/>
        <v>0</v>
      </c>
      <c r="Y457" s="243">
        <f t="shared" si="61"/>
        <v>0</v>
      </c>
      <c r="Z457" s="399"/>
    </row>
    <row r="458" spans="1:26" ht="20.100000000000001" hidden="1" customHeight="1" x14ac:dyDescent="0.2">
      <c r="A458" s="26">
        <v>15</v>
      </c>
      <c r="B458" s="74"/>
      <c r="C458" s="39"/>
      <c r="D458" s="170"/>
      <c r="E458" s="170"/>
      <c r="F458" s="170"/>
      <c r="G458" s="170"/>
      <c r="H458" s="170"/>
      <c r="I458" s="170"/>
      <c r="J458" s="170"/>
      <c r="K458" s="170"/>
      <c r="L458" s="170"/>
      <c r="M458" s="170"/>
      <c r="N458" s="170"/>
      <c r="O458" s="170"/>
      <c r="P458" s="170"/>
      <c r="Q458" s="170"/>
      <c r="R458" s="170">
        <f t="shared" si="59"/>
        <v>0</v>
      </c>
      <c r="S458" s="170"/>
      <c r="T458" s="170"/>
      <c r="U458" s="170"/>
      <c r="V458" s="170"/>
      <c r="W458" s="170"/>
      <c r="X458" s="171">
        <f t="shared" si="60"/>
        <v>0</v>
      </c>
      <c r="Y458" s="243">
        <f t="shared" si="61"/>
        <v>0</v>
      </c>
      <c r="Z458" s="399"/>
    </row>
    <row r="459" spans="1:26" ht="20.100000000000001" hidden="1" customHeight="1" x14ac:dyDescent="0.2">
      <c r="A459" s="26"/>
      <c r="B459" s="74"/>
      <c r="C459" s="39"/>
      <c r="D459" s="170"/>
      <c r="E459" s="170"/>
      <c r="F459" s="170"/>
      <c r="G459" s="170"/>
      <c r="H459" s="170"/>
      <c r="I459" s="170"/>
      <c r="J459" s="170"/>
      <c r="K459" s="170"/>
      <c r="L459" s="170"/>
      <c r="M459" s="170"/>
      <c r="N459" s="170"/>
      <c r="O459" s="170"/>
      <c r="P459" s="170"/>
      <c r="Q459" s="170"/>
      <c r="R459" s="170">
        <f t="shared" si="59"/>
        <v>0</v>
      </c>
      <c r="S459" s="170"/>
      <c r="T459" s="170"/>
      <c r="U459" s="170"/>
      <c r="V459" s="170"/>
      <c r="W459" s="170"/>
      <c r="X459" s="171">
        <f t="shared" si="60"/>
        <v>0</v>
      </c>
      <c r="Y459" s="243">
        <f t="shared" si="61"/>
        <v>0</v>
      </c>
      <c r="Z459" s="399"/>
    </row>
    <row r="460" spans="1:26" ht="20.100000000000001" hidden="1" customHeight="1" x14ac:dyDescent="0.2">
      <c r="A460" s="26">
        <v>16</v>
      </c>
      <c r="B460" s="298"/>
      <c r="C460" s="39"/>
      <c r="D460" s="170"/>
      <c r="E460" s="170"/>
      <c r="F460" s="170"/>
      <c r="G460" s="170"/>
      <c r="H460" s="170"/>
      <c r="I460" s="170"/>
      <c r="J460" s="170"/>
      <c r="K460" s="170"/>
      <c r="L460" s="170"/>
      <c r="M460" s="170"/>
      <c r="N460" s="170"/>
      <c r="O460" s="170"/>
      <c r="P460" s="170"/>
      <c r="Q460" s="170"/>
      <c r="R460" s="170">
        <f t="shared" si="59"/>
        <v>0</v>
      </c>
      <c r="S460" s="170"/>
      <c r="T460" s="170"/>
      <c r="U460" s="170"/>
      <c r="V460" s="170"/>
      <c r="W460" s="170"/>
      <c r="X460" s="171">
        <f t="shared" si="60"/>
        <v>0</v>
      </c>
      <c r="Y460" s="243">
        <f t="shared" si="61"/>
        <v>0</v>
      </c>
      <c r="Z460" s="399"/>
    </row>
    <row r="461" spans="1:26" ht="20.100000000000001" hidden="1" customHeight="1" x14ac:dyDescent="0.2">
      <c r="A461" s="26">
        <v>17</v>
      </c>
      <c r="B461" s="74"/>
      <c r="C461" s="39"/>
      <c r="D461" s="170"/>
      <c r="E461" s="170"/>
      <c r="F461" s="170"/>
      <c r="G461" s="170"/>
      <c r="H461" s="170"/>
      <c r="I461" s="170"/>
      <c r="J461" s="170"/>
      <c r="K461" s="170"/>
      <c r="L461" s="170"/>
      <c r="M461" s="170"/>
      <c r="N461" s="170"/>
      <c r="O461" s="170"/>
      <c r="P461" s="170"/>
      <c r="Q461" s="170"/>
      <c r="R461" s="170">
        <f t="shared" si="59"/>
        <v>0</v>
      </c>
      <c r="S461" s="170"/>
      <c r="T461" s="170"/>
      <c r="U461" s="170"/>
      <c r="V461" s="170"/>
      <c r="W461" s="170"/>
      <c r="X461" s="171">
        <f t="shared" si="60"/>
        <v>0</v>
      </c>
      <c r="Y461" s="243">
        <f t="shared" si="61"/>
        <v>0</v>
      </c>
      <c r="Z461" s="399"/>
    </row>
    <row r="462" spans="1:26" ht="20.100000000000001" hidden="1" customHeight="1" x14ac:dyDescent="0.2">
      <c r="A462" s="26">
        <v>18</v>
      </c>
      <c r="B462" s="74"/>
      <c r="C462" s="39"/>
      <c r="D462" s="170"/>
      <c r="E462" s="170"/>
      <c r="F462" s="170"/>
      <c r="G462" s="170"/>
      <c r="H462" s="170"/>
      <c r="I462" s="170"/>
      <c r="J462" s="170"/>
      <c r="K462" s="170"/>
      <c r="L462" s="170"/>
      <c r="M462" s="170"/>
      <c r="N462" s="170"/>
      <c r="O462" s="170"/>
      <c r="P462" s="170"/>
      <c r="Q462" s="170"/>
      <c r="R462" s="170">
        <f t="shared" si="59"/>
        <v>0</v>
      </c>
      <c r="S462" s="170"/>
      <c r="T462" s="170"/>
      <c r="U462" s="170"/>
      <c r="V462" s="170"/>
      <c r="W462" s="170"/>
      <c r="X462" s="171">
        <f t="shared" si="60"/>
        <v>0</v>
      </c>
      <c r="Y462" s="243">
        <f t="shared" si="61"/>
        <v>0</v>
      </c>
      <c r="Z462" s="399"/>
    </row>
    <row r="463" spans="1:26" ht="20.100000000000001" hidden="1" customHeight="1" x14ac:dyDescent="0.2">
      <c r="A463" s="26">
        <v>19</v>
      </c>
      <c r="B463" s="74"/>
      <c r="C463" s="39"/>
      <c r="D463" s="170"/>
      <c r="E463" s="170"/>
      <c r="F463" s="170"/>
      <c r="G463" s="170"/>
      <c r="H463" s="170"/>
      <c r="I463" s="170"/>
      <c r="J463" s="170"/>
      <c r="K463" s="170"/>
      <c r="L463" s="170"/>
      <c r="M463" s="170"/>
      <c r="N463" s="170"/>
      <c r="O463" s="170"/>
      <c r="P463" s="170"/>
      <c r="Q463" s="170"/>
      <c r="R463" s="170">
        <f t="shared" si="59"/>
        <v>0</v>
      </c>
      <c r="S463" s="170"/>
      <c r="T463" s="170"/>
      <c r="U463" s="170"/>
      <c r="V463" s="170"/>
      <c r="W463" s="170"/>
      <c r="X463" s="171">
        <f t="shared" si="60"/>
        <v>0</v>
      </c>
      <c r="Y463" s="243">
        <f t="shared" si="61"/>
        <v>0</v>
      </c>
      <c r="Z463" s="399"/>
    </row>
    <row r="464" spans="1:26" ht="20.100000000000001" hidden="1" customHeight="1" x14ac:dyDescent="0.2">
      <c r="A464" s="26">
        <v>20</v>
      </c>
      <c r="B464" s="74"/>
      <c r="C464" s="39"/>
      <c r="D464" s="170"/>
      <c r="E464" s="170"/>
      <c r="F464" s="170"/>
      <c r="G464" s="170"/>
      <c r="H464" s="170"/>
      <c r="I464" s="170"/>
      <c r="J464" s="170"/>
      <c r="K464" s="170"/>
      <c r="L464" s="170"/>
      <c r="M464" s="170"/>
      <c r="N464" s="170"/>
      <c r="O464" s="170"/>
      <c r="P464" s="170"/>
      <c r="Q464" s="170"/>
      <c r="R464" s="170">
        <f t="shared" si="59"/>
        <v>0</v>
      </c>
      <c r="S464" s="170"/>
      <c r="T464" s="170"/>
      <c r="U464" s="170"/>
      <c r="V464" s="170"/>
      <c r="W464" s="170"/>
      <c r="X464" s="171">
        <f t="shared" si="60"/>
        <v>0</v>
      </c>
      <c r="Y464" s="243">
        <f t="shared" si="61"/>
        <v>0</v>
      </c>
      <c r="Z464" s="399"/>
    </row>
    <row r="465" spans="1:26" ht="20.100000000000001" hidden="1" customHeight="1" x14ac:dyDescent="0.2">
      <c r="A465" s="26">
        <v>21</v>
      </c>
      <c r="B465" s="74"/>
      <c r="C465" s="39"/>
      <c r="D465" s="170"/>
      <c r="E465" s="170"/>
      <c r="F465" s="170"/>
      <c r="G465" s="170"/>
      <c r="H465" s="170"/>
      <c r="I465" s="170"/>
      <c r="J465" s="170"/>
      <c r="K465" s="170"/>
      <c r="L465" s="170"/>
      <c r="M465" s="170"/>
      <c r="N465" s="170"/>
      <c r="P465" s="170"/>
      <c r="Q465" s="170"/>
      <c r="R465" s="170">
        <f>SUM(D465:Q465)</f>
        <v>0</v>
      </c>
      <c r="S465" s="170"/>
      <c r="T465" s="170"/>
      <c r="U465" s="170"/>
      <c r="V465" s="170"/>
      <c r="W465" s="170"/>
      <c r="X465" s="171">
        <f t="shared" si="60"/>
        <v>0</v>
      </c>
      <c r="Y465" s="243">
        <f t="shared" si="61"/>
        <v>0</v>
      </c>
      <c r="Z465" s="399"/>
    </row>
    <row r="466" spans="1:26" ht="20.100000000000001" hidden="1" customHeight="1" x14ac:dyDescent="0.2">
      <c r="A466" s="26">
        <v>22</v>
      </c>
      <c r="B466" s="298"/>
      <c r="C466" s="39"/>
      <c r="D466" s="170"/>
      <c r="E466" s="170"/>
      <c r="F466" s="170"/>
      <c r="G466" s="170"/>
      <c r="H466" s="170"/>
      <c r="I466" s="170"/>
      <c r="J466" s="170"/>
      <c r="K466" s="170"/>
      <c r="L466" s="170"/>
      <c r="M466" s="170"/>
      <c r="N466" s="170"/>
      <c r="O466" s="170"/>
      <c r="P466" s="170"/>
      <c r="Q466" s="170"/>
      <c r="R466" s="170">
        <f t="shared" si="59"/>
        <v>0</v>
      </c>
      <c r="S466" s="170"/>
      <c r="T466" s="170"/>
      <c r="U466" s="170"/>
      <c r="V466" s="170"/>
      <c r="W466" s="170"/>
      <c r="X466" s="171">
        <f t="shared" si="60"/>
        <v>0</v>
      </c>
      <c r="Y466" s="243">
        <f t="shared" si="61"/>
        <v>0</v>
      </c>
      <c r="Z466" s="399"/>
    </row>
    <row r="467" spans="1:26" ht="20.100000000000001" hidden="1" customHeight="1" x14ac:dyDescent="0.2">
      <c r="A467" s="26">
        <v>23</v>
      </c>
      <c r="B467" s="298"/>
      <c r="C467" s="39"/>
      <c r="D467" s="170"/>
      <c r="E467" s="170"/>
      <c r="F467" s="170"/>
      <c r="G467" s="170"/>
      <c r="H467" s="170"/>
      <c r="I467" s="170"/>
      <c r="J467" s="170"/>
      <c r="K467" s="170"/>
      <c r="L467" s="170"/>
      <c r="M467" s="170"/>
      <c r="N467" s="170"/>
      <c r="O467" s="170"/>
      <c r="P467" s="170"/>
      <c r="Q467" s="170"/>
      <c r="R467" s="170">
        <f t="shared" si="59"/>
        <v>0</v>
      </c>
      <c r="S467" s="170"/>
      <c r="T467" s="170"/>
      <c r="U467" s="170"/>
      <c r="V467" s="170"/>
      <c r="W467" s="170"/>
      <c r="X467" s="171">
        <f t="shared" si="60"/>
        <v>0</v>
      </c>
      <c r="Y467" s="243">
        <f t="shared" si="61"/>
        <v>0</v>
      </c>
      <c r="Z467" s="399"/>
    </row>
    <row r="468" spans="1:26" ht="20.100000000000001" hidden="1" customHeight="1" x14ac:dyDescent="0.2">
      <c r="A468" s="26">
        <v>24</v>
      </c>
      <c r="B468" s="74"/>
      <c r="C468" s="39"/>
      <c r="D468" s="170"/>
      <c r="E468" s="170"/>
      <c r="F468" s="170"/>
      <c r="G468" s="170"/>
      <c r="H468" s="170"/>
      <c r="I468" s="170"/>
      <c r="J468" s="170"/>
      <c r="K468" s="170"/>
      <c r="L468" s="170"/>
      <c r="M468" s="170"/>
      <c r="N468" s="170"/>
      <c r="O468" s="170"/>
      <c r="P468" s="170"/>
      <c r="Q468" s="170"/>
      <c r="R468" s="170">
        <f t="shared" si="59"/>
        <v>0</v>
      </c>
      <c r="S468" s="170"/>
      <c r="T468" s="170"/>
      <c r="U468" s="170"/>
      <c r="V468" s="170"/>
      <c r="W468" s="170"/>
      <c r="X468" s="171">
        <f t="shared" si="60"/>
        <v>0</v>
      </c>
      <c r="Y468" s="243">
        <f t="shared" si="61"/>
        <v>0</v>
      </c>
      <c r="Z468" s="399"/>
    </row>
    <row r="469" spans="1:26" ht="20.100000000000001" hidden="1" customHeight="1" x14ac:dyDescent="0.2">
      <c r="A469" s="26">
        <v>25</v>
      </c>
      <c r="B469" s="74"/>
      <c r="C469" s="39"/>
      <c r="D469" s="170"/>
      <c r="E469" s="170"/>
      <c r="F469" s="170"/>
      <c r="G469" s="170"/>
      <c r="H469" s="170"/>
      <c r="I469" s="170"/>
      <c r="J469" s="170"/>
      <c r="K469" s="170"/>
      <c r="L469" s="170"/>
      <c r="M469" s="170"/>
      <c r="N469" s="170"/>
      <c r="O469" s="170"/>
      <c r="P469" s="170"/>
      <c r="Q469" s="170"/>
      <c r="R469" s="170">
        <f t="shared" si="59"/>
        <v>0</v>
      </c>
      <c r="S469" s="170"/>
      <c r="T469" s="170"/>
      <c r="U469" s="170"/>
      <c r="V469" s="170"/>
      <c r="W469" s="170"/>
      <c r="X469" s="171">
        <f t="shared" si="60"/>
        <v>0</v>
      </c>
      <c r="Y469" s="243">
        <f t="shared" si="61"/>
        <v>0</v>
      </c>
      <c r="Z469" s="399"/>
    </row>
    <row r="470" spans="1:26" ht="20.100000000000001" hidden="1" customHeight="1" x14ac:dyDescent="0.2">
      <c r="A470" s="26">
        <v>26</v>
      </c>
      <c r="B470" s="74"/>
      <c r="C470" s="39"/>
      <c r="D470" s="170"/>
      <c r="E470" s="170"/>
      <c r="F470" s="170"/>
      <c r="G470" s="170"/>
      <c r="H470" s="170"/>
      <c r="I470" s="170"/>
      <c r="J470" s="170"/>
      <c r="K470" s="170"/>
      <c r="L470" s="170"/>
      <c r="M470" s="170"/>
      <c r="N470" s="170"/>
      <c r="O470" s="170"/>
      <c r="P470" s="170"/>
      <c r="Q470" s="170"/>
      <c r="R470" s="170">
        <f t="shared" si="59"/>
        <v>0</v>
      </c>
      <c r="S470" s="170"/>
      <c r="T470" s="170"/>
      <c r="U470" s="170"/>
      <c r="V470" s="170"/>
      <c r="W470" s="170"/>
      <c r="X470" s="171">
        <f t="shared" si="60"/>
        <v>0</v>
      </c>
      <c r="Y470" s="243">
        <f t="shared" si="61"/>
        <v>0</v>
      </c>
      <c r="Z470" s="399"/>
    </row>
    <row r="471" spans="1:26" ht="20.100000000000001" hidden="1" customHeight="1" x14ac:dyDescent="0.2">
      <c r="A471" s="26">
        <v>27</v>
      </c>
      <c r="B471" s="74"/>
      <c r="C471" s="39"/>
      <c r="D471" s="170"/>
      <c r="E471" s="170"/>
      <c r="F471" s="170"/>
      <c r="G471" s="170"/>
      <c r="H471" s="170"/>
      <c r="I471" s="170"/>
      <c r="J471" s="170"/>
      <c r="K471" s="170"/>
      <c r="L471" s="170"/>
      <c r="M471" s="170"/>
      <c r="N471" s="170"/>
      <c r="O471" s="170"/>
      <c r="P471" s="170"/>
      <c r="Q471" s="170"/>
      <c r="R471" s="170">
        <f t="shared" si="59"/>
        <v>0</v>
      </c>
      <c r="S471" s="170"/>
      <c r="T471" s="170"/>
      <c r="U471" s="170"/>
      <c r="V471" s="170"/>
      <c r="W471" s="170"/>
      <c r="X471" s="171">
        <f t="shared" si="60"/>
        <v>0</v>
      </c>
      <c r="Y471" s="243">
        <f t="shared" si="61"/>
        <v>0</v>
      </c>
      <c r="Z471" s="399"/>
    </row>
    <row r="472" spans="1:26" ht="20.100000000000001" hidden="1" customHeight="1" x14ac:dyDescent="0.2">
      <c r="A472" s="26">
        <v>28</v>
      </c>
      <c r="B472" s="298"/>
      <c r="C472" s="39"/>
      <c r="D472" s="170"/>
      <c r="E472" s="170"/>
      <c r="F472" s="170"/>
      <c r="G472" s="170"/>
      <c r="H472" s="170"/>
      <c r="I472" s="170"/>
      <c r="J472" s="170"/>
      <c r="K472" s="170"/>
      <c r="L472" s="170"/>
      <c r="M472" s="170"/>
      <c r="N472" s="170"/>
      <c r="O472" s="170"/>
      <c r="P472" s="170"/>
      <c r="Q472" s="170"/>
      <c r="R472" s="170">
        <f t="shared" si="59"/>
        <v>0</v>
      </c>
      <c r="S472" s="170"/>
      <c r="T472" s="170"/>
      <c r="U472" s="170"/>
      <c r="V472" s="170"/>
      <c r="W472" s="170"/>
      <c r="X472" s="171">
        <f t="shared" si="60"/>
        <v>0</v>
      </c>
      <c r="Y472" s="243">
        <f t="shared" si="61"/>
        <v>0</v>
      </c>
      <c r="Z472" s="399"/>
    </row>
    <row r="473" spans="1:26" ht="20.100000000000001" hidden="1" customHeight="1" x14ac:dyDescent="0.2">
      <c r="A473" s="26">
        <v>29</v>
      </c>
      <c r="B473" s="74"/>
      <c r="C473" s="39"/>
      <c r="D473" s="170"/>
      <c r="E473" s="170"/>
      <c r="F473" s="170"/>
      <c r="G473" s="170"/>
      <c r="H473" s="170"/>
      <c r="I473" s="170"/>
      <c r="J473" s="170"/>
      <c r="K473" s="170"/>
      <c r="L473" s="170"/>
      <c r="M473" s="170"/>
      <c r="N473" s="170"/>
      <c r="O473" s="170"/>
      <c r="P473" s="170"/>
      <c r="Q473" s="170"/>
      <c r="R473" s="170">
        <f t="shared" si="59"/>
        <v>0</v>
      </c>
      <c r="S473" s="170"/>
      <c r="T473" s="170"/>
      <c r="U473" s="170"/>
      <c r="V473" s="170"/>
      <c r="W473" s="170"/>
      <c r="X473" s="171">
        <f t="shared" si="60"/>
        <v>0</v>
      </c>
      <c r="Y473" s="243">
        <f t="shared" si="61"/>
        <v>0</v>
      </c>
      <c r="Z473" s="399"/>
    </row>
    <row r="474" spans="1:26" ht="20.100000000000001" hidden="1" customHeight="1" x14ac:dyDescent="0.2">
      <c r="A474" s="26">
        <v>30</v>
      </c>
      <c r="B474" s="298"/>
      <c r="C474" s="39"/>
      <c r="D474" s="170"/>
      <c r="E474" s="170"/>
      <c r="F474" s="170"/>
      <c r="G474" s="170"/>
      <c r="H474" s="170"/>
      <c r="I474" s="170"/>
      <c r="J474" s="170"/>
      <c r="K474" s="170"/>
      <c r="L474" s="170"/>
      <c r="M474" s="170"/>
      <c r="N474" s="170"/>
      <c r="O474" s="170"/>
      <c r="P474" s="170"/>
      <c r="Q474" s="170"/>
      <c r="R474" s="170">
        <f t="shared" si="59"/>
        <v>0</v>
      </c>
      <c r="S474" s="170"/>
      <c r="T474" s="170"/>
      <c r="U474" s="170"/>
      <c r="V474" s="170"/>
      <c r="W474" s="170"/>
      <c r="X474" s="171">
        <f t="shared" si="60"/>
        <v>0</v>
      </c>
      <c r="Y474" s="243">
        <f t="shared" si="61"/>
        <v>0</v>
      </c>
      <c r="Z474" s="399"/>
    </row>
    <row r="475" spans="1:26" ht="20.100000000000001" hidden="1" customHeight="1" x14ac:dyDescent="0.2">
      <c r="A475" s="26">
        <v>31</v>
      </c>
      <c r="B475" s="74"/>
      <c r="C475" s="39"/>
      <c r="D475" s="170"/>
      <c r="E475" s="170"/>
      <c r="F475" s="170"/>
      <c r="G475" s="170"/>
      <c r="H475" s="170"/>
      <c r="I475" s="170"/>
      <c r="J475" s="170"/>
      <c r="K475" s="170"/>
      <c r="L475" s="170"/>
      <c r="M475" s="170"/>
      <c r="N475" s="170"/>
      <c r="O475" s="170"/>
      <c r="P475" s="170"/>
      <c r="Q475" s="170"/>
      <c r="R475" s="170">
        <f t="shared" si="59"/>
        <v>0</v>
      </c>
      <c r="S475" s="170"/>
      <c r="T475" s="170"/>
      <c r="U475" s="170"/>
      <c r="V475" s="170"/>
      <c r="W475" s="170"/>
      <c r="X475" s="171">
        <f t="shared" si="60"/>
        <v>0</v>
      </c>
      <c r="Y475" s="243">
        <f t="shared" si="61"/>
        <v>0</v>
      </c>
      <c r="Z475" s="399"/>
    </row>
    <row r="476" spans="1:26" ht="20.100000000000001" hidden="1" customHeight="1" x14ac:dyDescent="0.2">
      <c r="A476" s="26">
        <v>32</v>
      </c>
      <c r="B476" s="74"/>
      <c r="C476" s="39"/>
      <c r="D476" s="170"/>
      <c r="E476" s="170"/>
      <c r="F476" s="170"/>
      <c r="G476" s="170"/>
      <c r="H476" s="170"/>
      <c r="I476" s="170"/>
      <c r="J476" s="170"/>
      <c r="K476" s="170"/>
      <c r="L476" s="170"/>
      <c r="M476" s="170"/>
      <c r="N476" s="170"/>
      <c r="O476" s="170"/>
      <c r="P476" s="170"/>
      <c r="Q476" s="170"/>
      <c r="R476" s="170">
        <f t="shared" si="59"/>
        <v>0</v>
      </c>
      <c r="S476" s="170"/>
      <c r="T476" s="170"/>
      <c r="U476" s="170"/>
      <c r="V476" s="170"/>
      <c r="W476" s="170"/>
      <c r="X476" s="171">
        <f t="shared" si="60"/>
        <v>0</v>
      </c>
      <c r="Y476" s="243">
        <f t="shared" si="61"/>
        <v>0</v>
      </c>
      <c r="Z476" s="399"/>
    </row>
    <row r="477" spans="1:26" ht="20.100000000000001" hidden="1" customHeight="1" x14ac:dyDescent="0.2">
      <c r="A477" s="26">
        <v>33</v>
      </c>
      <c r="B477" s="298"/>
      <c r="C477" s="39"/>
      <c r="D477" s="170"/>
      <c r="E477" s="170"/>
      <c r="F477" s="170"/>
      <c r="G477" s="170"/>
      <c r="H477" s="170"/>
      <c r="I477" s="170"/>
      <c r="J477" s="170"/>
      <c r="K477" s="170"/>
      <c r="L477" s="170"/>
      <c r="M477" s="170"/>
      <c r="N477" s="170"/>
      <c r="O477" s="170"/>
      <c r="P477" s="170"/>
      <c r="Q477" s="170"/>
      <c r="R477" s="170">
        <f t="shared" si="59"/>
        <v>0</v>
      </c>
      <c r="S477" s="170"/>
      <c r="T477" s="170"/>
      <c r="U477" s="170"/>
      <c r="V477" s="170"/>
      <c r="W477" s="170"/>
      <c r="X477" s="171">
        <f t="shared" si="60"/>
        <v>0</v>
      </c>
      <c r="Y477" s="243">
        <f t="shared" si="61"/>
        <v>0</v>
      </c>
      <c r="Z477" s="399"/>
    </row>
    <row r="478" spans="1:26" ht="20.100000000000001" hidden="1" customHeight="1" x14ac:dyDescent="0.2">
      <c r="A478" s="26">
        <v>34</v>
      </c>
      <c r="B478" s="74"/>
      <c r="C478" s="39"/>
      <c r="D478" s="170"/>
      <c r="E478" s="170"/>
      <c r="F478" s="170"/>
      <c r="G478" s="170"/>
      <c r="H478" s="170"/>
      <c r="I478" s="170"/>
      <c r="J478" s="170"/>
      <c r="K478" s="170"/>
      <c r="L478" s="170"/>
      <c r="M478" s="170"/>
      <c r="N478" s="170"/>
      <c r="O478" s="170"/>
      <c r="P478" s="170"/>
      <c r="Q478" s="170"/>
      <c r="R478" s="170">
        <f t="shared" si="59"/>
        <v>0</v>
      </c>
      <c r="S478" s="170"/>
      <c r="T478" s="170"/>
      <c r="U478" s="170"/>
      <c r="V478" s="170"/>
      <c r="W478" s="170"/>
      <c r="X478" s="171">
        <f t="shared" si="60"/>
        <v>0</v>
      </c>
      <c r="Y478" s="243">
        <f t="shared" si="61"/>
        <v>0</v>
      </c>
      <c r="Z478" s="399"/>
    </row>
    <row r="479" spans="1:26" ht="20.100000000000001" hidden="1" customHeight="1" x14ac:dyDescent="0.2">
      <c r="A479" s="26">
        <v>35</v>
      </c>
      <c r="B479" s="74"/>
      <c r="C479" s="39"/>
      <c r="D479" s="170"/>
      <c r="E479" s="170"/>
      <c r="F479" s="170"/>
      <c r="G479" s="170"/>
      <c r="H479" s="170"/>
      <c r="I479" s="170"/>
      <c r="J479" s="170"/>
      <c r="K479" s="170"/>
      <c r="L479" s="170"/>
      <c r="M479" s="170"/>
      <c r="N479" s="170"/>
      <c r="O479" s="170"/>
      <c r="P479" s="170"/>
      <c r="Q479" s="170"/>
      <c r="R479" s="170">
        <f t="shared" si="59"/>
        <v>0</v>
      </c>
      <c r="S479" s="170"/>
      <c r="T479" s="170"/>
      <c r="U479" s="170"/>
      <c r="V479" s="170"/>
      <c r="W479" s="170"/>
      <c r="X479" s="171">
        <f t="shared" si="60"/>
        <v>0</v>
      </c>
      <c r="Y479" s="243">
        <f t="shared" si="61"/>
        <v>0</v>
      </c>
      <c r="Z479" s="399"/>
    </row>
    <row r="480" spans="1:26" ht="20.100000000000001" hidden="1" customHeight="1" x14ac:dyDescent="0.2">
      <c r="A480" s="26">
        <v>36</v>
      </c>
      <c r="B480" s="74"/>
      <c r="C480" s="39"/>
      <c r="D480" s="170"/>
      <c r="E480" s="170"/>
      <c r="F480" s="170"/>
      <c r="G480" s="170"/>
      <c r="H480" s="170"/>
      <c r="I480" s="170"/>
      <c r="J480" s="170"/>
      <c r="K480" s="170"/>
      <c r="L480" s="170"/>
      <c r="M480" s="170"/>
      <c r="N480" s="170"/>
      <c r="O480" s="170"/>
      <c r="P480" s="170"/>
      <c r="Q480" s="170"/>
      <c r="R480" s="170">
        <f t="shared" si="59"/>
        <v>0</v>
      </c>
      <c r="S480" s="170"/>
      <c r="T480" s="170"/>
      <c r="U480" s="170"/>
      <c r="V480" s="170"/>
      <c r="W480" s="170"/>
      <c r="X480" s="171">
        <f t="shared" si="60"/>
        <v>0</v>
      </c>
      <c r="Y480" s="243">
        <f t="shared" si="61"/>
        <v>0</v>
      </c>
      <c r="Z480" s="399"/>
    </row>
    <row r="481" spans="1:26" ht="20.100000000000001" hidden="1" customHeight="1" x14ac:dyDescent="0.2">
      <c r="A481" s="26">
        <v>37</v>
      </c>
      <c r="B481" s="298"/>
      <c r="C481" s="39"/>
      <c r="D481" s="170"/>
      <c r="E481" s="170"/>
      <c r="F481" s="170"/>
      <c r="G481" s="170"/>
      <c r="H481" s="170"/>
      <c r="I481" s="170"/>
      <c r="J481" s="170"/>
      <c r="K481" s="170"/>
      <c r="L481" s="170"/>
      <c r="M481" s="170"/>
      <c r="N481" s="170"/>
      <c r="O481" s="170"/>
      <c r="P481" s="170"/>
      <c r="Q481" s="170"/>
      <c r="R481" s="170">
        <f t="shared" si="59"/>
        <v>0</v>
      </c>
      <c r="S481" s="170"/>
      <c r="T481" s="170"/>
      <c r="U481" s="170"/>
      <c r="V481" s="170"/>
      <c r="W481" s="170"/>
      <c r="X481" s="171">
        <f t="shared" si="60"/>
        <v>0</v>
      </c>
      <c r="Y481" s="243">
        <f t="shared" si="61"/>
        <v>0</v>
      </c>
      <c r="Z481" s="399"/>
    </row>
    <row r="482" spans="1:26" ht="20.100000000000001" hidden="1" customHeight="1" x14ac:dyDescent="0.2">
      <c r="A482" s="26">
        <v>38</v>
      </c>
      <c r="B482" s="74"/>
      <c r="C482" s="39"/>
      <c r="D482" s="170"/>
      <c r="E482" s="170"/>
      <c r="F482" s="170"/>
      <c r="G482" s="170"/>
      <c r="H482" s="170"/>
      <c r="I482" s="170"/>
      <c r="J482" s="170"/>
      <c r="K482" s="170"/>
      <c r="L482" s="170"/>
      <c r="M482" s="170"/>
      <c r="N482" s="170"/>
      <c r="O482" s="170"/>
      <c r="P482" s="170"/>
      <c r="Q482" s="170"/>
      <c r="R482" s="170">
        <f t="shared" si="59"/>
        <v>0</v>
      </c>
      <c r="S482" s="170"/>
      <c r="T482" s="170"/>
      <c r="U482" s="170"/>
      <c r="V482" s="170"/>
      <c r="W482" s="170"/>
      <c r="X482" s="171">
        <f t="shared" si="60"/>
        <v>0</v>
      </c>
      <c r="Y482" s="243">
        <f t="shared" si="61"/>
        <v>0</v>
      </c>
      <c r="Z482" s="399"/>
    </row>
    <row r="483" spans="1:26" ht="20.100000000000001" hidden="1" customHeight="1" x14ac:dyDescent="0.2">
      <c r="A483" s="26">
        <v>39</v>
      </c>
      <c r="B483" s="74"/>
      <c r="C483" s="39"/>
      <c r="D483" s="170"/>
      <c r="E483" s="170"/>
      <c r="F483" s="170"/>
      <c r="G483" s="170"/>
      <c r="H483" s="170"/>
      <c r="I483" s="170"/>
      <c r="J483" s="170"/>
      <c r="K483" s="170"/>
      <c r="L483" s="170"/>
      <c r="M483" s="170"/>
      <c r="N483" s="170"/>
      <c r="O483" s="170"/>
      <c r="P483" s="170"/>
      <c r="Q483" s="170"/>
      <c r="R483" s="170">
        <f t="shared" si="59"/>
        <v>0</v>
      </c>
      <c r="S483" s="170"/>
      <c r="T483" s="170"/>
      <c r="U483" s="170"/>
      <c r="V483" s="170"/>
      <c r="W483" s="170"/>
      <c r="X483" s="171">
        <f t="shared" si="60"/>
        <v>0</v>
      </c>
      <c r="Y483" s="243">
        <f t="shared" si="61"/>
        <v>0</v>
      </c>
      <c r="Z483" s="399"/>
    </row>
    <row r="484" spans="1:26" ht="20.100000000000001" hidden="1" customHeight="1" x14ac:dyDescent="0.2">
      <c r="A484" s="26">
        <v>40</v>
      </c>
      <c r="B484" s="74"/>
      <c r="C484" s="39"/>
      <c r="D484" s="170"/>
      <c r="E484" s="170"/>
      <c r="F484" s="170"/>
      <c r="G484" s="170"/>
      <c r="H484" s="170"/>
      <c r="I484" s="170"/>
      <c r="J484" s="170"/>
      <c r="K484" s="170"/>
      <c r="L484" s="170"/>
      <c r="M484" s="170"/>
      <c r="N484" s="170"/>
      <c r="O484" s="170"/>
      <c r="P484" s="170"/>
      <c r="Q484" s="170"/>
      <c r="R484" s="170">
        <f t="shared" si="59"/>
        <v>0</v>
      </c>
      <c r="S484" s="170"/>
      <c r="T484" s="170"/>
      <c r="U484" s="170"/>
      <c r="V484" s="170"/>
      <c r="W484" s="170"/>
      <c r="X484" s="171">
        <f t="shared" si="60"/>
        <v>0</v>
      </c>
      <c r="Y484" s="243">
        <f t="shared" si="61"/>
        <v>0</v>
      </c>
      <c r="Z484" s="399"/>
    </row>
    <row r="485" spans="1:26" ht="20.100000000000001" hidden="1" customHeight="1" x14ac:dyDescent="0.2">
      <c r="A485" s="26">
        <v>41</v>
      </c>
      <c r="B485" s="298"/>
      <c r="C485" s="39"/>
      <c r="D485" s="170"/>
      <c r="E485" s="170"/>
      <c r="F485" s="170"/>
      <c r="G485" s="170"/>
      <c r="H485" s="170"/>
      <c r="I485" s="170"/>
      <c r="J485" s="170"/>
      <c r="K485" s="170"/>
      <c r="L485" s="170"/>
      <c r="M485" s="170"/>
      <c r="N485" s="170"/>
      <c r="O485" s="170"/>
      <c r="P485" s="170"/>
      <c r="Q485" s="170"/>
      <c r="R485" s="170">
        <f t="shared" si="59"/>
        <v>0</v>
      </c>
      <c r="S485" s="170"/>
      <c r="T485" s="170"/>
      <c r="U485" s="170"/>
      <c r="V485" s="170"/>
      <c r="W485" s="170"/>
      <c r="X485" s="171">
        <f t="shared" si="60"/>
        <v>0</v>
      </c>
      <c r="Y485" s="243">
        <f t="shared" si="61"/>
        <v>0</v>
      </c>
      <c r="Z485" s="399"/>
    </row>
    <row r="486" spans="1:26" ht="20.100000000000001" hidden="1" customHeight="1" x14ac:dyDescent="0.2">
      <c r="A486" s="26">
        <v>42</v>
      </c>
      <c r="B486" s="74"/>
      <c r="C486" s="39"/>
      <c r="D486" s="170"/>
      <c r="E486" s="170"/>
      <c r="F486" s="170"/>
      <c r="G486" s="170"/>
      <c r="H486" s="170"/>
      <c r="I486" s="170"/>
      <c r="J486" s="170"/>
      <c r="K486" s="170"/>
      <c r="L486" s="170"/>
      <c r="M486" s="170"/>
      <c r="N486" s="170"/>
      <c r="O486" s="170"/>
      <c r="P486" s="170"/>
      <c r="Q486" s="170"/>
      <c r="R486" s="170">
        <f t="shared" si="59"/>
        <v>0</v>
      </c>
      <c r="S486" s="170"/>
      <c r="T486" s="170"/>
      <c r="U486" s="170"/>
      <c r="V486" s="170"/>
      <c r="W486" s="170"/>
      <c r="X486" s="171">
        <f t="shared" si="60"/>
        <v>0</v>
      </c>
      <c r="Y486" s="243">
        <f t="shared" si="61"/>
        <v>0</v>
      </c>
      <c r="Z486" s="399"/>
    </row>
    <row r="487" spans="1:26" ht="20.100000000000001" hidden="1" customHeight="1" x14ac:dyDescent="0.2">
      <c r="A487" s="26">
        <v>43</v>
      </c>
      <c r="B487" s="298"/>
      <c r="C487" s="39"/>
      <c r="D487" s="170"/>
      <c r="E487" s="170"/>
      <c r="F487" s="170"/>
      <c r="G487" s="170"/>
      <c r="H487" s="170"/>
      <c r="I487" s="170"/>
      <c r="J487" s="170"/>
      <c r="K487" s="170"/>
      <c r="L487" s="170"/>
      <c r="M487" s="170"/>
      <c r="N487" s="170"/>
      <c r="O487" s="170"/>
      <c r="P487" s="170"/>
      <c r="Q487" s="170"/>
      <c r="R487" s="170">
        <f t="shared" si="59"/>
        <v>0</v>
      </c>
      <c r="S487" s="170"/>
      <c r="T487" s="170"/>
      <c r="U487" s="170"/>
      <c r="V487" s="170"/>
      <c r="W487" s="170"/>
      <c r="X487" s="171">
        <f t="shared" si="60"/>
        <v>0</v>
      </c>
      <c r="Y487" s="243">
        <f t="shared" si="61"/>
        <v>0</v>
      </c>
      <c r="Z487" s="399"/>
    </row>
    <row r="488" spans="1:26" ht="20.100000000000001" hidden="1" customHeight="1" x14ac:dyDescent="0.2">
      <c r="A488" s="26">
        <v>44</v>
      </c>
      <c r="B488" s="74"/>
      <c r="C488" s="39"/>
      <c r="D488" s="170"/>
      <c r="E488" s="170"/>
      <c r="F488" s="170"/>
      <c r="G488" s="170"/>
      <c r="H488" s="170"/>
      <c r="I488" s="170"/>
      <c r="J488" s="170"/>
      <c r="K488" s="170"/>
      <c r="L488" s="170"/>
      <c r="M488" s="170"/>
      <c r="N488" s="170"/>
      <c r="O488" s="170"/>
      <c r="P488" s="170"/>
      <c r="Q488" s="170"/>
      <c r="R488" s="170">
        <f t="shared" si="59"/>
        <v>0</v>
      </c>
      <c r="S488" s="170"/>
      <c r="T488" s="170"/>
      <c r="U488" s="170"/>
      <c r="V488" s="170"/>
      <c r="W488" s="170"/>
      <c r="X488" s="171">
        <f t="shared" si="60"/>
        <v>0</v>
      </c>
      <c r="Y488" s="243">
        <f t="shared" si="61"/>
        <v>0</v>
      </c>
      <c r="Z488" s="399"/>
    </row>
    <row r="489" spans="1:26" ht="20.100000000000001" hidden="1" customHeight="1" x14ac:dyDescent="0.2">
      <c r="A489" s="26">
        <v>45</v>
      </c>
      <c r="B489" s="298"/>
      <c r="C489" s="39"/>
      <c r="D489" s="170"/>
      <c r="E489" s="170"/>
      <c r="F489" s="170"/>
      <c r="G489" s="170"/>
      <c r="H489" s="170"/>
      <c r="I489" s="170"/>
      <c r="J489" s="170"/>
      <c r="K489" s="170"/>
      <c r="L489" s="170"/>
      <c r="M489" s="170"/>
      <c r="N489" s="170"/>
      <c r="O489" s="170"/>
      <c r="P489" s="170"/>
      <c r="Q489" s="170"/>
      <c r="R489" s="170">
        <f t="shared" si="59"/>
        <v>0</v>
      </c>
      <c r="S489" s="170"/>
      <c r="T489" s="170"/>
      <c r="U489" s="170"/>
      <c r="V489" s="170"/>
      <c r="W489" s="170"/>
      <c r="X489" s="171">
        <f t="shared" si="60"/>
        <v>0</v>
      </c>
      <c r="Y489" s="243">
        <f t="shared" si="61"/>
        <v>0</v>
      </c>
      <c r="Z489" s="399"/>
    </row>
    <row r="490" spans="1:26" ht="20.100000000000001" hidden="1" customHeight="1" x14ac:dyDescent="0.2">
      <c r="A490" s="26">
        <v>46</v>
      </c>
      <c r="B490" s="74"/>
      <c r="C490" s="39"/>
      <c r="D490" s="170"/>
      <c r="E490" s="170"/>
      <c r="F490" s="170"/>
      <c r="G490" s="170"/>
      <c r="H490" s="170"/>
      <c r="I490" s="170"/>
      <c r="J490" s="170"/>
      <c r="K490" s="170"/>
      <c r="L490" s="170"/>
      <c r="M490" s="170"/>
      <c r="N490" s="170"/>
      <c r="O490" s="170"/>
      <c r="P490" s="170"/>
      <c r="Q490" s="170"/>
      <c r="R490" s="170">
        <f t="shared" si="59"/>
        <v>0</v>
      </c>
      <c r="S490" s="170"/>
      <c r="T490" s="170"/>
      <c r="U490" s="170"/>
      <c r="V490" s="170"/>
      <c r="W490" s="170"/>
      <c r="X490" s="171">
        <f t="shared" si="60"/>
        <v>0</v>
      </c>
      <c r="Y490" s="243">
        <f t="shared" si="61"/>
        <v>0</v>
      </c>
      <c r="Z490" s="399"/>
    </row>
    <row r="491" spans="1:26" ht="20.100000000000001" hidden="1" customHeight="1" x14ac:dyDescent="0.2">
      <c r="A491" s="26">
        <v>47</v>
      </c>
      <c r="B491" s="298"/>
      <c r="C491" s="39"/>
      <c r="D491" s="170"/>
      <c r="E491" s="170"/>
      <c r="F491" s="170"/>
      <c r="G491" s="170"/>
      <c r="H491" s="170"/>
      <c r="I491" s="170"/>
      <c r="J491" s="170"/>
      <c r="K491" s="170"/>
      <c r="L491" s="170"/>
      <c r="M491" s="170"/>
      <c r="N491" s="170"/>
      <c r="O491" s="170"/>
      <c r="P491" s="170"/>
      <c r="Q491" s="170"/>
      <c r="R491" s="170">
        <f t="shared" si="59"/>
        <v>0</v>
      </c>
      <c r="S491" s="170"/>
      <c r="T491" s="170"/>
      <c r="U491" s="170"/>
      <c r="V491" s="170"/>
      <c r="W491" s="170"/>
      <c r="X491" s="171">
        <f t="shared" si="60"/>
        <v>0</v>
      </c>
      <c r="Y491" s="243">
        <f t="shared" si="61"/>
        <v>0</v>
      </c>
      <c r="Z491" s="399"/>
    </row>
    <row r="492" spans="1:26" ht="20.100000000000001" hidden="1" customHeight="1" x14ac:dyDescent="0.2">
      <c r="A492" s="26">
        <v>48</v>
      </c>
      <c r="B492" s="74"/>
      <c r="C492" s="39"/>
      <c r="D492" s="170"/>
      <c r="E492" s="170"/>
      <c r="F492" s="170"/>
      <c r="G492" s="170"/>
      <c r="H492" s="170"/>
      <c r="I492" s="170"/>
      <c r="J492" s="170"/>
      <c r="K492" s="170"/>
      <c r="L492" s="170"/>
      <c r="M492" s="170"/>
      <c r="N492" s="170"/>
      <c r="O492" s="170"/>
      <c r="P492" s="170"/>
      <c r="Q492" s="170"/>
      <c r="R492" s="170">
        <f t="shared" si="59"/>
        <v>0</v>
      </c>
      <c r="S492" s="170"/>
      <c r="T492" s="170"/>
      <c r="U492" s="170"/>
      <c r="V492" s="170"/>
      <c r="W492" s="170"/>
      <c r="X492" s="171">
        <f t="shared" si="60"/>
        <v>0</v>
      </c>
      <c r="Y492" s="243">
        <f t="shared" si="61"/>
        <v>0</v>
      </c>
      <c r="Z492" s="399"/>
    </row>
    <row r="493" spans="1:26" ht="20.100000000000001" hidden="1" customHeight="1" x14ac:dyDescent="0.2">
      <c r="A493" s="26">
        <v>49</v>
      </c>
      <c r="B493" s="74"/>
      <c r="C493" s="39"/>
      <c r="D493" s="170"/>
      <c r="E493" s="170"/>
      <c r="F493" s="170"/>
      <c r="G493" s="170"/>
      <c r="H493" s="170"/>
      <c r="I493" s="170"/>
      <c r="J493" s="170"/>
      <c r="K493" s="170"/>
      <c r="L493" s="170"/>
      <c r="M493" s="170"/>
      <c r="N493" s="170"/>
      <c r="O493" s="170"/>
      <c r="P493" s="170"/>
      <c r="Q493" s="170"/>
      <c r="R493" s="170">
        <f t="shared" si="59"/>
        <v>0</v>
      </c>
      <c r="S493" s="170"/>
      <c r="T493" s="170"/>
      <c r="U493" s="170"/>
      <c r="V493" s="170"/>
      <c r="W493" s="170"/>
      <c r="X493" s="171">
        <f t="shared" si="60"/>
        <v>0</v>
      </c>
      <c r="Y493" s="243">
        <f t="shared" si="61"/>
        <v>0</v>
      </c>
      <c r="Z493" s="399"/>
    </row>
    <row r="494" spans="1:26" ht="20.100000000000001" hidden="1" customHeight="1" x14ac:dyDescent="0.2">
      <c r="A494" s="26"/>
      <c r="B494" s="74"/>
      <c r="C494" s="39"/>
      <c r="D494" s="170"/>
      <c r="E494" s="170"/>
      <c r="F494" s="170"/>
      <c r="G494" s="170"/>
      <c r="H494" s="170"/>
      <c r="I494" s="170"/>
      <c r="J494" s="170"/>
      <c r="K494" s="170"/>
      <c r="L494" s="170"/>
      <c r="M494" s="170"/>
      <c r="N494" s="170"/>
      <c r="O494" s="170"/>
      <c r="P494" s="170"/>
      <c r="Q494" s="170"/>
      <c r="R494" s="170">
        <f t="shared" si="59"/>
        <v>0</v>
      </c>
      <c r="S494" s="170"/>
      <c r="T494" s="170"/>
      <c r="U494" s="170"/>
      <c r="V494" s="170"/>
      <c r="W494" s="170"/>
      <c r="X494" s="171">
        <f t="shared" si="60"/>
        <v>0</v>
      </c>
      <c r="Y494" s="243">
        <f t="shared" si="61"/>
        <v>0</v>
      </c>
      <c r="Z494" s="399"/>
    </row>
    <row r="495" spans="1:26" ht="20.100000000000001" hidden="1" customHeight="1" x14ac:dyDescent="0.2">
      <c r="A495" s="26"/>
      <c r="B495" s="74"/>
      <c r="C495" s="39"/>
      <c r="D495" s="170"/>
      <c r="E495" s="170"/>
      <c r="F495" s="170"/>
      <c r="G495" s="170"/>
      <c r="H495" s="170"/>
      <c r="I495" s="170"/>
      <c r="J495" s="170"/>
      <c r="K495" s="170"/>
      <c r="L495" s="170"/>
      <c r="M495" s="170"/>
      <c r="N495" s="170"/>
      <c r="O495" s="170"/>
      <c r="P495" s="170"/>
      <c r="Q495" s="170"/>
      <c r="R495" s="170">
        <f t="shared" si="59"/>
        <v>0</v>
      </c>
      <c r="S495" s="170"/>
      <c r="T495" s="170"/>
      <c r="U495" s="170"/>
      <c r="V495" s="170"/>
      <c r="W495" s="170"/>
      <c r="X495" s="171">
        <f t="shared" si="60"/>
        <v>0</v>
      </c>
      <c r="Y495" s="243">
        <f t="shared" si="61"/>
        <v>0</v>
      </c>
      <c r="Z495" s="399"/>
    </row>
    <row r="496" spans="1:26" ht="20.100000000000001" hidden="1" customHeight="1" x14ac:dyDescent="0.2">
      <c r="A496" s="26"/>
      <c r="B496" s="74"/>
      <c r="C496" s="39"/>
      <c r="D496" s="170"/>
      <c r="E496" s="170"/>
      <c r="F496" s="170"/>
      <c r="G496" s="170"/>
      <c r="H496" s="170"/>
      <c r="I496" s="170"/>
      <c r="J496" s="170"/>
      <c r="K496" s="170"/>
      <c r="L496" s="170"/>
      <c r="M496" s="170"/>
      <c r="N496" s="170"/>
      <c r="O496" s="170"/>
      <c r="P496" s="170"/>
      <c r="Q496" s="170"/>
      <c r="R496" s="170">
        <f t="shared" si="59"/>
        <v>0</v>
      </c>
      <c r="S496" s="170"/>
      <c r="T496" s="170"/>
      <c r="U496" s="170"/>
      <c r="V496" s="170"/>
      <c r="W496" s="170"/>
      <c r="X496" s="171">
        <f t="shared" si="60"/>
        <v>0</v>
      </c>
      <c r="Y496" s="243">
        <f t="shared" si="61"/>
        <v>0</v>
      </c>
      <c r="Z496" s="399"/>
    </row>
    <row r="497" spans="1:28" hidden="1" x14ac:dyDescent="0.2">
      <c r="A497" s="26"/>
      <c r="B497" s="74"/>
      <c r="C497" s="39"/>
      <c r="D497" s="170"/>
      <c r="E497" s="170"/>
      <c r="F497" s="170"/>
      <c r="G497" s="170"/>
      <c r="H497" s="170"/>
      <c r="I497" s="170"/>
      <c r="J497" s="170"/>
      <c r="K497" s="170"/>
      <c r="L497" s="170"/>
      <c r="M497" s="170"/>
      <c r="N497" s="170"/>
      <c r="O497" s="170"/>
      <c r="P497" s="170"/>
      <c r="Q497" s="170"/>
      <c r="R497" s="170">
        <f t="shared" si="59"/>
        <v>0</v>
      </c>
      <c r="S497" s="170"/>
      <c r="T497" s="170"/>
      <c r="U497" s="170"/>
      <c r="V497" s="170"/>
      <c r="W497" s="170"/>
      <c r="X497" s="171">
        <f t="shared" si="60"/>
        <v>0</v>
      </c>
      <c r="Y497" s="243">
        <f t="shared" si="61"/>
        <v>0</v>
      </c>
      <c r="Z497" s="399"/>
    </row>
    <row r="498" spans="1:28" ht="20.100000000000001" hidden="1" customHeight="1" x14ac:dyDescent="0.2">
      <c r="A498" s="26"/>
      <c r="B498" s="284"/>
      <c r="C498" s="207" t="s">
        <v>69</v>
      </c>
      <c r="D498" s="170"/>
      <c r="E498" s="170"/>
      <c r="F498" s="170"/>
      <c r="G498" s="170"/>
      <c r="H498" s="170"/>
      <c r="I498" s="170"/>
      <c r="J498" s="170"/>
      <c r="K498" s="170"/>
      <c r="L498" s="170"/>
      <c r="M498" s="170"/>
      <c r="N498" s="170"/>
      <c r="O498" s="170"/>
      <c r="P498" s="170"/>
      <c r="Q498" s="170"/>
      <c r="R498" s="170">
        <f t="shared" si="59"/>
        <v>0</v>
      </c>
      <c r="S498" s="170"/>
      <c r="T498" s="170"/>
      <c r="U498" s="170"/>
      <c r="V498" s="170"/>
      <c r="W498" s="170"/>
      <c r="X498" s="171">
        <f t="shared" si="60"/>
        <v>0</v>
      </c>
      <c r="Y498" s="243">
        <f t="shared" si="61"/>
        <v>0</v>
      </c>
      <c r="Z498" s="399"/>
    </row>
    <row r="499" spans="1:28" ht="17.25" hidden="1" thickBot="1" x14ac:dyDescent="0.3">
      <c r="A499" s="595"/>
      <c r="B499" s="596"/>
      <c r="C499" s="597"/>
      <c r="D499" s="597"/>
      <c r="E499" s="597"/>
      <c r="F499" s="597"/>
      <c r="G499" s="597"/>
      <c r="H499" s="597"/>
      <c r="I499" s="597"/>
      <c r="J499" s="597"/>
      <c r="K499" s="597"/>
      <c r="L499" s="597"/>
      <c r="M499" s="597"/>
      <c r="N499" s="597"/>
      <c r="O499" s="597"/>
      <c r="P499" s="597"/>
      <c r="Q499" s="597"/>
      <c r="R499" s="597"/>
      <c r="S499" s="597"/>
      <c r="T499" s="597"/>
      <c r="U499" s="597"/>
      <c r="V499" s="597"/>
      <c r="W499" s="597"/>
      <c r="X499" s="597"/>
      <c r="Y499" s="598"/>
      <c r="Z499" s="599"/>
    </row>
    <row r="500" spans="1:28" ht="24.95" hidden="1" customHeight="1" thickTop="1" thickBot="1" x14ac:dyDescent="0.25">
      <c r="A500" s="47"/>
      <c r="B500" s="268" t="s">
        <v>188</v>
      </c>
      <c r="C500" s="44" t="s">
        <v>32</v>
      </c>
      <c r="D500" s="183">
        <f>SUM(D444:D499)</f>
        <v>0</v>
      </c>
      <c r="E500" s="183">
        <f t="shared" ref="E500:Q500" si="62">SUM(E444:E499)</f>
        <v>0</v>
      </c>
      <c r="F500" s="183">
        <f t="shared" si="62"/>
        <v>0</v>
      </c>
      <c r="G500" s="183">
        <f t="shared" si="62"/>
        <v>0</v>
      </c>
      <c r="H500" s="183">
        <f t="shared" si="62"/>
        <v>0</v>
      </c>
      <c r="I500" s="183">
        <f t="shared" si="62"/>
        <v>0</v>
      </c>
      <c r="J500" s="183">
        <f t="shared" si="62"/>
        <v>0</v>
      </c>
      <c r="K500" s="183">
        <f t="shared" si="62"/>
        <v>0</v>
      </c>
      <c r="L500" s="183">
        <f t="shared" si="62"/>
        <v>0</v>
      </c>
      <c r="M500" s="183">
        <f t="shared" si="62"/>
        <v>0</v>
      </c>
      <c r="N500" s="183">
        <f t="shared" si="62"/>
        <v>0</v>
      </c>
      <c r="O500" s="183">
        <f t="shared" si="62"/>
        <v>0</v>
      </c>
      <c r="P500" s="183">
        <f t="shared" si="62"/>
        <v>0</v>
      </c>
      <c r="Q500" s="183">
        <f t="shared" si="62"/>
        <v>0</v>
      </c>
      <c r="R500" s="183">
        <f>SUM(D500:Q500)</f>
        <v>0</v>
      </c>
      <c r="S500" s="183"/>
      <c r="T500" s="183">
        <f>SUM(T444:T499)</f>
        <v>0</v>
      </c>
      <c r="U500" s="183">
        <f>SUM(U444:U499)</f>
        <v>0</v>
      </c>
      <c r="V500" s="183">
        <f>SUM(V444:V499)</f>
        <v>0</v>
      </c>
      <c r="W500" s="183">
        <f>SUM(W444:W499)</f>
        <v>0</v>
      </c>
      <c r="X500" s="488">
        <f>SUM(T500:W500)</f>
        <v>0</v>
      </c>
      <c r="Y500" s="385">
        <f>R500+X500</f>
        <v>0</v>
      </c>
      <c r="Z500" s="184">
        <f>SUM(Z444:Z499)</f>
        <v>0</v>
      </c>
    </row>
    <row r="501" spans="1:28" ht="24.95" hidden="1" customHeight="1" thickTop="1" thickBot="1" x14ac:dyDescent="0.25">
      <c r="A501" s="47"/>
      <c r="B501" s="43" t="s">
        <v>189</v>
      </c>
      <c r="C501" s="44" t="s">
        <v>152</v>
      </c>
      <c r="D501" s="571">
        <f>D443+D500</f>
        <v>154018</v>
      </c>
      <c r="E501" s="571">
        <f t="shared" ref="E501:Q501" si="63">E443+E500</f>
        <v>36396</v>
      </c>
      <c r="F501" s="571">
        <f t="shared" si="63"/>
        <v>4730285.9090000009</v>
      </c>
      <c r="G501" s="571">
        <f t="shared" si="63"/>
        <v>197440</v>
      </c>
      <c r="H501" s="571">
        <f t="shared" si="63"/>
        <v>150591.49600000001</v>
      </c>
      <c r="I501" s="571">
        <f t="shared" si="63"/>
        <v>52112</v>
      </c>
      <c r="J501" s="571">
        <f t="shared" si="63"/>
        <v>685330</v>
      </c>
      <c r="K501" s="571">
        <f t="shared" si="63"/>
        <v>2855229.594</v>
      </c>
      <c r="L501" s="571">
        <f t="shared" si="63"/>
        <v>3011496</v>
      </c>
      <c r="M501" s="571">
        <f t="shared" si="63"/>
        <v>37208</v>
      </c>
      <c r="N501" s="571">
        <f t="shared" si="63"/>
        <v>57843</v>
      </c>
      <c r="O501" s="571">
        <f t="shared" si="63"/>
        <v>10000</v>
      </c>
      <c r="P501" s="571">
        <f t="shared" si="63"/>
        <v>0</v>
      </c>
      <c r="Q501" s="571">
        <f t="shared" si="63"/>
        <v>563293</v>
      </c>
      <c r="R501" s="571">
        <f>SUM(D501:Q501)</f>
        <v>12541242.999000002</v>
      </c>
      <c r="S501" s="172"/>
      <c r="T501" s="571">
        <f>T443+T500</f>
        <v>0</v>
      </c>
      <c r="U501" s="571">
        <f>U443+U500</f>
        <v>3740000</v>
      </c>
      <c r="V501" s="571">
        <f>V443+V500</f>
        <v>66267.035000000003</v>
      </c>
      <c r="W501" s="571">
        <f>W443+W500</f>
        <v>0</v>
      </c>
      <c r="X501" s="572">
        <f>SUM(T501:W501)</f>
        <v>3806267.0350000001</v>
      </c>
      <c r="Y501" s="572">
        <f>R501+X501</f>
        <v>16347510.034000002</v>
      </c>
      <c r="Z501" s="573">
        <f>Z443+Z500</f>
        <v>6436382.5250000004</v>
      </c>
      <c r="AB501" s="85"/>
    </row>
    <row r="502" spans="1:28" ht="18" hidden="1" thickTop="1" thickBot="1" x14ac:dyDescent="0.3">
      <c r="Y502" s="53"/>
      <c r="Z502" s="2"/>
    </row>
    <row r="503" spans="1:28" ht="18.75" hidden="1" thickTop="1" thickBot="1" x14ac:dyDescent="0.3">
      <c r="C503" s="2" t="s">
        <v>93</v>
      </c>
      <c r="D503" s="210">
        <v>154018</v>
      </c>
      <c r="E503" s="210">
        <v>36396</v>
      </c>
      <c r="F503" s="210">
        <v>4730285.909</v>
      </c>
      <c r="G503" s="210">
        <v>197440</v>
      </c>
      <c r="H503" s="210">
        <v>150591.49600000001</v>
      </c>
      <c r="I503" s="210">
        <v>52112</v>
      </c>
      <c r="J503" s="210">
        <v>685330</v>
      </c>
      <c r="K503" s="210">
        <v>2855229.594</v>
      </c>
      <c r="L503" s="210">
        <v>3011496</v>
      </c>
      <c r="M503" s="210">
        <v>37208</v>
      </c>
      <c r="N503" s="210">
        <v>57843</v>
      </c>
      <c r="O503" s="210">
        <v>10000</v>
      </c>
      <c r="P503" s="210">
        <v>0</v>
      </c>
      <c r="Q503" s="210">
        <v>563293</v>
      </c>
      <c r="R503" s="210">
        <v>12541242.999</v>
      </c>
      <c r="S503" s="210"/>
      <c r="T503" s="210">
        <v>0</v>
      </c>
      <c r="U503" s="210">
        <v>3740000</v>
      </c>
      <c r="V503" s="210">
        <v>66267.035000000003</v>
      </c>
      <c r="W503" s="210">
        <v>0</v>
      </c>
      <c r="X503" s="210">
        <v>3806267.0350000001</v>
      </c>
      <c r="Y503" s="210">
        <v>16347510.034</v>
      </c>
      <c r="Z503" s="210">
        <v>6436382.5250000004</v>
      </c>
      <c r="AA503" s="134">
        <f>SUM(Y503:Z503)</f>
        <v>22783892.559</v>
      </c>
    </row>
    <row r="504" spans="1:28" ht="17.25" hidden="1" thickTop="1" x14ac:dyDescent="0.25">
      <c r="F504" s="173"/>
      <c r="Y504" s="53"/>
      <c r="Z504" s="2"/>
    </row>
    <row r="505" spans="1:28" hidden="1" x14ac:dyDescent="0.25">
      <c r="C505" s="2" t="s">
        <v>94</v>
      </c>
      <c r="D505" s="173">
        <f>D503-D501</f>
        <v>0</v>
      </c>
      <c r="E505" s="173">
        <f t="shared" ref="E505:Z505" si="64">E503-E501</f>
        <v>0</v>
      </c>
      <c r="F505" s="173">
        <f t="shared" si="64"/>
        <v>0</v>
      </c>
      <c r="G505" s="173">
        <f t="shared" si="64"/>
        <v>0</v>
      </c>
      <c r="H505" s="173">
        <f t="shared" si="64"/>
        <v>0</v>
      </c>
      <c r="I505" s="173">
        <f t="shared" si="64"/>
        <v>0</v>
      </c>
      <c r="J505" s="173">
        <f t="shared" si="64"/>
        <v>0</v>
      </c>
      <c r="K505" s="173">
        <f t="shared" si="64"/>
        <v>0</v>
      </c>
      <c r="L505" s="173">
        <f t="shared" si="64"/>
        <v>0</v>
      </c>
      <c r="M505" s="173">
        <f t="shared" si="64"/>
        <v>0</v>
      </c>
      <c r="N505" s="173">
        <f t="shared" si="64"/>
        <v>0</v>
      </c>
      <c r="O505" s="173">
        <f t="shared" si="64"/>
        <v>0</v>
      </c>
      <c r="P505" s="173">
        <f t="shared" si="64"/>
        <v>0</v>
      </c>
      <c r="Q505" s="173">
        <f t="shared" si="64"/>
        <v>0</v>
      </c>
      <c r="R505" s="173">
        <f t="shared" si="64"/>
        <v>0</v>
      </c>
      <c r="S505" s="173"/>
      <c r="T505" s="173">
        <f t="shared" si="64"/>
        <v>0</v>
      </c>
      <c r="U505" s="173">
        <f t="shared" si="64"/>
        <v>0</v>
      </c>
      <c r="V505" s="173">
        <f t="shared" si="64"/>
        <v>0</v>
      </c>
      <c r="W505" s="173">
        <f t="shared" si="64"/>
        <v>0</v>
      </c>
      <c r="X505" s="173">
        <f t="shared" si="64"/>
        <v>0</v>
      </c>
      <c r="Y505" s="173">
        <f t="shared" si="64"/>
        <v>0</v>
      </c>
      <c r="Z505" s="173">
        <f t="shared" si="64"/>
        <v>0</v>
      </c>
      <c r="AA505" s="173"/>
    </row>
    <row r="506" spans="1:28" hidden="1" x14ac:dyDescent="0.25">
      <c r="Z506" s="2"/>
    </row>
    <row r="507" spans="1:28" hidden="1" x14ac:dyDescent="0.25">
      <c r="F507" s="405"/>
      <c r="Z507" s="2"/>
    </row>
    <row r="508" spans="1:28" ht="17.25" thickTop="1" x14ac:dyDescent="0.25"/>
  </sheetData>
  <mergeCells count="8">
    <mergeCell ref="AJ14:AK14"/>
    <mergeCell ref="A2:Z2"/>
    <mergeCell ref="A4:Z4"/>
    <mergeCell ref="D7:Z7"/>
    <mergeCell ref="AJ9:AK9"/>
    <mergeCell ref="D8:K8"/>
    <mergeCell ref="L8:Q8"/>
    <mergeCell ref="T8:W8"/>
  </mergeCells>
  <phoneticPr fontId="3" type="noConversion"/>
  <printOptions horizontalCentered="1"/>
  <pageMargins left="0" right="0" top="0.5" bottom="0.48" header="0.21" footer="0.15748031496062992"/>
  <pageSetup paperSize="9" scale="40" firstPageNumber="0" orientation="landscape" horizontalDpi="300" verticalDpi="300" r:id="rId1"/>
  <headerFooter alignWithMargins="0">
    <oddFooter>&amp;P.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9"/>
  <sheetViews>
    <sheetView topLeftCell="A25" zoomScale="75" zoomScaleNormal="75" workbookViewId="0">
      <selection activeCell="C26" sqref="C26"/>
    </sheetView>
  </sheetViews>
  <sheetFormatPr defaultRowHeight="16.5" x14ac:dyDescent="0.25"/>
  <cols>
    <col min="1" max="1" width="6.28515625" style="1" customWidth="1"/>
    <col min="2" max="2" width="12.7109375" style="1" hidden="1" customWidth="1"/>
    <col min="3" max="3" width="57.7109375" style="2" customWidth="1"/>
    <col min="4" max="14" width="12.7109375" style="2" customWidth="1"/>
    <col min="15" max="15" width="15.7109375" style="2" customWidth="1"/>
    <col min="16" max="16" width="1.85546875" style="2" customWidth="1"/>
    <col min="17" max="17" width="11.28515625" style="2" customWidth="1"/>
    <col min="18" max="18" width="11.85546875" style="2" customWidth="1"/>
    <col min="19" max="19" width="11.28515625" style="2" customWidth="1"/>
    <col min="20" max="20" width="10" style="2" customWidth="1"/>
    <col min="21" max="21" width="15.7109375" style="2" customWidth="1"/>
    <col min="22" max="22" width="1.85546875" style="2" customWidth="1"/>
    <col min="23" max="23" width="15.7109375" style="2" customWidth="1"/>
    <col min="24" max="24" width="17.140625" style="2" customWidth="1"/>
    <col min="25" max="25" width="11" style="2" customWidth="1"/>
    <col min="26" max="26" width="10.7109375" style="2" customWidth="1"/>
    <col min="27" max="32" width="9.140625" style="2"/>
    <col min="33" max="34" width="10.7109375" style="2" customWidth="1"/>
    <col min="35" max="35" width="10.28515625" style="2" customWidth="1"/>
    <col min="36" max="36" width="10" style="2" customWidth="1"/>
    <col min="37" max="37" width="10.28515625" style="2" customWidth="1"/>
    <col min="38" max="38" width="10.7109375" style="2" customWidth="1"/>
    <col min="39" max="39" width="10.5703125" style="2" customWidth="1"/>
    <col min="40" max="43" width="9.140625" style="2"/>
    <col min="44" max="44" width="11" style="2" customWidth="1"/>
    <col min="45" max="16384" width="9.140625" style="2"/>
  </cols>
  <sheetData>
    <row r="1" spans="1:38" ht="20.25" customHeight="1" x14ac:dyDescent="0.25">
      <c r="V1" s="3"/>
      <c r="W1" s="191"/>
      <c r="X1" s="191" t="s">
        <v>345</v>
      </c>
    </row>
    <row r="2" spans="1:38" ht="30" customHeight="1" x14ac:dyDescent="0.3">
      <c r="A2" s="686" t="s">
        <v>0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</row>
    <row r="3" spans="1:38" ht="30" customHeight="1" x14ac:dyDescent="0.3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</row>
    <row r="4" spans="1:38" ht="50.1" customHeight="1" x14ac:dyDescent="0.3">
      <c r="A4" s="699" t="s">
        <v>340</v>
      </c>
      <c r="B4" s="699"/>
      <c r="C4" s="699"/>
      <c r="D4" s="699"/>
      <c r="E4" s="699"/>
      <c r="F4" s="699"/>
      <c r="G4" s="699"/>
      <c r="H4" s="699"/>
      <c r="I4" s="699"/>
      <c r="J4" s="699"/>
      <c r="K4" s="699"/>
      <c r="L4" s="699"/>
      <c r="M4" s="699"/>
      <c r="N4" s="699"/>
      <c r="O4" s="699"/>
      <c r="P4" s="699"/>
      <c r="Q4" s="699"/>
      <c r="R4" s="699"/>
      <c r="S4" s="699"/>
      <c r="T4" s="699"/>
      <c r="U4" s="699"/>
      <c r="V4" s="699"/>
      <c r="W4" s="699"/>
      <c r="X4" s="699"/>
    </row>
    <row r="5" spans="1:38" ht="24.9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8" ht="17.2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6" t="s">
        <v>1</v>
      </c>
    </row>
    <row r="7" spans="1:38" ht="18" customHeight="1" thickTop="1" x14ac:dyDescent="0.25">
      <c r="A7" s="7"/>
      <c r="B7" s="8"/>
      <c r="C7" s="9"/>
      <c r="D7" s="678" t="s">
        <v>120</v>
      </c>
      <c r="E7" s="679"/>
      <c r="F7" s="680"/>
      <c r="G7" s="425"/>
      <c r="H7" s="426"/>
      <c r="I7" s="427" t="s">
        <v>4</v>
      </c>
      <c r="J7" s="681" t="s">
        <v>128</v>
      </c>
      <c r="K7" s="682"/>
      <c r="L7" s="425"/>
      <c r="M7" s="428" t="s">
        <v>129</v>
      </c>
      <c r="N7" s="429"/>
      <c r="O7" s="430" t="s">
        <v>136</v>
      </c>
      <c r="P7" s="14"/>
      <c r="Q7" s="683" t="s">
        <v>138</v>
      </c>
      <c r="R7" s="684"/>
      <c r="S7" s="684"/>
      <c r="T7" s="685"/>
      <c r="U7" s="431" t="s">
        <v>147</v>
      </c>
      <c r="V7" s="419"/>
      <c r="W7" s="10" t="s">
        <v>2</v>
      </c>
      <c r="X7" s="248"/>
    </row>
    <row r="8" spans="1:38" x14ac:dyDescent="0.25">
      <c r="A8" s="11"/>
      <c r="B8" s="12"/>
      <c r="C8" s="13" t="s">
        <v>3</v>
      </c>
      <c r="D8" s="16" t="s">
        <v>121</v>
      </c>
      <c r="E8" s="13" t="s">
        <v>122</v>
      </c>
      <c r="F8" s="4" t="s">
        <v>123</v>
      </c>
      <c r="G8" s="17" t="s">
        <v>130</v>
      </c>
      <c r="H8" s="17" t="s">
        <v>5</v>
      </c>
      <c r="I8" s="17" t="s">
        <v>15</v>
      </c>
      <c r="J8" s="13" t="s">
        <v>6</v>
      </c>
      <c r="K8" s="13" t="s">
        <v>131</v>
      </c>
      <c r="L8" s="421" t="s">
        <v>102</v>
      </c>
      <c r="M8" s="13" t="s">
        <v>132</v>
      </c>
      <c r="N8" s="17" t="s">
        <v>4</v>
      </c>
      <c r="O8" s="422" t="s">
        <v>137</v>
      </c>
      <c r="P8" s="17"/>
      <c r="Q8" s="17" t="s">
        <v>139</v>
      </c>
      <c r="R8" s="17" t="s">
        <v>140</v>
      </c>
      <c r="S8" s="17" t="s">
        <v>233</v>
      </c>
      <c r="T8" s="17" t="s">
        <v>4</v>
      </c>
      <c r="U8" s="423" t="s">
        <v>148</v>
      </c>
      <c r="V8" s="418"/>
      <c r="W8" s="15" t="s">
        <v>7</v>
      </c>
      <c r="X8" s="317" t="s">
        <v>108</v>
      </c>
    </row>
    <row r="9" spans="1:38" x14ac:dyDescent="0.25">
      <c r="A9" s="18" t="s">
        <v>8</v>
      </c>
      <c r="B9" s="13"/>
      <c r="C9" s="13" t="s">
        <v>9</v>
      </c>
      <c r="D9" s="17" t="s">
        <v>15</v>
      </c>
      <c r="E9" s="13" t="s">
        <v>124</v>
      </c>
      <c r="F9" s="4" t="s">
        <v>80</v>
      </c>
      <c r="G9" s="17" t="s">
        <v>10</v>
      </c>
      <c r="H9" s="13" t="s">
        <v>10</v>
      </c>
      <c r="I9" s="13" t="s">
        <v>11</v>
      </c>
      <c r="J9" s="13" t="s">
        <v>11</v>
      </c>
      <c r="K9" s="13" t="s">
        <v>80</v>
      </c>
      <c r="L9" s="308" t="s">
        <v>103</v>
      </c>
      <c r="M9" s="17" t="s">
        <v>133</v>
      </c>
      <c r="N9" s="17" t="s">
        <v>104</v>
      </c>
      <c r="O9" s="422" t="s">
        <v>10</v>
      </c>
      <c r="P9" s="17"/>
      <c r="Q9" s="17" t="s">
        <v>141</v>
      </c>
      <c r="R9" s="17" t="s">
        <v>142</v>
      </c>
      <c r="S9" s="17" t="s">
        <v>234</v>
      </c>
      <c r="T9" s="17" t="s">
        <v>190</v>
      </c>
      <c r="U9" s="423" t="s">
        <v>10</v>
      </c>
      <c r="V9" s="420"/>
      <c r="W9" s="15" t="s">
        <v>12</v>
      </c>
      <c r="X9" s="317" t="s">
        <v>109</v>
      </c>
    </row>
    <row r="10" spans="1:38" x14ac:dyDescent="0.25">
      <c r="A10" s="11"/>
      <c r="B10" s="12"/>
      <c r="C10" s="13" t="s">
        <v>13</v>
      </c>
      <c r="D10" s="17" t="s">
        <v>125</v>
      </c>
      <c r="E10" s="13" t="s">
        <v>126</v>
      </c>
      <c r="F10" s="4" t="s">
        <v>127</v>
      </c>
      <c r="G10" s="17"/>
      <c r="H10" s="13"/>
      <c r="I10" s="13" t="s">
        <v>101</v>
      </c>
      <c r="J10" s="13" t="s">
        <v>134</v>
      </c>
      <c r="K10" s="13" t="s">
        <v>127</v>
      </c>
      <c r="L10" s="13" t="s">
        <v>10</v>
      </c>
      <c r="M10" s="17" t="s">
        <v>42</v>
      </c>
      <c r="N10" s="17" t="s">
        <v>135</v>
      </c>
      <c r="O10" s="422" t="s">
        <v>12</v>
      </c>
      <c r="P10" s="17"/>
      <c r="Q10" s="17" t="s">
        <v>143</v>
      </c>
      <c r="R10" s="17" t="s">
        <v>144</v>
      </c>
      <c r="S10" s="17" t="s">
        <v>235</v>
      </c>
      <c r="T10" s="17" t="s">
        <v>191</v>
      </c>
      <c r="U10" s="423" t="s">
        <v>12</v>
      </c>
      <c r="V10" s="420"/>
      <c r="W10" s="19" t="s">
        <v>150</v>
      </c>
      <c r="X10" s="318" t="s">
        <v>110</v>
      </c>
    </row>
    <row r="11" spans="1:38" x14ac:dyDescent="0.25">
      <c r="A11" s="11"/>
      <c r="B11" s="12"/>
      <c r="C11" s="13"/>
      <c r="D11" s="17"/>
      <c r="E11" s="13" t="s">
        <v>16</v>
      </c>
      <c r="F11" s="4" t="s">
        <v>100</v>
      </c>
      <c r="G11" s="17"/>
      <c r="H11" s="13"/>
      <c r="I11" s="13" t="s">
        <v>17</v>
      </c>
      <c r="J11" s="13" t="s">
        <v>51</v>
      </c>
      <c r="K11" s="13" t="s">
        <v>100</v>
      </c>
      <c r="L11" s="13"/>
      <c r="M11" s="20" t="s">
        <v>14</v>
      </c>
      <c r="N11" s="20" t="s">
        <v>17</v>
      </c>
      <c r="O11" s="4" t="s">
        <v>146</v>
      </c>
      <c r="P11" s="20"/>
      <c r="Q11" s="17" t="s">
        <v>16</v>
      </c>
      <c r="R11" s="20" t="s">
        <v>145</v>
      </c>
      <c r="S11" s="20" t="s">
        <v>236</v>
      </c>
      <c r="T11" s="20" t="s">
        <v>10</v>
      </c>
      <c r="U11" s="20" t="s">
        <v>149</v>
      </c>
      <c r="V11" s="21"/>
      <c r="W11" s="15"/>
      <c r="X11" s="318" t="s">
        <v>80</v>
      </c>
    </row>
    <row r="12" spans="1:38" hidden="1" x14ac:dyDescent="0.25">
      <c r="A12" s="113"/>
      <c r="B12" s="114"/>
      <c r="C12" s="115"/>
      <c r="D12" s="16" t="s">
        <v>214</v>
      </c>
      <c r="E12" s="115" t="s">
        <v>215</v>
      </c>
      <c r="F12" s="116" t="s">
        <v>216</v>
      </c>
      <c r="G12" s="16" t="s">
        <v>217</v>
      </c>
      <c r="H12" s="115" t="s">
        <v>218</v>
      </c>
      <c r="I12" s="115" t="s">
        <v>219</v>
      </c>
      <c r="J12" s="115" t="s">
        <v>220</v>
      </c>
      <c r="K12" s="124" t="s">
        <v>221</v>
      </c>
      <c r="L12" s="115" t="s">
        <v>222</v>
      </c>
      <c r="M12" s="117" t="s">
        <v>223</v>
      </c>
      <c r="N12" s="118" t="s">
        <v>224</v>
      </c>
      <c r="O12" s="116"/>
      <c r="P12" s="20"/>
      <c r="Q12" s="16" t="s">
        <v>225</v>
      </c>
      <c r="R12" s="118" t="s">
        <v>226</v>
      </c>
      <c r="S12" s="118" t="s">
        <v>227</v>
      </c>
      <c r="T12" s="115" t="s">
        <v>228</v>
      </c>
      <c r="U12" s="16"/>
      <c r="V12" s="119"/>
      <c r="W12" s="433"/>
      <c r="X12" s="249"/>
    </row>
    <row r="13" spans="1:38" ht="20.25" customHeight="1" x14ac:dyDescent="0.2">
      <c r="A13" s="197">
        <v>1</v>
      </c>
      <c r="B13" s="221"/>
      <c r="C13" s="221">
        <v>2</v>
      </c>
      <c r="D13" s="221">
        <v>3</v>
      </c>
      <c r="E13" s="221">
        <v>4</v>
      </c>
      <c r="F13" s="221">
        <v>5</v>
      </c>
      <c r="G13" s="221">
        <v>6</v>
      </c>
      <c r="H13" s="221">
        <v>7</v>
      </c>
      <c r="I13" s="221">
        <v>8</v>
      </c>
      <c r="J13" s="221">
        <v>9</v>
      </c>
      <c r="K13" s="221">
        <v>10</v>
      </c>
      <c r="L13" s="221">
        <v>11</v>
      </c>
      <c r="M13" s="221">
        <v>12</v>
      </c>
      <c r="N13" s="221">
        <v>13</v>
      </c>
      <c r="O13" s="221">
        <v>14</v>
      </c>
      <c r="P13" s="221"/>
      <c r="Q13" s="221">
        <v>15</v>
      </c>
      <c r="R13" s="221">
        <v>16</v>
      </c>
      <c r="S13" s="221">
        <v>17</v>
      </c>
      <c r="T13" s="221">
        <v>18</v>
      </c>
      <c r="U13" s="221">
        <v>19</v>
      </c>
      <c r="V13" s="222"/>
      <c r="W13" s="223">
        <v>20</v>
      </c>
      <c r="X13" s="250">
        <v>21</v>
      </c>
    </row>
    <row r="14" spans="1:38" ht="22.5" customHeight="1" x14ac:dyDescent="0.25">
      <c r="A14" s="22"/>
      <c r="B14" s="23"/>
      <c r="C14" s="24" t="s">
        <v>68</v>
      </c>
      <c r="D14" s="25">
        <v>0</v>
      </c>
      <c r="E14" s="25">
        <v>0</v>
      </c>
      <c r="F14" s="25">
        <v>0</v>
      </c>
      <c r="G14" s="25">
        <v>5150</v>
      </c>
      <c r="H14" s="25">
        <v>10032</v>
      </c>
      <c r="I14" s="158">
        <v>0</v>
      </c>
      <c r="J14" s="25">
        <v>0</v>
      </c>
      <c r="K14" s="25">
        <v>0</v>
      </c>
      <c r="L14" s="25">
        <v>150</v>
      </c>
      <c r="M14" s="25">
        <v>1200</v>
      </c>
      <c r="N14" s="25">
        <v>0</v>
      </c>
      <c r="O14" s="432">
        <f>SUM(D14:N14)</f>
        <v>16532</v>
      </c>
      <c r="P14" s="25"/>
      <c r="Q14" s="25">
        <v>0</v>
      </c>
      <c r="R14" s="25">
        <v>93504</v>
      </c>
      <c r="S14" s="25">
        <v>0</v>
      </c>
      <c r="T14" s="25">
        <v>0</v>
      </c>
      <c r="U14" s="432">
        <f>SUM(Q14:T14)</f>
        <v>93504</v>
      </c>
      <c r="V14" s="157"/>
      <c r="W14" s="143">
        <f>O14+U14</f>
        <v>110036</v>
      </c>
      <c r="X14" s="251">
        <v>2629005</v>
      </c>
    </row>
    <row r="15" spans="1:38" ht="20.100000000000001" hidden="1" customHeight="1" x14ac:dyDescent="0.25">
      <c r="A15" s="160"/>
      <c r="B15" s="140"/>
      <c r="C15" s="28" t="s">
        <v>107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145"/>
      <c r="W15" s="241">
        <f>O15+U15</f>
        <v>0</v>
      </c>
      <c r="X15" s="252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70"/>
    </row>
    <row r="16" spans="1:38" ht="20.100000000000001" hidden="1" customHeight="1" x14ac:dyDescent="0.25">
      <c r="A16" s="160"/>
      <c r="B16" s="27" t="s">
        <v>105</v>
      </c>
      <c r="C16" s="24" t="s">
        <v>18</v>
      </c>
      <c r="D16" s="155">
        <f t="shared" ref="D16:W16" si="0">SUM(D14:D15)</f>
        <v>0</v>
      </c>
      <c r="E16" s="155">
        <f t="shared" si="0"/>
        <v>0</v>
      </c>
      <c r="F16" s="155">
        <f t="shared" si="0"/>
        <v>0</v>
      </c>
      <c r="G16" s="155">
        <f t="shared" si="0"/>
        <v>5150</v>
      </c>
      <c r="H16" s="155">
        <f t="shared" si="0"/>
        <v>10032</v>
      </c>
      <c r="I16" s="155">
        <f t="shared" si="0"/>
        <v>0</v>
      </c>
      <c r="J16" s="155">
        <f t="shared" si="0"/>
        <v>0</v>
      </c>
      <c r="K16" s="155">
        <f t="shared" si="0"/>
        <v>0</v>
      </c>
      <c r="L16" s="155">
        <f t="shared" si="0"/>
        <v>150</v>
      </c>
      <c r="M16" s="155">
        <f t="shared" si="0"/>
        <v>1200</v>
      </c>
      <c r="N16" s="155">
        <f t="shared" si="0"/>
        <v>0</v>
      </c>
      <c r="O16" s="461">
        <f t="shared" si="0"/>
        <v>16532</v>
      </c>
      <c r="P16" s="155"/>
      <c r="Q16" s="155">
        <f>SUM(Q14:Q15)</f>
        <v>0</v>
      </c>
      <c r="R16" s="155">
        <f>SUM(R14:R15)</f>
        <v>93504</v>
      </c>
      <c r="S16" s="155">
        <f>SUM(S14:S15)</f>
        <v>0</v>
      </c>
      <c r="T16" s="155">
        <f t="shared" si="0"/>
        <v>0</v>
      </c>
      <c r="U16" s="155">
        <f t="shared" si="0"/>
        <v>93504</v>
      </c>
      <c r="V16" s="155"/>
      <c r="W16" s="242">
        <f t="shared" si="0"/>
        <v>110036</v>
      </c>
      <c r="X16" s="253">
        <f>SUM(X14:X15)</f>
        <v>2629005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70"/>
    </row>
    <row r="17" spans="1:38" ht="30" customHeight="1" x14ac:dyDescent="0.25">
      <c r="A17" s="82"/>
      <c r="B17" s="140"/>
      <c r="C17" s="28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>
        <f t="shared" ref="O17:O26" si="1">SUM(D17:N17)</f>
        <v>0</v>
      </c>
      <c r="P17" s="72"/>
      <c r="Q17" s="72"/>
      <c r="R17" s="72"/>
      <c r="S17" s="72"/>
      <c r="T17" s="72"/>
      <c r="U17" s="72"/>
      <c r="V17" s="162"/>
      <c r="W17" s="243"/>
      <c r="X17" s="33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70"/>
    </row>
    <row r="18" spans="1:38" ht="33" customHeight="1" x14ac:dyDescent="0.25">
      <c r="A18" s="82">
        <v>1</v>
      </c>
      <c r="B18" s="621" t="s">
        <v>271</v>
      </c>
      <c r="C18" s="28" t="s">
        <v>272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>
        <f t="shared" si="1"/>
        <v>0</v>
      </c>
      <c r="P18" s="72"/>
      <c r="Q18" s="72"/>
      <c r="R18" s="72"/>
      <c r="S18" s="72"/>
      <c r="T18" s="72"/>
      <c r="U18" s="72">
        <f t="shared" ref="U18:U26" si="2">SUM(Q18:T18)</f>
        <v>0</v>
      </c>
      <c r="V18" s="162"/>
      <c r="W18" s="243">
        <f t="shared" ref="W18:W26" si="3">O18+U18</f>
        <v>0</v>
      </c>
      <c r="X18" s="339">
        <f>907.923</f>
        <v>907.923</v>
      </c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70"/>
    </row>
    <row r="19" spans="1:38" ht="33" customHeight="1" x14ac:dyDescent="0.25">
      <c r="A19" s="82">
        <v>2</v>
      </c>
      <c r="B19" s="674" t="s">
        <v>281</v>
      </c>
      <c r="C19" s="28" t="s">
        <v>280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>
        <f t="shared" si="1"/>
        <v>0</v>
      </c>
      <c r="P19" s="72"/>
      <c r="Q19" s="72"/>
      <c r="R19" s="72"/>
      <c r="S19" s="72"/>
      <c r="T19" s="72"/>
      <c r="U19" s="72">
        <f t="shared" si="2"/>
        <v>0</v>
      </c>
      <c r="V19" s="162"/>
      <c r="W19" s="243">
        <f t="shared" si="3"/>
        <v>0</v>
      </c>
      <c r="X19" s="339">
        <f>1712.309</f>
        <v>1712.309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70"/>
    </row>
    <row r="20" spans="1:38" ht="33" customHeight="1" x14ac:dyDescent="0.25">
      <c r="A20" s="231">
        <v>3</v>
      </c>
      <c r="B20" s="677" t="s">
        <v>313</v>
      </c>
      <c r="C20" s="33" t="s">
        <v>312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>
        <f t="shared" si="1"/>
        <v>0</v>
      </c>
      <c r="P20" s="72"/>
      <c r="Q20" s="72"/>
      <c r="R20" s="72"/>
      <c r="S20" s="72"/>
      <c r="T20" s="72"/>
      <c r="U20" s="72">
        <f t="shared" si="2"/>
        <v>0</v>
      </c>
      <c r="V20" s="162"/>
      <c r="W20" s="243">
        <f t="shared" si="3"/>
        <v>0</v>
      </c>
      <c r="X20" s="339">
        <f>3810</f>
        <v>3810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70"/>
    </row>
    <row r="21" spans="1:38" ht="30" hidden="1" customHeight="1" x14ac:dyDescent="0.25">
      <c r="A21" s="231"/>
      <c r="B21" s="232"/>
      <c r="C21" s="33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>
        <f t="shared" si="1"/>
        <v>0</v>
      </c>
      <c r="P21" s="72"/>
      <c r="Q21" s="72"/>
      <c r="R21" s="72"/>
      <c r="S21" s="72"/>
      <c r="T21" s="72"/>
      <c r="U21" s="72">
        <f t="shared" si="2"/>
        <v>0</v>
      </c>
      <c r="V21" s="162"/>
      <c r="W21" s="243">
        <f t="shared" si="3"/>
        <v>0</v>
      </c>
      <c r="X21" s="33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70"/>
    </row>
    <row r="22" spans="1:38" ht="30" hidden="1" customHeight="1" x14ac:dyDescent="0.25">
      <c r="A22" s="231"/>
      <c r="B22" s="232"/>
      <c r="C22" s="33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>
        <f t="shared" si="1"/>
        <v>0</v>
      </c>
      <c r="P22" s="72"/>
      <c r="Q22" s="72"/>
      <c r="R22" s="72"/>
      <c r="S22" s="72"/>
      <c r="T22" s="72"/>
      <c r="U22" s="72">
        <f t="shared" si="2"/>
        <v>0</v>
      </c>
      <c r="V22" s="162"/>
      <c r="W22" s="243">
        <f t="shared" si="3"/>
        <v>0</v>
      </c>
      <c r="X22" s="33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70"/>
    </row>
    <row r="23" spans="1:38" ht="30" hidden="1" customHeight="1" x14ac:dyDescent="0.25">
      <c r="A23" s="231"/>
      <c r="B23" s="232"/>
      <c r="C23" s="33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>
        <f t="shared" si="1"/>
        <v>0</v>
      </c>
      <c r="P23" s="72"/>
      <c r="Q23" s="72"/>
      <c r="R23" s="72"/>
      <c r="S23" s="72"/>
      <c r="T23" s="72"/>
      <c r="U23" s="72">
        <f t="shared" si="2"/>
        <v>0</v>
      </c>
      <c r="V23" s="162"/>
      <c r="W23" s="243">
        <f t="shared" si="3"/>
        <v>0</v>
      </c>
      <c r="X23" s="33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70"/>
    </row>
    <row r="24" spans="1:38" ht="30" hidden="1" customHeight="1" x14ac:dyDescent="0.25">
      <c r="A24" s="231"/>
      <c r="B24" s="232"/>
      <c r="C24" s="33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>
        <f t="shared" si="1"/>
        <v>0</v>
      </c>
      <c r="P24" s="72"/>
      <c r="Q24" s="72"/>
      <c r="R24" s="72"/>
      <c r="S24" s="72"/>
      <c r="T24" s="72"/>
      <c r="U24" s="72">
        <f t="shared" si="2"/>
        <v>0</v>
      </c>
      <c r="V24" s="162"/>
      <c r="W24" s="243">
        <f t="shared" si="3"/>
        <v>0</v>
      </c>
      <c r="X24" s="33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70"/>
    </row>
    <row r="25" spans="1:38" ht="30" customHeight="1" x14ac:dyDescent="0.25">
      <c r="A25" s="231"/>
      <c r="B25" s="232"/>
      <c r="C25" s="33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162"/>
      <c r="W25" s="243"/>
      <c r="X25" s="33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70"/>
    </row>
    <row r="26" spans="1:38" ht="30" customHeight="1" x14ac:dyDescent="0.25">
      <c r="A26" s="82"/>
      <c r="B26" s="141"/>
      <c r="C26" s="2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162"/>
      <c r="W26" s="243"/>
      <c r="X26" s="33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70"/>
    </row>
    <row r="27" spans="1:38" ht="9.9499999999999993" customHeight="1" x14ac:dyDescent="0.25">
      <c r="A27" s="82"/>
      <c r="B27" s="141"/>
      <c r="C27" s="2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162"/>
      <c r="W27" s="243"/>
      <c r="X27" s="33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70"/>
    </row>
    <row r="28" spans="1:38" ht="30" customHeight="1" x14ac:dyDescent="0.25">
      <c r="A28" s="216" t="s">
        <v>89</v>
      </c>
      <c r="B28" s="212"/>
      <c r="C28" s="217" t="s">
        <v>87</v>
      </c>
      <c r="D28" s="72">
        <f t="shared" ref="D28:O28" si="4">SUM(D17:D27)</f>
        <v>0</v>
      </c>
      <c r="E28" s="72">
        <f t="shared" si="4"/>
        <v>0</v>
      </c>
      <c r="F28" s="72">
        <f t="shared" si="4"/>
        <v>0</v>
      </c>
      <c r="G28" s="72">
        <f t="shared" si="4"/>
        <v>0</v>
      </c>
      <c r="H28" s="72">
        <f t="shared" si="4"/>
        <v>0</v>
      </c>
      <c r="I28" s="72">
        <f t="shared" si="4"/>
        <v>0</v>
      </c>
      <c r="J28" s="72">
        <f t="shared" si="4"/>
        <v>0</v>
      </c>
      <c r="K28" s="72">
        <f t="shared" si="4"/>
        <v>0</v>
      </c>
      <c r="L28" s="72">
        <f t="shared" si="4"/>
        <v>0</v>
      </c>
      <c r="M28" s="72">
        <f t="shared" si="4"/>
        <v>0</v>
      </c>
      <c r="N28" s="72">
        <f t="shared" si="4"/>
        <v>0</v>
      </c>
      <c r="O28" s="72">
        <f t="shared" si="4"/>
        <v>0</v>
      </c>
      <c r="P28" s="72"/>
      <c r="Q28" s="72"/>
      <c r="R28" s="72"/>
      <c r="S28" s="72">
        <f>SUM(S17:S27)</f>
        <v>0</v>
      </c>
      <c r="T28" s="72">
        <f>SUM(T17:T27)</f>
        <v>0</v>
      </c>
      <c r="U28" s="72">
        <f>SUM(U17:U27)</f>
        <v>0</v>
      </c>
      <c r="V28" s="214"/>
      <c r="W28" s="244">
        <f>O28+U28</f>
        <v>0</v>
      </c>
      <c r="X28" s="339">
        <f>SUM(X17:X27)</f>
        <v>6430.232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70"/>
    </row>
    <row r="29" spans="1:38" ht="23.25" customHeight="1" x14ac:dyDescent="0.25">
      <c r="A29" s="82"/>
      <c r="B29" s="141"/>
      <c r="C29" s="28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162"/>
      <c r="W29" s="243"/>
      <c r="X29" s="33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70"/>
    </row>
    <row r="30" spans="1:38" ht="33" customHeight="1" x14ac:dyDescent="0.25">
      <c r="A30" s="82">
        <v>4</v>
      </c>
      <c r="B30" s="232" t="s">
        <v>290</v>
      </c>
      <c r="C30" s="28" t="s">
        <v>276</v>
      </c>
      <c r="D30" s="467"/>
      <c r="E30" s="467"/>
      <c r="F30" s="467">
        <f>3251.484</f>
        <v>3251.4839999999999</v>
      </c>
      <c r="G30" s="467"/>
      <c r="H30" s="671"/>
      <c r="I30" s="467"/>
      <c r="J30" s="467"/>
      <c r="K30" s="467"/>
      <c r="L30" s="467"/>
      <c r="M30" s="467"/>
      <c r="N30" s="467"/>
      <c r="O30" s="467">
        <f>SUM(D30:N30)</f>
        <v>3251.4839999999999</v>
      </c>
      <c r="P30" s="467"/>
      <c r="Q30" s="467"/>
      <c r="R30" s="467"/>
      <c r="S30" s="467"/>
      <c r="T30" s="467"/>
      <c r="U30" s="467">
        <f>SUM(Q30:T30)</f>
        <v>0</v>
      </c>
      <c r="V30" s="162"/>
      <c r="W30" s="243">
        <f>O30+U30</f>
        <v>3251.4839999999999</v>
      </c>
      <c r="X30" s="33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70"/>
    </row>
    <row r="31" spans="1:38" ht="33" customHeight="1" x14ac:dyDescent="0.25">
      <c r="A31" s="82">
        <v>5</v>
      </c>
      <c r="B31" s="673" t="s">
        <v>293</v>
      </c>
      <c r="C31" s="41" t="s">
        <v>346</v>
      </c>
      <c r="D31" s="467"/>
      <c r="E31" s="467"/>
      <c r="F31" s="671"/>
      <c r="G31" s="467"/>
      <c r="H31" s="467">
        <f>112</f>
        <v>112</v>
      </c>
      <c r="I31" s="467"/>
      <c r="J31" s="467"/>
      <c r="K31" s="467"/>
      <c r="L31" s="467">
        <f>414</f>
        <v>414</v>
      </c>
      <c r="M31" s="467"/>
      <c r="N31" s="467"/>
      <c r="O31" s="467">
        <f>SUM(D31:N31)</f>
        <v>526</v>
      </c>
      <c r="P31" s="467"/>
      <c r="Q31" s="467"/>
      <c r="R31" s="467"/>
      <c r="S31" s="467"/>
      <c r="T31" s="467"/>
      <c r="U31" s="467">
        <f>SUM(Q31:T31)</f>
        <v>0</v>
      </c>
      <c r="V31" s="162"/>
      <c r="W31" s="243">
        <f>O31+U31</f>
        <v>526</v>
      </c>
      <c r="X31" s="33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70"/>
    </row>
    <row r="32" spans="1:38" ht="33" customHeight="1" x14ac:dyDescent="0.25">
      <c r="A32" s="82">
        <v>6</v>
      </c>
      <c r="B32" s="677" t="s">
        <v>332</v>
      </c>
      <c r="C32" s="28" t="s">
        <v>276</v>
      </c>
      <c r="D32" s="467"/>
      <c r="E32" s="467"/>
      <c r="F32" s="467">
        <f>414.969</f>
        <v>414.96899999999999</v>
      </c>
      <c r="G32" s="467"/>
      <c r="H32" s="467"/>
      <c r="I32" s="467"/>
      <c r="J32" s="467"/>
      <c r="K32" s="467"/>
      <c r="L32" s="467"/>
      <c r="M32" s="467"/>
      <c r="N32" s="467"/>
      <c r="O32" s="467">
        <f>SUM(D32:N32)</f>
        <v>414.96899999999999</v>
      </c>
      <c r="P32" s="467"/>
      <c r="Q32" s="467"/>
      <c r="R32" s="467"/>
      <c r="S32" s="467"/>
      <c r="T32" s="467"/>
      <c r="U32" s="467">
        <f>SUM(Q32:T32)</f>
        <v>0</v>
      </c>
      <c r="V32" s="162"/>
      <c r="W32" s="243">
        <f>O32+U32</f>
        <v>414.96899999999999</v>
      </c>
      <c r="X32" s="33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70"/>
    </row>
    <row r="33" spans="1:38" ht="30" hidden="1" customHeight="1" x14ac:dyDescent="0.25">
      <c r="A33" s="82" t="s">
        <v>114</v>
      </c>
      <c r="B33" s="232"/>
      <c r="C33" s="28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>
        <f t="shared" ref="O33:O38" si="5">SUM(D33:N33)</f>
        <v>0</v>
      </c>
      <c r="P33" s="467"/>
      <c r="Q33" s="467"/>
      <c r="R33" s="467"/>
      <c r="S33" s="467"/>
      <c r="T33" s="467"/>
      <c r="U33" s="467">
        <f t="shared" ref="U33:U38" si="6">SUM(Q33:T33)</f>
        <v>0</v>
      </c>
      <c r="V33" s="162"/>
      <c r="W33" s="243">
        <f t="shared" ref="W33:W38" si="7">O33+U33</f>
        <v>0</v>
      </c>
      <c r="X33" s="33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70"/>
    </row>
    <row r="34" spans="1:38" ht="30" hidden="1" customHeight="1" x14ac:dyDescent="0.25">
      <c r="A34" s="82" t="s">
        <v>114</v>
      </c>
      <c r="B34" s="232"/>
      <c r="C34" s="28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>
        <f t="shared" si="5"/>
        <v>0</v>
      </c>
      <c r="P34" s="467"/>
      <c r="Q34" s="467"/>
      <c r="R34" s="467"/>
      <c r="S34" s="467"/>
      <c r="T34" s="467"/>
      <c r="U34" s="467">
        <f t="shared" si="6"/>
        <v>0</v>
      </c>
      <c r="V34" s="162"/>
      <c r="W34" s="243">
        <f t="shared" si="7"/>
        <v>0</v>
      </c>
      <c r="X34" s="33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70"/>
    </row>
    <row r="35" spans="1:38" ht="30" hidden="1" customHeight="1" x14ac:dyDescent="0.25">
      <c r="A35" s="82"/>
      <c r="B35" s="141"/>
      <c r="C35" s="28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>
        <f t="shared" si="5"/>
        <v>0</v>
      </c>
      <c r="P35" s="467"/>
      <c r="Q35" s="467"/>
      <c r="R35" s="467"/>
      <c r="S35" s="467"/>
      <c r="T35" s="467"/>
      <c r="U35" s="467">
        <f t="shared" si="6"/>
        <v>0</v>
      </c>
      <c r="V35" s="162"/>
      <c r="W35" s="243">
        <f t="shared" si="7"/>
        <v>0</v>
      </c>
      <c r="X35" s="33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70"/>
    </row>
    <row r="36" spans="1:38" ht="30" hidden="1" customHeight="1" x14ac:dyDescent="0.25">
      <c r="A36" s="82"/>
      <c r="B36" s="141"/>
      <c r="C36" s="28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>
        <f t="shared" si="5"/>
        <v>0</v>
      </c>
      <c r="P36" s="467"/>
      <c r="Q36" s="467"/>
      <c r="R36" s="467"/>
      <c r="S36" s="467"/>
      <c r="T36" s="467"/>
      <c r="U36" s="467">
        <f t="shared" si="6"/>
        <v>0</v>
      </c>
      <c r="V36" s="162"/>
      <c r="W36" s="243">
        <f t="shared" si="7"/>
        <v>0</v>
      </c>
      <c r="X36" s="33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70"/>
    </row>
    <row r="37" spans="1:38" ht="30" customHeight="1" x14ac:dyDescent="0.25">
      <c r="A37" s="82"/>
      <c r="B37" s="141"/>
      <c r="C37" s="28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162"/>
      <c r="W37" s="243"/>
      <c r="X37" s="33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70"/>
    </row>
    <row r="38" spans="1:38" ht="30" customHeight="1" x14ac:dyDescent="0.25">
      <c r="A38" s="82"/>
      <c r="B38" s="141"/>
      <c r="C38" s="28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162"/>
      <c r="W38" s="243"/>
      <c r="X38" s="33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70"/>
    </row>
    <row r="39" spans="1:38" ht="9.9499999999999993" customHeight="1" x14ac:dyDescent="0.25">
      <c r="A39" s="82"/>
      <c r="B39" s="141"/>
      <c r="C39" s="28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162"/>
      <c r="W39" s="243"/>
      <c r="X39" s="33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70"/>
    </row>
    <row r="40" spans="1:38" ht="30" customHeight="1" x14ac:dyDescent="0.25">
      <c r="A40" s="216" t="s">
        <v>90</v>
      </c>
      <c r="B40" s="212"/>
      <c r="C40" s="217" t="s">
        <v>88</v>
      </c>
      <c r="D40" s="622"/>
      <c r="E40" s="467">
        <f>SUM(E30:E39)</f>
        <v>0</v>
      </c>
      <c r="F40" s="467">
        <f t="shared" ref="F40:K40" si="8">SUM(F30:F39)</f>
        <v>3666.453</v>
      </c>
      <c r="G40" s="467">
        <f t="shared" si="8"/>
        <v>0</v>
      </c>
      <c r="H40" s="467">
        <f t="shared" si="8"/>
        <v>112</v>
      </c>
      <c r="I40" s="467">
        <f t="shared" si="8"/>
        <v>0</v>
      </c>
      <c r="J40" s="467">
        <f t="shared" si="8"/>
        <v>0</v>
      </c>
      <c r="K40" s="467">
        <f t="shared" si="8"/>
        <v>0</v>
      </c>
      <c r="L40" s="467">
        <f t="shared" ref="L40:U40" si="9">SUM(L30:L39)</f>
        <v>414</v>
      </c>
      <c r="M40" s="467">
        <f t="shared" si="9"/>
        <v>0</v>
      </c>
      <c r="N40" s="467">
        <f t="shared" si="9"/>
        <v>0</v>
      </c>
      <c r="O40" s="467">
        <f t="shared" si="9"/>
        <v>4192.4529999999995</v>
      </c>
      <c r="P40" s="467"/>
      <c r="Q40" s="467"/>
      <c r="R40" s="467"/>
      <c r="S40" s="467">
        <f t="shared" si="9"/>
        <v>0</v>
      </c>
      <c r="T40" s="467">
        <f t="shared" si="9"/>
        <v>0</v>
      </c>
      <c r="U40" s="467">
        <f t="shared" si="9"/>
        <v>0</v>
      </c>
      <c r="V40" s="214"/>
      <c r="W40" s="244">
        <f>O40+U40</f>
        <v>4192.4529999999995</v>
      </c>
      <c r="X40" s="339">
        <f>SUM(X30:X39)</f>
        <v>0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70"/>
    </row>
    <row r="41" spans="1:38" ht="20.100000000000001" customHeight="1" thickBot="1" x14ac:dyDescent="0.3">
      <c r="A41" s="68"/>
      <c r="B41" s="120"/>
      <c r="C41" s="28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146"/>
      <c r="W41" s="245"/>
      <c r="X41" s="252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70"/>
    </row>
    <row r="42" spans="1:38" ht="24.95" customHeight="1" thickTop="1" thickBot="1" x14ac:dyDescent="0.3">
      <c r="A42" s="35"/>
      <c r="B42" s="36"/>
      <c r="C42" s="44" t="s">
        <v>91</v>
      </c>
      <c r="D42" s="37">
        <f t="shared" ref="D42:U42" si="10">D28+D40</f>
        <v>0</v>
      </c>
      <c r="E42" s="37">
        <f t="shared" si="10"/>
        <v>0</v>
      </c>
      <c r="F42" s="37">
        <f t="shared" si="10"/>
        <v>3666.453</v>
      </c>
      <c r="G42" s="37">
        <f t="shared" si="10"/>
        <v>0</v>
      </c>
      <c r="H42" s="37">
        <f t="shared" si="10"/>
        <v>112</v>
      </c>
      <c r="I42" s="37">
        <f t="shared" si="10"/>
        <v>0</v>
      </c>
      <c r="J42" s="37">
        <f t="shared" si="10"/>
        <v>0</v>
      </c>
      <c r="K42" s="37">
        <f t="shared" si="10"/>
        <v>0</v>
      </c>
      <c r="L42" s="37">
        <f t="shared" si="10"/>
        <v>414</v>
      </c>
      <c r="M42" s="37">
        <f t="shared" si="10"/>
        <v>0</v>
      </c>
      <c r="N42" s="37">
        <f t="shared" si="10"/>
        <v>0</v>
      </c>
      <c r="O42" s="37">
        <f t="shared" si="10"/>
        <v>4192.4529999999995</v>
      </c>
      <c r="P42" s="37"/>
      <c r="Q42" s="37">
        <f>Q28+Q40</f>
        <v>0</v>
      </c>
      <c r="R42" s="37">
        <f>R28+R40</f>
        <v>0</v>
      </c>
      <c r="S42" s="37">
        <f t="shared" si="10"/>
        <v>0</v>
      </c>
      <c r="T42" s="37">
        <f t="shared" si="10"/>
        <v>0</v>
      </c>
      <c r="U42" s="37">
        <f t="shared" si="10"/>
        <v>0</v>
      </c>
      <c r="V42" s="215"/>
      <c r="W42" s="246">
        <f>W28+W40</f>
        <v>4192.4529999999995</v>
      </c>
      <c r="X42" s="38">
        <f>X28+X40</f>
        <v>6430.232</v>
      </c>
    </row>
    <row r="43" spans="1:38" ht="24.95" customHeight="1" thickTop="1" thickBot="1" x14ac:dyDescent="0.3">
      <c r="A43" s="35"/>
      <c r="B43" s="36"/>
      <c r="C43" s="44" t="s">
        <v>151</v>
      </c>
      <c r="D43" s="210">
        <f t="shared" ref="D43:O43" si="11">D16+D42</f>
        <v>0</v>
      </c>
      <c r="E43" s="210">
        <f t="shared" si="11"/>
        <v>0</v>
      </c>
      <c r="F43" s="210">
        <f t="shared" si="11"/>
        <v>3666.453</v>
      </c>
      <c r="G43" s="210">
        <f t="shared" si="11"/>
        <v>5150</v>
      </c>
      <c r="H43" s="210">
        <f t="shared" si="11"/>
        <v>10144</v>
      </c>
      <c r="I43" s="210">
        <f t="shared" si="11"/>
        <v>0</v>
      </c>
      <c r="J43" s="210">
        <f t="shared" si="11"/>
        <v>0</v>
      </c>
      <c r="K43" s="210">
        <f t="shared" si="11"/>
        <v>0</v>
      </c>
      <c r="L43" s="210">
        <f t="shared" si="11"/>
        <v>564</v>
      </c>
      <c r="M43" s="210">
        <f t="shared" si="11"/>
        <v>1200</v>
      </c>
      <c r="N43" s="37">
        <f t="shared" si="11"/>
        <v>0</v>
      </c>
      <c r="O43" s="37">
        <f t="shared" si="11"/>
        <v>20724.453000000001</v>
      </c>
      <c r="P43" s="37"/>
      <c r="Q43" s="37">
        <f>Q16+Q42</f>
        <v>0</v>
      </c>
      <c r="R43" s="37">
        <f>R16+R42</f>
        <v>93504</v>
      </c>
      <c r="S43" s="37">
        <f>S16+S42</f>
        <v>0</v>
      </c>
      <c r="T43" s="37">
        <f>T16+T42</f>
        <v>0</v>
      </c>
      <c r="U43" s="37">
        <f>U16+U42</f>
        <v>93504</v>
      </c>
      <c r="V43" s="37"/>
      <c r="W43" s="246">
        <f>O43+U43</f>
        <v>114228.45300000001</v>
      </c>
      <c r="X43" s="239">
        <f>X16+X42</f>
        <v>2635435.2319999998</v>
      </c>
    </row>
    <row r="44" spans="1:38" ht="15" customHeight="1" thickTop="1" thickBot="1" x14ac:dyDescent="0.3">
      <c r="A44" s="35"/>
      <c r="B44" s="36"/>
      <c r="C44" s="44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37"/>
      <c r="O44" s="37"/>
      <c r="P44" s="37"/>
      <c r="Q44" s="37"/>
      <c r="R44" s="37"/>
      <c r="S44" s="37"/>
      <c r="T44" s="37"/>
      <c r="U44" s="37"/>
      <c r="V44" s="37"/>
      <c r="W44" s="246"/>
      <c r="X44" s="239"/>
    </row>
    <row r="45" spans="1:38" ht="24.95" customHeight="1" thickTop="1" thickBot="1" x14ac:dyDescent="0.3">
      <c r="A45" s="35"/>
      <c r="B45" s="36"/>
      <c r="C45" s="315" t="s">
        <v>231</v>
      </c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37"/>
      <c r="O45" s="37">
        <f>SUM(D45:N45)</f>
        <v>0</v>
      </c>
      <c r="P45" s="37"/>
      <c r="Q45" s="37"/>
      <c r="R45" s="646">
        <f>202060.537+31432</f>
        <v>233492.53700000001</v>
      </c>
      <c r="S45" s="646"/>
      <c r="T45" s="37"/>
      <c r="U45" s="37">
        <f>SUM(Q45:T45)</f>
        <v>233492.53700000001</v>
      </c>
      <c r="V45" s="37"/>
      <c r="W45" s="246">
        <f>O45+U45</f>
        <v>233492.53700000001</v>
      </c>
      <c r="X45" s="239"/>
    </row>
    <row r="46" spans="1:38" ht="15" hidden="1" customHeight="1" thickTop="1" thickBot="1" x14ac:dyDescent="0.3">
      <c r="A46" s="35"/>
      <c r="B46" s="36"/>
      <c r="C46" s="315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37"/>
      <c r="O46" s="37"/>
      <c r="P46" s="37"/>
      <c r="Q46" s="37"/>
      <c r="R46" s="37"/>
      <c r="S46" s="37"/>
      <c r="T46" s="37"/>
      <c r="U46" s="37"/>
      <c r="V46" s="37"/>
      <c r="W46" s="246"/>
      <c r="X46" s="239"/>
    </row>
    <row r="47" spans="1:38" ht="24.95" hidden="1" customHeight="1" thickTop="1" thickBot="1" x14ac:dyDescent="0.3">
      <c r="A47" s="35"/>
      <c r="B47" s="36"/>
      <c r="C47" s="315" t="s">
        <v>86</v>
      </c>
      <c r="D47" s="210"/>
      <c r="E47" s="210"/>
      <c r="F47" s="210"/>
      <c r="G47" s="210"/>
      <c r="H47" s="210"/>
      <c r="I47" s="210"/>
      <c r="J47" s="210"/>
      <c r="K47" s="210"/>
      <c r="L47" s="210"/>
      <c r="M47" s="37"/>
      <c r="N47" s="37"/>
      <c r="O47" s="37">
        <f>SUM(D47:N47)</f>
        <v>0</v>
      </c>
      <c r="P47" s="37"/>
      <c r="Q47" s="37"/>
      <c r="R47" s="37"/>
      <c r="S47" s="37"/>
      <c r="T47" s="37"/>
      <c r="U47" s="37">
        <f>SUM(Q47:T47)</f>
        <v>0</v>
      </c>
      <c r="V47" s="210"/>
      <c r="W47" s="246">
        <f>O47+U47</f>
        <v>0</v>
      </c>
      <c r="X47" s="239"/>
    </row>
    <row r="48" spans="1:38" ht="15" customHeight="1" thickTop="1" thickBot="1" x14ac:dyDescent="0.3">
      <c r="A48" s="35"/>
      <c r="B48" s="36"/>
      <c r="C48" s="315"/>
      <c r="D48" s="210"/>
      <c r="E48" s="210"/>
      <c r="F48" s="210"/>
      <c r="G48" s="210"/>
      <c r="H48" s="210"/>
      <c r="I48" s="210"/>
      <c r="J48" s="210"/>
      <c r="K48" s="210"/>
      <c r="L48" s="210"/>
      <c r="M48" s="37"/>
      <c r="N48" s="37"/>
      <c r="O48" s="37"/>
      <c r="P48" s="37"/>
      <c r="Q48" s="37"/>
      <c r="R48" s="37"/>
      <c r="S48" s="37"/>
      <c r="T48" s="37"/>
      <c r="U48" s="37"/>
      <c r="V48" s="210"/>
      <c r="W48" s="246"/>
      <c r="X48" s="239"/>
    </row>
    <row r="49" spans="1:24" ht="30" customHeight="1" thickTop="1" thickBot="1" x14ac:dyDescent="0.3">
      <c r="A49" s="35"/>
      <c r="B49" s="230" t="s">
        <v>171</v>
      </c>
      <c r="C49" s="44" t="s">
        <v>232</v>
      </c>
      <c r="D49" s="37">
        <f t="shared" ref="D49:U49" si="12">D43+D45+D47</f>
        <v>0</v>
      </c>
      <c r="E49" s="37">
        <f t="shared" si="12"/>
        <v>0</v>
      </c>
      <c r="F49" s="37">
        <f t="shared" si="12"/>
        <v>3666.453</v>
      </c>
      <c r="G49" s="37">
        <f t="shared" si="12"/>
        <v>5150</v>
      </c>
      <c r="H49" s="37">
        <f t="shared" si="12"/>
        <v>10144</v>
      </c>
      <c r="I49" s="37">
        <f t="shared" si="12"/>
        <v>0</v>
      </c>
      <c r="J49" s="37">
        <f t="shared" si="12"/>
        <v>0</v>
      </c>
      <c r="K49" s="37">
        <f t="shared" si="12"/>
        <v>0</v>
      </c>
      <c r="L49" s="37">
        <f t="shared" si="12"/>
        <v>564</v>
      </c>
      <c r="M49" s="37">
        <f t="shared" si="12"/>
        <v>1200</v>
      </c>
      <c r="N49" s="37">
        <f t="shared" si="12"/>
        <v>0</v>
      </c>
      <c r="O49" s="37">
        <f t="shared" si="12"/>
        <v>20724.453000000001</v>
      </c>
      <c r="P49" s="37"/>
      <c r="Q49" s="37">
        <f t="shared" si="12"/>
        <v>0</v>
      </c>
      <c r="R49" s="37">
        <f t="shared" si="12"/>
        <v>326996.53700000001</v>
      </c>
      <c r="S49" s="37">
        <f t="shared" si="12"/>
        <v>0</v>
      </c>
      <c r="T49" s="37">
        <f t="shared" si="12"/>
        <v>0</v>
      </c>
      <c r="U49" s="37">
        <f t="shared" si="12"/>
        <v>326996.53700000001</v>
      </c>
      <c r="V49" s="210"/>
      <c r="W49" s="246">
        <f>W43+W45+W47</f>
        <v>347720.99</v>
      </c>
      <c r="X49" s="239">
        <f>X43+X45</f>
        <v>2635435.2319999998</v>
      </c>
    </row>
    <row r="50" spans="1:24" ht="24.95" hidden="1" customHeight="1" thickTop="1" x14ac:dyDescent="0.25">
      <c r="A50" s="22"/>
      <c r="B50" s="23"/>
      <c r="C50" s="24" t="s">
        <v>18</v>
      </c>
      <c r="D50" s="25">
        <f t="shared" ref="D50:L50" si="13">D49</f>
        <v>0</v>
      </c>
      <c r="E50" s="25">
        <f t="shared" si="13"/>
        <v>0</v>
      </c>
      <c r="F50" s="25">
        <f t="shared" si="13"/>
        <v>3666.453</v>
      </c>
      <c r="G50" s="25">
        <f t="shared" si="13"/>
        <v>5150</v>
      </c>
      <c r="H50" s="25">
        <f t="shared" si="13"/>
        <v>10144</v>
      </c>
      <c r="I50" s="25">
        <f t="shared" si="13"/>
        <v>0</v>
      </c>
      <c r="J50" s="25">
        <f t="shared" si="13"/>
        <v>0</v>
      </c>
      <c r="K50" s="25">
        <f t="shared" si="13"/>
        <v>0</v>
      </c>
      <c r="L50" s="25">
        <f t="shared" si="13"/>
        <v>564</v>
      </c>
      <c r="M50" s="25">
        <f t="shared" ref="M50:U50" si="14">M49</f>
        <v>1200</v>
      </c>
      <c r="N50" s="25">
        <f t="shared" si="14"/>
        <v>0</v>
      </c>
      <c r="O50" s="25">
        <f t="shared" si="14"/>
        <v>20724.453000000001</v>
      </c>
      <c r="P50" s="25"/>
      <c r="Q50" s="25">
        <f>Q49</f>
        <v>0</v>
      </c>
      <c r="R50" s="25">
        <f>R49</f>
        <v>326996.53700000001</v>
      </c>
      <c r="S50" s="25">
        <f t="shared" si="14"/>
        <v>0</v>
      </c>
      <c r="T50" s="25">
        <f t="shared" si="14"/>
        <v>0</v>
      </c>
      <c r="U50" s="25">
        <f t="shared" si="14"/>
        <v>326996.53700000001</v>
      </c>
      <c r="V50" s="25"/>
      <c r="W50" s="247">
        <f>O50+U50</f>
        <v>347720.99</v>
      </c>
      <c r="X50" s="254">
        <f>X49</f>
        <v>2635435.2319999998</v>
      </c>
    </row>
    <row r="51" spans="1:24" ht="24.95" hidden="1" customHeight="1" x14ac:dyDescent="0.25">
      <c r="A51" s="520"/>
      <c r="B51" s="521"/>
      <c r="C51" s="522"/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3"/>
      <c r="W51" s="523"/>
      <c r="X51" s="524"/>
    </row>
    <row r="52" spans="1:24" ht="30" hidden="1" customHeight="1" x14ac:dyDescent="0.2">
      <c r="A52" s="40">
        <v>1</v>
      </c>
      <c r="B52" s="186"/>
      <c r="C52" s="33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525">
        <f t="shared" ref="O52:O67" si="15">SUM(D52:N52)</f>
        <v>0</v>
      </c>
      <c r="P52" s="332"/>
      <c r="Q52" s="332"/>
      <c r="R52" s="332"/>
      <c r="S52" s="332"/>
      <c r="T52" s="332"/>
      <c r="U52" s="525">
        <f t="shared" ref="U52:U66" si="16">SUM(Q52:T52)</f>
        <v>0</v>
      </c>
      <c r="V52" s="333"/>
      <c r="W52" s="255">
        <f t="shared" ref="W52:W66" si="17">O52+U52</f>
        <v>0</v>
      </c>
      <c r="X52" s="398"/>
    </row>
    <row r="53" spans="1:24" ht="30" hidden="1" customHeight="1" x14ac:dyDescent="0.2">
      <c r="A53" s="40">
        <v>2</v>
      </c>
      <c r="B53" s="30"/>
      <c r="C53" s="41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>
        <f t="shared" si="15"/>
        <v>0</v>
      </c>
      <c r="P53" s="237"/>
      <c r="Q53" s="237"/>
      <c r="R53" s="237"/>
      <c r="S53" s="237"/>
      <c r="T53" s="237"/>
      <c r="U53" s="237">
        <f t="shared" si="16"/>
        <v>0</v>
      </c>
      <c r="V53" s="238"/>
      <c r="W53" s="255">
        <f t="shared" si="17"/>
        <v>0</v>
      </c>
      <c r="X53" s="398"/>
    </row>
    <row r="54" spans="1:24" ht="30" hidden="1" customHeight="1" x14ac:dyDescent="0.2">
      <c r="A54" s="40">
        <v>3</v>
      </c>
      <c r="B54" s="30"/>
      <c r="C54" s="41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>
        <f t="shared" si="15"/>
        <v>0</v>
      </c>
      <c r="P54" s="237"/>
      <c r="Q54" s="237"/>
      <c r="R54" s="237"/>
      <c r="S54" s="237"/>
      <c r="T54" s="237"/>
      <c r="U54" s="237">
        <f t="shared" si="16"/>
        <v>0</v>
      </c>
      <c r="V54" s="238"/>
      <c r="W54" s="255">
        <f t="shared" si="17"/>
        <v>0</v>
      </c>
      <c r="X54" s="398"/>
    </row>
    <row r="55" spans="1:24" ht="24.95" hidden="1" customHeight="1" x14ac:dyDescent="0.2">
      <c r="A55" s="40">
        <v>4</v>
      </c>
      <c r="B55" s="27"/>
      <c r="C55" s="34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>
        <f t="shared" si="15"/>
        <v>0</v>
      </c>
      <c r="P55" s="237"/>
      <c r="Q55" s="237"/>
      <c r="R55" s="237"/>
      <c r="S55" s="237"/>
      <c r="T55" s="237"/>
      <c r="U55" s="237">
        <f t="shared" si="16"/>
        <v>0</v>
      </c>
      <c r="V55" s="238"/>
      <c r="W55" s="255">
        <f t="shared" si="17"/>
        <v>0</v>
      </c>
      <c r="X55" s="256"/>
    </row>
    <row r="56" spans="1:24" ht="24.95" hidden="1" customHeight="1" x14ac:dyDescent="0.2">
      <c r="A56" s="40">
        <v>5</v>
      </c>
      <c r="B56" s="27"/>
      <c r="C56" s="28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>
        <f t="shared" si="15"/>
        <v>0</v>
      </c>
      <c r="P56" s="237"/>
      <c r="Q56" s="237"/>
      <c r="R56" s="237"/>
      <c r="S56" s="237"/>
      <c r="T56" s="237"/>
      <c r="U56" s="237">
        <f t="shared" si="16"/>
        <v>0</v>
      </c>
      <c r="V56" s="238"/>
      <c r="W56" s="255">
        <f t="shared" si="17"/>
        <v>0</v>
      </c>
      <c r="X56" s="256"/>
    </row>
    <row r="57" spans="1:24" ht="24.95" hidden="1" customHeight="1" x14ac:dyDescent="0.2">
      <c r="A57" s="40">
        <v>6</v>
      </c>
      <c r="B57" s="75"/>
      <c r="C57" s="34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>
        <f t="shared" si="15"/>
        <v>0</v>
      </c>
      <c r="P57" s="237"/>
      <c r="Q57" s="237"/>
      <c r="R57" s="237"/>
      <c r="S57" s="237"/>
      <c r="T57" s="237"/>
      <c r="U57" s="237">
        <f t="shared" si="16"/>
        <v>0</v>
      </c>
      <c r="V57" s="238"/>
      <c r="W57" s="255">
        <f t="shared" si="17"/>
        <v>0</v>
      </c>
      <c r="X57" s="256"/>
    </row>
    <row r="58" spans="1:24" ht="24.95" hidden="1" customHeight="1" x14ac:dyDescent="0.2">
      <c r="A58" s="40">
        <v>7</v>
      </c>
      <c r="B58" s="331"/>
      <c r="C58" s="34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>
        <f t="shared" si="15"/>
        <v>0</v>
      </c>
      <c r="P58" s="237"/>
      <c r="Q58" s="237"/>
      <c r="R58" s="237"/>
      <c r="S58" s="237"/>
      <c r="T58" s="237"/>
      <c r="U58" s="237">
        <f t="shared" si="16"/>
        <v>0</v>
      </c>
      <c r="V58" s="238"/>
      <c r="W58" s="255">
        <f t="shared" si="17"/>
        <v>0</v>
      </c>
      <c r="X58" s="256"/>
    </row>
    <row r="59" spans="1:24" ht="24.95" hidden="1" customHeight="1" x14ac:dyDescent="0.2">
      <c r="A59" s="40">
        <v>8</v>
      </c>
      <c r="B59" s="27"/>
      <c r="C59" s="34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>
        <f t="shared" si="15"/>
        <v>0</v>
      </c>
      <c r="P59" s="237"/>
      <c r="Q59" s="237"/>
      <c r="R59" s="237"/>
      <c r="S59" s="237"/>
      <c r="T59" s="237"/>
      <c r="U59" s="237">
        <f t="shared" si="16"/>
        <v>0</v>
      </c>
      <c r="V59" s="238"/>
      <c r="W59" s="255">
        <f t="shared" si="17"/>
        <v>0</v>
      </c>
      <c r="X59" s="256"/>
    </row>
    <row r="60" spans="1:24" ht="24.95" hidden="1" customHeight="1" x14ac:dyDescent="0.2">
      <c r="A60" s="40">
        <v>9</v>
      </c>
      <c r="B60" s="330"/>
      <c r="C60" s="28"/>
      <c r="D60" s="237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>
        <f t="shared" si="15"/>
        <v>0</v>
      </c>
      <c r="P60" s="237"/>
      <c r="Q60" s="237"/>
      <c r="R60" s="237"/>
      <c r="S60" s="237"/>
      <c r="T60" s="237"/>
      <c r="U60" s="237">
        <f t="shared" si="16"/>
        <v>0</v>
      </c>
      <c r="V60" s="238"/>
      <c r="W60" s="255">
        <f t="shared" si="17"/>
        <v>0</v>
      </c>
      <c r="X60" s="256"/>
    </row>
    <row r="61" spans="1:24" ht="24.95" hidden="1" customHeight="1" x14ac:dyDescent="0.2">
      <c r="A61" s="40">
        <v>10</v>
      </c>
      <c r="B61" s="27"/>
      <c r="C61" s="28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>
        <f t="shared" si="15"/>
        <v>0</v>
      </c>
      <c r="P61" s="237"/>
      <c r="Q61" s="237"/>
      <c r="R61" s="237"/>
      <c r="S61" s="237"/>
      <c r="T61" s="237"/>
      <c r="U61" s="237">
        <f t="shared" si="16"/>
        <v>0</v>
      </c>
      <c r="V61" s="238"/>
      <c r="W61" s="255">
        <f t="shared" si="17"/>
        <v>0</v>
      </c>
      <c r="X61" s="256"/>
    </row>
    <row r="62" spans="1:24" ht="24.95" hidden="1" customHeight="1" x14ac:dyDescent="0.2">
      <c r="A62" s="40">
        <v>11</v>
      </c>
      <c r="B62" s="331"/>
      <c r="C62" s="28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>
        <f t="shared" si="15"/>
        <v>0</v>
      </c>
      <c r="P62" s="237"/>
      <c r="Q62" s="237"/>
      <c r="R62" s="237"/>
      <c r="S62" s="237"/>
      <c r="T62" s="237"/>
      <c r="U62" s="237">
        <f t="shared" si="16"/>
        <v>0</v>
      </c>
      <c r="V62" s="238"/>
      <c r="W62" s="255">
        <f t="shared" si="17"/>
        <v>0</v>
      </c>
      <c r="X62" s="256"/>
    </row>
    <row r="63" spans="1:24" ht="24.95" hidden="1" customHeight="1" x14ac:dyDescent="0.2">
      <c r="A63" s="40">
        <v>12</v>
      </c>
      <c r="B63" s="75"/>
      <c r="C63" s="28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>
        <f t="shared" si="15"/>
        <v>0</v>
      </c>
      <c r="P63" s="237"/>
      <c r="Q63" s="237"/>
      <c r="R63" s="237"/>
      <c r="S63" s="237"/>
      <c r="T63" s="237"/>
      <c r="U63" s="237">
        <f t="shared" si="16"/>
        <v>0</v>
      </c>
      <c r="V63" s="238"/>
      <c r="W63" s="255">
        <f t="shared" si="17"/>
        <v>0</v>
      </c>
      <c r="X63" s="256"/>
    </row>
    <row r="64" spans="1:24" ht="24.95" hidden="1" customHeight="1" x14ac:dyDescent="0.2">
      <c r="A64" s="40">
        <v>13</v>
      </c>
      <c r="B64" s="75"/>
      <c r="C64" s="41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>
        <f t="shared" si="15"/>
        <v>0</v>
      </c>
      <c r="P64" s="237"/>
      <c r="Q64" s="237"/>
      <c r="R64" s="237"/>
      <c r="S64" s="237"/>
      <c r="T64" s="237"/>
      <c r="U64" s="237">
        <f t="shared" si="16"/>
        <v>0</v>
      </c>
      <c r="V64" s="238"/>
      <c r="W64" s="255">
        <f t="shared" si="17"/>
        <v>0</v>
      </c>
      <c r="X64" s="256"/>
    </row>
    <row r="65" spans="1:24" ht="24.95" hidden="1" customHeight="1" x14ac:dyDescent="0.2">
      <c r="A65" s="40">
        <v>14</v>
      </c>
      <c r="B65" s="27"/>
      <c r="C65" s="41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>
        <f t="shared" si="15"/>
        <v>0</v>
      </c>
      <c r="P65" s="237"/>
      <c r="Q65" s="237"/>
      <c r="R65" s="237"/>
      <c r="S65" s="237"/>
      <c r="T65" s="237"/>
      <c r="U65" s="237">
        <f t="shared" si="16"/>
        <v>0</v>
      </c>
      <c r="V65" s="238"/>
      <c r="W65" s="255">
        <f t="shared" si="17"/>
        <v>0</v>
      </c>
      <c r="X65" s="256"/>
    </row>
    <row r="66" spans="1:24" ht="24.95" hidden="1" customHeight="1" x14ac:dyDescent="0.2">
      <c r="A66" s="40">
        <v>15</v>
      </c>
      <c r="B66" s="27"/>
      <c r="C66" s="41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>
        <f t="shared" si="15"/>
        <v>0</v>
      </c>
      <c r="P66" s="237"/>
      <c r="Q66" s="237"/>
      <c r="R66" s="237"/>
      <c r="S66" s="237"/>
      <c r="T66" s="237"/>
      <c r="U66" s="237">
        <f t="shared" si="16"/>
        <v>0</v>
      </c>
      <c r="V66" s="238"/>
      <c r="W66" s="255">
        <f t="shared" si="17"/>
        <v>0</v>
      </c>
      <c r="X66" s="256"/>
    </row>
    <row r="67" spans="1:24" ht="24.95" hidden="1" customHeight="1" x14ac:dyDescent="0.2">
      <c r="A67" s="40"/>
      <c r="B67" s="27"/>
      <c r="C67" s="41"/>
      <c r="D67" s="237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>
        <f t="shared" si="15"/>
        <v>0</v>
      </c>
      <c r="P67" s="237"/>
      <c r="Q67" s="237"/>
      <c r="R67" s="237"/>
      <c r="S67" s="237"/>
      <c r="T67" s="237"/>
      <c r="U67" s="237"/>
      <c r="V67" s="238"/>
      <c r="W67" s="255"/>
      <c r="X67" s="256"/>
    </row>
    <row r="68" spans="1:24" ht="24.95" hidden="1" customHeight="1" x14ac:dyDescent="0.2">
      <c r="A68" s="40"/>
      <c r="B68" s="140"/>
      <c r="C68" s="41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8"/>
      <c r="W68" s="255"/>
      <c r="X68" s="256"/>
    </row>
    <row r="69" spans="1:24" ht="9.9499999999999993" hidden="1" customHeight="1" x14ac:dyDescent="0.2">
      <c r="A69" s="40"/>
      <c r="B69" s="129"/>
      <c r="C69" s="41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8"/>
      <c r="W69" s="255"/>
      <c r="X69" s="256"/>
    </row>
    <row r="70" spans="1:24" ht="30" hidden="1" customHeight="1" x14ac:dyDescent="0.2">
      <c r="A70" s="216" t="s">
        <v>89</v>
      </c>
      <c r="B70" s="212"/>
      <c r="C70" s="217" t="s">
        <v>87</v>
      </c>
      <c r="D70" s="72">
        <f t="shared" ref="D70:O70" si="18">SUM(D52:D69)</f>
        <v>0</v>
      </c>
      <c r="E70" s="72">
        <f t="shared" si="18"/>
        <v>0</v>
      </c>
      <c r="F70" s="72">
        <f t="shared" si="18"/>
        <v>0</v>
      </c>
      <c r="G70" s="72">
        <f t="shared" si="18"/>
        <v>0</v>
      </c>
      <c r="H70" s="72">
        <f t="shared" si="18"/>
        <v>0</v>
      </c>
      <c r="I70" s="72">
        <f t="shared" si="18"/>
        <v>0</v>
      </c>
      <c r="J70" s="72">
        <f t="shared" si="18"/>
        <v>0</v>
      </c>
      <c r="K70" s="72">
        <f t="shared" si="18"/>
        <v>0</v>
      </c>
      <c r="L70" s="72">
        <f t="shared" si="18"/>
        <v>0</v>
      </c>
      <c r="M70" s="72">
        <f t="shared" si="18"/>
        <v>0</v>
      </c>
      <c r="N70" s="72">
        <f t="shared" si="18"/>
        <v>0</v>
      </c>
      <c r="O70" s="72">
        <f t="shared" si="18"/>
        <v>0</v>
      </c>
      <c r="P70" s="72"/>
      <c r="Q70" s="72">
        <f>SUM(Q52:Q69)</f>
        <v>0</v>
      </c>
      <c r="R70" s="72">
        <f>SUM(R52:R69)</f>
        <v>0</v>
      </c>
      <c r="S70" s="72">
        <f>SUM(S52:S69)</f>
        <v>0</v>
      </c>
      <c r="T70" s="72">
        <f>SUM(T52:T69)</f>
        <v>0</v>
      </c>
      <c r="U70" s="72">
        <f>SUM(U52:U69)</f>
        <v>0</v>
      </c>
      <c r="V70" s="72"/>
      <c r="W70" s="257">
        <f>O70+U70</f>
        <v>0</v>
      </c>
      <c r="X70" s="252">
        <f>SUM(X52:X69)</f>
        <v>0</v>
      </c>
    </row>
    <row r="71" spans="1:24" ht="20.100000000000001" hidden="1" customHeight="1" x14ac:dyDescent="0.2">
      <c r="A71" s="231"/>
      <c r="B71" s="232"/>
      <c r="C71" s="127"/>
      <c r="D71" s="72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8"/>
      <c r="W71" s="255"/>
      <c r="X71" s="256"/>
    </row>
    <row r="72" spans="1:24" ht="30" hidden="1" customHeight="1" x14ac:dyDescent="0.2">
      <c r="A72" s="40" t="s">
        <v>114</v>
      </c>
      <c r="B72" s="31"/>
      <c r="C72" s="41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>
        <f>SUM(D72:N72)</f>
        <v>0</v>
      </c>
      <c r="P72" s="174"/>
      <c r="Q72" s="174"/>
      <c r="R72" s="174"/>
      <c r="S72" s="174"/>
      <c r="T72" s="174"/>
      <c r="U72" s="174">
        <f>SUM(Q72:T72)</f>
        <v>0</v>
      </c>
      <c r="V72" s="175"/>
      <c r="W72" s="518">
        <f>O72+U72</f>
        <v>0</v>
      </c>
      <c r="X72" s="398"/>
    </row>
    <row r="73" spans="1:24" ht="30" hidden="1" customHeight="1" x14ac:dyDescent="0.2">
      <c r="A73" s="185" t="s">
        <v>114</v>
      </c>
      <c r="B73" s="186"/>
      <c r="C73" s="41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>
        <f>SUM(D73:N73)</f>
        <v>0</v>
      </c>
      <c r="P73" s="174"/>
      <c r="Q73" s="174"/>
      <c r="R73" s="174"/>
      <c r="S73" s="174"/>
      <c r="T73" s="174"/>
      <c r="U73" s="174">
        <f>SUM(Q73:T73)</f>
        <v>0</v>
      </c>
      <c r="V73" s="175"/>
      <c r="W73" s="518">
        <f>O73+U73</f>
        <v>0</v>
      </c>
      <c r="X73" s="398"/>
    </row>
    <row r="74" spans="1:24" ht="30" hidden="1" customHeight="1" x14ac:dyDescent="0.2">
      <c r="A74" s="40" t="s">
        <v>114</v>
      </c>
      <c r="B74" s="186"/>
      <c r="C74" s="28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>
        <f>SUM(D74:N74)</f>
        <v>0</v>
      </c>
      <c r="P74" s="174"/>
      <c r="Q74" s="174"/>
      <c r="R74" s="174"/>
      <c r="S74" s="174"/>
      <c r="T74" s="174"/>
      <c r="U74" s="174">
        <f>SUM(Q74:T74)</f>
        <v>0</v>
      </c>
      <c r="V74" s="175"/>
      <c r="W74" s="518">
        <f>O74+U74</f>
        <v>0</v>
      </c>
      <c r="X74" s="398"/>
    </row>
    <row r="75" spans="1:24" ht="24.95" hidden="1" customHeight="1" x14ac:dyDescent="0.2">
      <c r="A75" s="40"/>
      <c r="B75" s="186"/>
      <c r="C75" s="41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5"/>
      <c r="W75" s="518"/>
      <c r="X75" s="398"/>
    </row>
    <row r="76" spans="1:24" ht="24.95" hidden="1" customHeight="1" x14ac:dyDescent="0.2">
      <c r="A76" s="40"/>
      <c r="B76" s="126"/>
      <c r="C76" s="41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5"/>
      <c r="W76" s="518"/>
      <c r="X76" s="398"/>
    </row>
    <row r="77" spans="1:24" ht="9.9499999999999993" hidden="1" customHeight="1" x14ac:dyDescent="0.2">
      <c r="A77" s="40"/>
      <c r="B77" s="126"/>
      <c r="C77" s="41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8"/>
      <c r="W77" s="255"/>
      <c r="X77" s="256"/>
    </row>
    <row r="78" spans="1:24" ht="30" hidden="1" customHeight="1" x14ac:dyDescent="0.2">
      <c r="A78" s="216" t="s">
        <v>90</v>
      </c>
      <c r="B78" s="212"/>
      <c r="C78" s="217" t="s">
        <v>88</v>
      </c>
      <c r="D78" s="159">
        <f t="shared" ref="D78:O78" si="19">SUM(D72:D77)</f>
        <v>0</v>
      </c>
      <c r="E78" s="159">
        <f t="shared" si="19"/>
        <v>0</v>
      </c>
      <c r="F78" s="159">
        <f t="shared" si="19"/>
        <v>0</v>
      </c>
      <c r="G78" s="159">
        <f t="shared" si="19"/>
        <v>0</v>
      </c>
      <c r="H78" s="159">
        <f t="shared" si="19"/>
        <v>0</v>
      </c>
      <c r="I78" s="159">
        <f t="shared" si="19"/>
        <v>0</v>
      </c>
      <c r="J78" s="159">
        <f t="shared" si="19"/>
        <v>0</v>
      </c>
      <c r="K78" s="159">
        <f t="shared" si="19"/>
        <v>0</v>
      </c>
      <c r="L78" s="159">
        <f t="shared" si="19"/>
        <v>0</v>
      </c>
      <c r="M78" s="159">
        <f t="shared" si="19"/>
        <v>0</v>
      </c>
      <c r="N78" s="159">
        <f t="shared" si="19"/>
        <v>0</v>
      </c>
      <c r="O78" s="159">
        <f t="shared" si="19"/>
        <v>0</v>
      </c>
      <c r="P78" s="159"/>
      <c r="Q78" s="159">
        <f>SUM(Q72:Q77)</f>
        <v>0</v>
      </c>
      <c r="R78" s="159">
        <f>SUM(R72:R77)</f>
        <v>0</v>
      </c>
      <c r="S78" s="159">
        <f>SUM(S72:S77)</f>
        <v>0</v>
      </c>
      <c r="T78" s="159">
        <f>SUM(T72:T77)</f>
        <v>0</v>
      </c>
      <c r="U78" s="159">
        <f>SUM(U72:U77)</f>
        <v>0</v>
      </c>
      <c r="V78" s="159"/>
      <c r="W78" s="244">
        <f>O78+U78</f>
        <v>0</v>
      </c>
      <c r="X78" s="339">
        <f>SUM(X72:X77)</f>
        <v>0</v>
      </c>
    </row>
    <row r="79" spans="1:24" ht="9.9499999999999993" hidden="1" customHeight="1" x14ac:dyDescent="0.2">
      <c r="A79" s="40"/>
      <c r="B79" s="126"/>
      <c r="C79" s="41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7"/>
      <c r="V79" s="238"/>
      <c r="W79" s="255"/>
      <c r="X79" s="256"/>
    </row>
    <row r="80" spans="1:24" ht="24.95" hidden="1" customHeight="1" x14ac:dyDescent="0.2">
      <c r="A80" s="40"/>
      <c r="B80" s="126"/>
      <c r="C80" s="41" t="s">
        <v>69</v>
      </c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  <c r="O80" s="237">
        <f>SUM(D80:N80)</f>
        <v>0</v>
      </c>
      <c r="P80" s="237"/>
      <c r="Q80" s="237"/>
      <c r="R80" s="237"/>
      <c r="S80" s="237"/>
      <c r="T80" s="237"/>
      <c r="U80" s="237">
        <f>SUM(Q80:T80)</f>
        <v>0</v>
      </c>
      <c r="V80" s="238"/>
      <c r="W80" s="255">
        <f>O80+U80</f>
        <v>0</v>
      </c>
      <c r="X80" s="256"/>
    </row>
    <row r="81" spans="1:24" ht="24.95" hidden="1" customHeight="1" thickBot="1" x14ac:dyDescent="0.25">
      <c r="A81" s="40"/>
      <c r="B81" s="106"/>
      <c r="C81" s="107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9"/>
      <c r="W81" s="260"/>
      <c r="X81" s="261"/>
    </row>
    <row r="82" spans="1:24" ht="30" hidden="1" customHeight="1" thickTop="1" thickBot="1" x14ac:dyDescent="0.25">
      <c r="A82" s="47"/>
      <c r="B82" s="111"/>
      <c r="C82" s="44" t="s">
        <v>91</v>
      </c>
      <c r="D82" s="210">
        <f t="shared" ref="D82:O82" si="20">D70+D78</f>
        <v>0</v>
      </c>
      <c r="E82" s="210">
        <f t="shared" si="20"/>
        <v>0</v>
      </c>
      <c r="F82" s="210">
        <f t="shared" si="20"/>
        <v>0</v>
      </c>
      <c r="G82" s="210">
        <f t="shared" si="20"/>
        <v>0</v>
      </c>
      <c r="H82" s="210">
        <f t="shared" si="20"/>
        <v>0</v>
      </c>
      <c r="I82" s="210">
        <f t="shared" si="20"/>
        <v>0</v>
      </c>
      <c r="J82" s="210">
        <f t="shared" si="20"/>
        <v>0</v>
      </c>
      <c r="K82" s="210">
        <f t="shared" si="20"/>
        <v>0</v>
      </c>
      <c r="L82" s="210">
        <f t="shared" si="20"/>
        <v>0</v>
      </c>
      <c r="M82" s="210">
        <f t="shared" si="20"/>
        <v>0</v>
      </c>
      <c r="N82" s="210">
        <f t="shared" si="20"/>
        <v>0</v>
      </c>
      <c r="O82" s="210">
        <f t="shared" si="20"/>
        <v>0</v>
      </c>
      <c r="P82" s="210"/>
      <c r="Q82" s="210">
        <f>Q70+Q78</f>
        <v>0</v>
      </c>
      <c r="R82" s="210">
        <f>R70+R78</f>
        <v>0</v>
      </c>
      <c r="S82" s="210">
        <f>S70+S78</f>
        <v>0</v>
      </c>
      <c r="T82" s="210">
        <f>T70+T78</f>
        <v>0</v>
      </c>
      <c r="U82" s="210">
        <f>U70+U78</f>
        <v>0</v>
      </c>
      <c r="V82" s="210"/>
      <c r="W82" s="262">
        <f>W70+W78</f>
        <v>0</v>
      </c>
      <c r="X82" s="239">
        <f>X70+X78</f>
        <v>0</v>
      </c>
    </row>
    <row r="83" spans="1:24" ht="30" hidden="1" customHeight="1" thickTop="1" thickBot="1" x14ac:dyDescent="0.25">
      <c r="A83" s="42"/>
      <c r="B83" s="111" t="s">
        <v>176</v>
      </c>
      <c r="C83" s="44" t="s">
        <v>151</v>
      </c>
      <c r="D83" s="263">
        <f t="shared" ref="D83:O83" si="21">D50+D82</f>
        <v>0</v>
      </c>
      <c r="E83" s="263">
        <f t="shared" si="21"/>
        <v>0</v>
      </c>
      <c r="F83" s="263">
        <f t="shared" si="21"/>
        <v>3666.453</v>
      </c>
      <c r="G83" s="263">
        <f t="shared" si="21"/>
        <v>5150</v>
      </c>
      <c r="H83" s="263">
        <f t="shared" si="21"/>
        <v>10144</v>
      </c>
      <c r="I83" s="263">
        <f t="shared" si="21"/>
        <v>0</v>
      </c>
      <c r="J83" s="263">
        <f t="shared" si="21"/>
        <v>0</v>
      </c>
      <c r="K83" s="263">
        <f t="shared" si="21"/>
        <v>0</v>
      </c>
      <c r="L83" s="263">
        <f t="shared" si="21"/>
        <v>564</v>
      </c>
      <c r="M83" s="263">
        <f t="shared" si="21"/>
        <v>1200</v>
      </c>
      <c r="N83" s="263">
        <f t="shared" si="21"/>
        <v>0</v>
      </c>
      <c r="O83" s="263">
        <f t="shared" si="21"/>
        <v>20724.453000000001</v>
      </c>
      <c r="P83" s="263"/>
      <c r="Q83" s="263">
        <f>Q50+Q82</f>
        <v>0</v>
      </c>
      <c r="R83" s="263">
        <f>R50+R82</f>
        <v>326996.53700000001</v>
      </c>
      <c r="S83" s="263">
        <f>S50+S82</f>
        <v>0</v>
      </c>
      <c r="T83" s="263">
        <f>T50+T82</f>
        <v>0</v>
      </c>
      <c r="U83" s="263">
        <f>U50+U82</f>
        <v>326996.53700000001</v>
      </c>
      <c r="V83" s="263"/>
      <c r="W83" s="262">
        <f>W50+W82</f>
        <v>347720.99</v>
      </c>
      <c r="X83" s="239">
        <f>X50+X82</f>
        <v>2635435.2319999998</v>
      </c>
    </row>
    <row r="84" spans="1:24" ht="24.95" hidden="1" customHeight="1" thickTop="1" x14ac:dyDescent="0.25">
      <c r="A84" s="22"/>
      <c r="B84" s="533" t="s">
        <v>180</v>
      </c>
      <c r="C84" s="24" t="s">
        <v>18</v>
      </c>
      <c r="D84" s="25">
        <f t="shared" ref="D84:U84" si="22">D83</f>
        <v>0</v>
      </c>
      <c r="E84" s="25">
        <f t="shared" si="22"/>
        <v>0</v>
      </c>
      <c r="F84" s="25">
        <f t="shared" si="22"/>
        <v>3666.453</v>
      </c>
      <c r="G84" s="25">
        <f t="shared" si="22"/>
        <v>5150</v>
      </c>
      <c r="H84" s="25">
        <f t="shared" si="22"/>
        <v>10144</v>
      </c>
      <c r="I84" s="25">
        <f t="shared" si="22"/>
        <v>0</v>
      </c>
      <c r="J84" s="25">
        <f t="shared" si="22"/>
        <v>0</v>
      </c>
      <c r="K84" s="25">
        <f t="shared" si="22"/>
        <v>0</v>
      </c>
      <c r="L84" s="25">
        <f t="shared" si="22"/>
        <v>564</v>
      </c>
      <c r="M84" s="25">
        <f t="shared" si="22"/>
        <v>1200</v>
      </c>
      <c r="N84" s="25">
        <f t="shared" si="22"/>
        <v>0</v>
      </c>
      <c r="O84" s="25">
        <f t="shared" si="22"/>
        <v>20724.453000000001</v>
      </c>
      <c r="P84" s="25"/>
      <c r="Q84" s="25">
        <f t="shared" si="22"/>
        <v>0</v>
      </c>
      <c r="R84" s="25">
        <f t="shared" si="22"/>
        <v>326996.53700000001</v>
      </c>
      <c r="S84" s="25">
        <f t="shared" si="22"/>
        <v>0</v>
      </c>
      <c r="T84" s="25">
        <f t="shared" si="22"/>
        <v>0</v>
      </c>
      <c r="U84" s="25">
        <f t="shared" si="22"/>
        <v>326996.53700000001</v>
      </c>
      <c r="V84" s="25"/>
      <c r="W84" s="247">
        <f t="shared" ref="W84:W89" si="23">O84+U84</f>
        <v>347720.99</v>
      </c>
      <c r="X84" s="254">
        <f>X83</f>
        <v>2635435.2319999998</v>
      </c>
    </row>
    <row r="85" spans="1:24" ht="30.75" hidden="1" customHeight="1" x14ac:dyDescent="0.2">
      <c r="A85" s="40">
        <v>1</v>
      </c>
      <c r="B85" s="548"/>
      <c r="C85" s="41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>
        <f>SUM(D85:N85)</f>
        <v>0</v>
      </c>
      <c r="P85" s="72"/>
      <c r="Q85" s="72"/>
      <c r="R85" s="72"/>
      <c r="S85" s="72"/>
      <c r="T85" s="72"/>
      <c r="U85" s="72">
        <f>SUM(Q85:T85)</f>
        <v>0</v>
      </c>
      <c r="V85" s="73"/>
      <c r="W85" s="264">
        <f t="shared" si="23"/>
        <v>0</v>
      </c>
      <c r="X85" s="339"/>
    </row>
    <row r="86" spans="1:24" ht="30.75" hidden="1" customHeight="1" x14ac:dyDescent="0.2">
      <c r="A86" s="185">
        <v>2</v>
      </c>
      <c r="B86" s="548"/>
      <c r="C86" s="41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>
        <f>SUM(D86:N86)</f>
        <v>0</v>
      </c>
      <c r="P86" s="72"/>
      <c r="Q86" s="72"/>
      <c r="R86" s="72"/>
      <c r="S86" s="72"/>
      <c r="T86" s="72"/>
      <c r="U86" s="72">
        <f>SUM(Q86:T86)</f>
        <v>0</v>
      </c>
      <c r="V86" s="73"/>
      <c r="W86" s="264">
        <f t="shared" si="23"/>
        <v>0</v>
      </c>
      <c r="X86" s="339"/>
    </row>
    <row r="87" spans="1:24" ht="30.75" hidden="1" customHeight="1" x14ac:dyDescent="0.2">
      <c r="A87" s="40">
        <v>3</v>
      </c>
      <c r="B87" s="549"/>
      <c r="C87" s="41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>
        <f>SUM(D87:N87)</f>
        <v>0</v>
      </c>
      <c r="P87" s="72"/>
      <c r="Q87" s="72"/>
      <c r="R87" s="72"/>
      <c r="S87" s="72"/>
      <c r="T87" s="72"/>
      <c r="U87" s="72">
        <f>SUM(Q87:T87)</f>
        <v>0</v>
      </c>
      <c r="V87" s="73"/>
      <c r="W87" s="264">
        <f t="shared" si="23"/>
        <v>0</v>
      </c>
      <c r="X87" s="339"/>
    </row>
    <row r="88" spans="1:24" ht="30.75" hidden="1" customHeight="1" x14ac:dyDescent="0.2">
      <c r="A88" s="185">
        <v>4</v>
      </c>
      <c r="B88" s="549"/>
      <c r="C88" s="41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>
        <f>SUM(D88:N88)</f>
        <v>0</v>
      </c>
      <c r="P88" s="72"/>
      <c r="Q88" s="72"/>
      <c r="R88" s="72"/>
      <c r="S88" s="72"/>
      <c r="T88" s="72"/>
      <c r="U88" s="72">
        <f>SUM(Q88:T88)</f>
        <v>0</v>
      </c>
      <c r="V88" s="73"/>
      <c r="W88" s="264">
        <f t="shared" si="23"/>
        <v>0</v>
      </c>
      <c r="X88" s="339"/>
    </row>
    <row r="89" spans="1:24" ht="30.75" hidden="1" customHeight="1" x14ac:dyDescent="0.2">
      <c r="A89" s="40">
        <v>5</v>
      </c>
      <c r="B89" s="549"/>
      <c r="C89" s="41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>
        <f>SUM(D89:N89)</f>
        <v>0</v>
      </c>
      <c r="P89" s="72"/>
      <c r="Q89" s="72"/>
      <c r="R89" s="72"/>
      <c r="S89" s="72"/>
      <c r="T89" s="72"/>
      <c r="U89" s="72">
        <f>SUM(Q89:T89)</f>
        <v>0</v>
      </c>
      <c r="V89" s="73"/>
      <c r="W89" s="264">
        <f t="shared" si="23"/>
        <v>0</v>
      </c>
      <c r="X89" s="339"/>
    </row>
    <row r="90" spans="1:24" ht="30.75" hidden="1" customHeight="1" x14ac:dyDescent="0.2">
      <c r="A90" s="40"/>
      <c r="B90" s="549"/>
      <c r="C90" s="41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3"/>
      <c r="W90" s="264"/>
      <c r="X90" s="339"/>
    </row>
    <row r="91" spans="1:24" ht="30.75" hidden="1" customHeight="1" x14ac:dyDescent="0.2">
      <c r="A91" s="40"/>
      <c r="B91" s="549"/>
      <c r="C91" s="41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3"/>
      <c r="W91" s="264"/>
      <c r="X91" s="339"/>
    </row>
    <row r="92" spans="1:24" ht="24.95" hidden="1" customHeight="1" x14ac:dyDescent="0.2">
      <c r="A92" s="40"/>
      <c r="B92" s="32"/>
      <c r="C92" s="41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3"/>
      <c r="W92" s="264">
        <f>SUM(D92:V92)</f>
        <v>0</v>
      </c>
      <c r="X92" s="339"/>
    </row>
    <row r="93" spans="1:24" ht="24.95" hidden="1" customHeight="1" x14ac:dyDescent="0.2">
      <c r="A93" s="216" t="s">
        <v>89</v>
      </c>
      <c r="B93" s="212"/>
      <c r="C93" s="217" t="s">
        <v>87</v>
      </c>
      <c r="D93" s="174">
        <f t="shared" ref="D93:X93" si="24">SUM(D85:D92)</f>
        <v>0</v>
      </c>
      <c r="E93" s="174">
        <f t="shared" si="24"/>
        <v>0</v>
      </c>
      <c r="F93" s="174">
        <f t="shared" si="24"/>
        <v>0</v>
      </c>
      <c r="G93" s="174">
        <f t="shared" si="24"/>
        <v>0</v>
      </c>
      <c r="H93" s="174">
        <f t="shared" si="24"/>
        <v>0</v>
      </c>
      <c r="I93" s="174">
        <f t="shared" si="24"/>
        <v>0</v>
      </c>
      <c r="J93" s="174">
        <f t="shared" si="24"/>
        <v>0</v>
      </c>
      <c r="K93" s="174">
        <f t="shared" si="24"/>
        <v>0</v>
      </c>
      <c r="L93" s="174">
        <f t="shared" si="24"/>
        <v>0</v>
      </c>
      <c r="M93" s="174">
        <f t="shared" si="24"/>
        <v>0</v>
      </c>
      <c r="N93" s="174">
        <f t="shared" si="24"/>
        <v>0</v>
      </c>
      <c r="O93" s="174">
        <f t="shared" si="24"/>
        <v>0</v>
      </c>
      <c r="P93" s="174"/>
      <c r="Q93" s="174">
        <f t="shared" si="24"/>
        <v>0</v>
      </c>
      <c r="R93" s="174">
        <f t="shared" si="24"/>
        <v>0</v>
      </c>
      <c r="S93" s="174">
        <f t="shared" si="24"/>
        <v>0</v>
      </c>
      <c r="T93" s="174">
        <f t="shared" si="24"/>
        <v>0</v>
      </c>
      <c r="U93" s="174">
        <f t="shared" si="24"/>
        <v>0</v>
      </c>
      <c r="V93" s="174"/>
      <c r="W93" s="257">
        <f t="shared" si="24"/>
        <v>0</v>
      </c>
      <c r="X93" s="343">
        <f t="shared" si="24"/>
        <v>0</v>
      </c>
    </row>
    <row r="94" spans="1:24" ht="15.75" hidden="1" customHeight="1" x14ac:dyDescent="0.2">
      <c r="A94" s="40"/>
      <c r="B94" s="31"/>
      <c r="C94" s="41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3"/>
      <c r="W94" s="264"/>
      <c r="X94" s="339"/>
    </row>
    <row r="95" spans="1:24" ht="30.75" hidden="1" customHeight="1" x14ac:dyDescent="0.2">
      <c r="A95" s="40" t="s">
        <v>114</v>
      </c>
      <c r="B95" s="549"/>
      <c r="C95" s="41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>
        <f>SUM(D95:N95)</f>
        <v>0</v>
      </c>
      <c r="P95" s="159"/>
      <c r="Q95" s="159"/>
      <c r="R95" s="159"/>
      <c r="S95" s="159"/>
      <c r="T95" s="159"/>
      <c r="U95" s="159">
        <f>SUM(Q95:T95)</f>
        <v>0</v>
      </c>
      <c r="V95" s="165"/>
      <c r="W95" s="547">
        <f>O95+U95</f>
        <v>0</v>
      </c>
      <c r="X95" s="339"/>
    </row>
    <row r="96" spans="1:24" ht="30.75" hidden="1" customHeight="1" x14ac:dyDescent="0.2">
      <c r="A96" s="40" t="s">
        <v>114</v>
      </c>
      <c r="B96" s="549"/>
      <c r="C96" s="41"/>
      <c r="D96" s="159"/>
      <c r="E96" s="159"/>
      <c r="F96" s="159"/>
      <c r="G96" s="159"/>
      <c r="H96" s="159"/>
      <c r="I96" s="159"/>
      <c r="J96" s="159"/>
      <c r="K96" s="159"/>
      <c r="L96" s="173"/>
      <c r="M96" s="159"/>
      <c r="N96" s="159"/>
      <c r="O96" s="159">
        <f>SUM(D96:N96)</f>
        <v>0</v>
      </c>
      <c r="P96" s="159"/>
      <c r="Q96" s="159"/>
      <c r="R96" s="159"/>
      <c r="S96" s="159"/>
      <c r="T96" s="159"/>
      <c r="U96" s="159">
        <f>SUM(Q96:T96)</f>
        <v>0</v>
      </c>
      <c r="V96" s="165"/>
      <c r="W96" s="547">
        <f>O96+U96</f>
        <v>0</v>
      </c>
      <c r="X96" s="339"/>
    </row>
    <row r="97" spans="1:24" ht="30.75" hidden="1" customHeight="1" x14ac:dyDescent="0.2">
      <c r="A97" s="40" t="s">
        <v>114</v>
      </c>
      <c r="B97" s="549"/>
      <c r="C97" s="41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73"/>
      <c r="O97" s="159">
        <f>SUM(D97:N97)</f>
        <v>0</v>
      </c>
      <c r="P97" s="159"/>
      <c r="Q97" s="159"/>
      <c r="R97" s="159"/>
      <c r="S97" s="159"/>
      <c r="T97" s="159"/>
      <c r="U97" s="159">
        <f>SUM(Q97:T97)</f>
        <v>0</v>
      </c>
      <c r="V97" s="165"/>
      <c r="W97" s="547">
        <f>O97+U97</f>
        <v>0</v>
      </c>
      <c r="X97" s="339"/>
    </row>
    <row r="98" spans="1:24" ht="24.95" hidden="1" customHeight="1" x14ac:dyDescent="0.2">
      <c r="A98" s="40" t="s">
        <v>114</v>
      </c>
      <c r="B98" s="233"/>
      <c r="C98" s="41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>
        <f>SUM(D98:N98)</f>
        <v>0</v>
      </c>
      <c r="P98" s="159"/>
      <c r="Q98" s="159"/>
      <c r="R98" s="159"/>
      <c r="S98" s="159"/>
      <c r="T98" s="159"/>
      <c r="U98" s="159">
        <f>SUM(Q98:T98)</f>
        <v>0</v>
      </c>
      <c r="V98" s="165"/>
      <c r="W98" s="547">
        <f>O98+U98</f>
        <v>0</v>
      </c>
      <c r="X98" s="339"/>
    </row>
    <row r="99" spans="1:24" ht="24.95" hidden="1" customHeight="1" x14ac:dyDescent="0.2">
      <c r="A99" s="40" t="s">
        <v>114</v>
      </c>
      <c r="B99" s="233"/>
      <c r="C99" s="41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>
        <f>SUM(D99:N99)</f>
        <v>0</v>
      </c>
      <c r="P99" s="159"/>
      <c r="Q99" s="159"/>
      <c r="R99" s="159"/>
      <c r="S99" s="159"/>
      <c r="T99" s="159"/>
      <c r="U99" s="159">
        <f>SUM(Q99:T99)</f>
        <v>0</v>
      </c>
      <c r="V99" s="165"/>
      <c r="W99" s="547">
        <f>O99+U99</f>
        <v>0</v>
      </c>
      <c r="X99" s="339"/>
    </row>
    <row r="100" spans="1:24" ht="24.95" hidden="1" customHeight="1" x14ac:dyDescent="0.2">
      <c r="A100" s="40"/>
      <c r="B100" s="233"/>
      <c r="C100" s="41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65"/>
      <c r="W100" s="547"/>
      <c r="X100" s="339"/>
    </row>
    <row r="101" spans="1:24" ht="24.95" hidden="1" customHeight="1" x14ac:dyDescent="0.2">
      <c r="A101" s="40"/>
      <c r="B101" s="31"/>
      <c r="C101" s="41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3"/>
      <c r="W101" s="264"/>
      <c r="X101" s="339"/>
    </row>
    <row r="102" spans="1:24" ht="24.95" hidden="1" customHeight="1" x14ac:dyDescent="0.2">
      <c r="A102" s="216" t="s">
        <v>90</v>
      </c>
      <c r="B102" s="212"/>
      <c r="C102" s="217" t="s">
        <v>88</v>
      </c>
      <c r="D102" s="174">
        <f t="shared" ref="D102:X102" si="25">SUM(D95:D101)</f>
        <v>0</v>
      </c>
      <c r="E102" s="174">
        <f t="shared" si="25"/>
        <v>0</v>
      </c>
      <c r="F102" s="174">
        <f t="shared" si="25"/>
        <v>0</v>
      </c>
      <c r="G102" s="174">
        <f t="shared" si="25"/>
        <v>0</v>
      </c>
      <c r="H102" s="174">
        <f t="shared" si="25"/>
        <v>0</v>
      </c>
      <c r="I102" s="174">
        <f t="shared" si="25"/>
        <v>0</v>
      </c>
      <c r="J102" s="174">
        <f t="shared" si="25"/>
        <v>0</v>
      </c>
      <c r="K102" s="174">
        <f t="shared" si="25"/>
        <v>0</v>
      </c>
      <c r="L102" s="174">
        <f t="shared" si="25"/>
        <v>0</v>
      </c>
      <c r="M102" s="174">
        <f t="shared" si="25"/>
        <v>0</v>
      </c>
      <c r="N102" s="174">
        <f t="shared" si="25"/>
        <v>0</v>
      </c>
      <c r="O102" s="174">
        <f t="shared" si="25"/>
        <v>0</v>
      </c>
      <c r="P102" s="174"/>
      <c r="Q102" s="174">
        <f t="shared" si="25"/>
        <v>0</v>
      </c>
      <c r="R102" s="174">
        <f t="shared" si="25"/>
        <v>0</v>
      </c>
      <c r="S102" s="174">
        <f t="shared" si="25"/>
        <v>0</v>
      </c>
      <c r="T102" s="174">
        <f t="shared" si="25"/>
        <v>0</v>
      </c>
      <c r="U102" s="174">
        <f t="shared" si="25"/>
        <v>0</v>
      </c>
      <c r="V102" s="174"/>
      <c r="W102" s="269">
        <f t="shared" si="25"/>
        <v>0</v>
      </c>
      <c r="X102" s="269">
        <f t="shared" si="25"/>
        <v>0</v>
      </c>
    </row>
    <row r="103" spans="1:24" ht="12" hidden="1" customHeight="1" x14ac:dyDescent="0.2">
      <c r="A103" s="40"/>
      <c r="B103" s="31"/>
      <c r="C103" s="41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3"/>
      <c r="W103" s="264">
        <f>SUM(D103:V103)</f>
        <v>0</v>
      </c>
      <c r="X103" s="339"/>
    </row>
    <row r="104" spans="1:24" ht="24.95" hidden="1" customHeight="1" thickBot="1" x14ac:dyDescent="0.25">
      <c r="A104" s="40"/>
      <c r="B104" s="32"/>
      <c r="C104" s="34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3"/>
      <c r="W104" s="264"/>
      <c r="X104" s="339"/>
    </row>
    <row r="105" spans="1:24" ht="24.95" hidden="1" customHeight="1" thickTop="1" thickBot="1" x14ac:dyDescent="0.25">
      <c r="A105" s="42"/>
      <c r="B105" s="111" t="s">
        <v>180</v>
      </c>
      <c r="C105" s="44" t="s">
        <v>91</v>
      </c>
      <c r="D105" s="210">
        <f>D93+D102</f>
        <v>0</v>
      </c>
      <c r="E105" s="210">
        <f t="shared" ref="E105:U105" si="26">E93+E102</f>
        <v>0</v>
      </c>
      <c r="F105" s="210">
        <f t="shared" si="26"/>
        <v>0</v>
      </c>
      <c r="G105" s="210">
        <f t="shared" si="26"/>
        <v>0</v>
      </c>
      <c r="H105" s="210">
        <f t="shared" si="26"/>
        <v>0</v>
      </c>
      <c r="I105" s="210">
        <f t="shared" si="26"/>
        <v>0</v>
      </c>
      <c r="J105" s="210">
        <f t="shared" si="26"/>
        <v>0</v>
      </c>
      <c r="K105" s="210">
        <f t="shared" si="26"/>
        <v>0</v>
      </c>
      <c r="L105" s="210">
        <f>L93+L102</f>
        <v>0</v>
      </c>
      <c r="M105" s="210">
        <f t="shared" si="26"/>
        <v>0</v>
      </c>
      <c r="N105" s="210">
        <f t="shared" si="26"/>
        <v>0</v>
      </c>
      <c r="O105" s="210">
        <f t="shared" si="26"/>
        <v>0</v>
      </c>
      <c r="P105" s="210"/>
      <c r="Q105" s="210">
        <f>Q93+Q102</f>
        <v>0</v>
      </c>
      <c r="R105" s="210">
        <f t="shared" si="26"/>
        <v>0</v>
      </c>
      <c r="S105" s="210">
        <f t="shared" si="26"/>
        <v>0</v>
      </c>
      <c r="T105" s="210">
        <f t="shared" si="26"/>
        <v>0</v>
      </c>
      <c r="U105" s="210">
        <f t="shared" si="26"/>
        <v>0</v>
      </c>
      <c r="V105" s="210"/>
      <c r="W105" s="262">
        <f>W93+W102</f>
        <v>0</v>
      </c>
      <c r="X105" s="179">
        <f>X93+X102</f>
        <v>0</v>
      </c>
    </row>
    <row r="106" spans="1:24" ht="30" hidden="1" customHeight="1" thickTop="1" thickBot="1" x14ac:dyDescent="0.25">
      <c r="A106" s="42"/>
      <c r="B106" s="532" t="s">
        <v>187</v>
      </c>
      <c r="C106" s="44" t="s">
        <v>151</v>
      </c>
      <c r="D106" s="263">
        <f t="shared" ref="D106:O106" si="27">D50+D82+D105</f>
        <v>0</v>
      </c>
      <c r="E106" s="263">
        <f t="shared" si="27"/>
        <v>0</v>
      </c>
      <c r="F106" s="263">
        <f t="shared" si="27"/>
        <v>3666.453</v>
      </c>
      <c r="G106" s="263">
        <f t="shared" si="27"/>
        <v>5150</v>
      </c>
      <c r="H106" s="263">
        <f t="shared" si="27"/>
        <v>10144</v>
      </c>
      <c r="I106" s="263">
        <f t="shared" si="27"/>
        <v>0</v>
      </c>
      <c r="J106" s="263">
        <f t="shared" si="27"/>
        <v>0</v>
      </c>
      <c r="K106" s="263">
        <f t="shared" si="27"/>
        <v>0</v>
      </c>
      <c r="L106" s="263">
        <f t="shared" si="27"/>
        <v>564</v>
      </c>
      <c r="M106" s="263">
        <f t="shared" si="27"/>
        <v>1200</v>
      </c>
      <c r="N106" s="263">
        <f t="shared" si="27"/>
        <v>0</v>
      </c>
      <c r="O106" s="263">
        <f t="shared" si="27"/>
        <v>20724.453000000001</v>
      </c>
      <c r="P106" s="263"/>
      <c r="Q106" s="263">
        <f>Q50+Q82+Q105</f>
        <v>0</v>
      </c>
      <c r="R106" s="263">
        <f>R50+R82+R105</f>
        <v>326996.53700000001</v>
      </c>
      <c r="S106" s="263">
        <f>S50+S82+S105</f>
        <v>0</v>
      </c>
      <c r="T106" s="263">
        <f>T50+T82+T105</f>
        <v>0</v>
      </c>
      <c r="U106" s="263">
        <f>U50+U82+U105</f>
        <v>326996.53700000001</v>
      </c>
      <c r="V106" s="263"/>
      <c r="W106" s="262">
        <f>W50+W82+W105</f>
        <v>347720.99</v>
      </c>
      <c r="X106" s="239">
        <f>X50+X82+X105</f>
        <v>2635435.2319999998</v>
      </c>
    </row>
    <row r="107" spans="1:24" ht="24.95" hidden="1" customHeight="1" thickTop="1" x14ac:dyDescent="0.2">
      <c r="A107" s="187"/>
      <c r="B107" s="576" t="s">
        <v>185</v>
      </c>
      <c r="C107" s="24" t="s">
        <v>18</v>
      </c>
      <c r="D107" s="25">
        <f t="shared" ref="D107:U107" si="28">D106</f>
        <v>0</v>
      </c>
      <c r="E107" s="25">
        <f t="shared" si="28"/>
        <v>0</v>
      </c>
      <c r="F107" s="25">
        <f t="shared" si="28"/>
        <v>3666.453</v>
      </c>
      <c r="G107" s="25">
        <f t="shared" si="28"/>
        <v>5150</v>
      </c>
      <c r="H107" s="25">
        <f t="shared" si="28"/>
        <v>10144</v>
      </c>
      <c r="I107" s="25">
        <f t="shared" si="28"/>
        <v>0</v>
      </c>
      <c r="J107" s="25">
        <f t="shared" si="28"/>
        <v>0</v>
      </c>
      <c r="K107" s="25">
        <f t="shared" si="28"/>
        <v>0</v>
      </c>
      <c r="L107" s="25">
        <f t="shared" si="28"/>
        <v>564</v>
      </c>
      <c r="M107" s="25">
        <f t="shared" si="28"/>
        <v>1200</v>
      </c>
      <c r="N107" s="25">
        <f t="shared" si="28"/>
        <v>0</v>
      </c>
      <c r="O107" s="25">
        <f t="shared" si="28"/>
        <v>20724.453000000001</v>
      </c>
      <c r="P107" s="25"/>
      <c r="Q107" s="25">
        <f>Q106</f>
        <v>0</v>
      </c>
      <c r="R107" s="25">
        <f>R106</f>
        <v>326996.53700000001</v>
      </c>
      <c r="S107" s="25">
        <f t="shared" si="28"/>
        <v>0</v>
      </c>
      <c r="T107" s="25">
        <f t="shared" si="28"/>
        <v>0</v>
      </c>
      <c r="U107" s="25">
        <f t="shared" si="28"/>
        <v>326996.53700000001</v>
      </c>
      <c r="V107" s="25"/>
      <c r="W107" s="247">
        <f t="shared" ref="W107:W112" si="29">O107+U107</f>
        <v>347720.99</v>
      </c>
      <c r="X107" s="254">
        <f>X106</f>
        <v>2635435.2319999998</v>
      </c>
    </row>
    <row r="108" spans="1:24" ht="30.75" hidden="1" customHeight="1" x14ac:dyDescent="0.2">
      <c r="A108" s="40">
        <v>1</v>
      </c>
      <c r="B108" s="344"/>
      <c r="C108" s="28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>
        <f>SUM(D108:N108)</f>
        <v>0</v>
      </c>
      <c r="P108" s="174"/>
      <c r="Q108" s="174"/>
      <c r="R108" s="174"/>
      <c r="S108" s="174"/>
      <c r="T108" s="174"/>
      <c r="U108" s="174">
        <f>SUM(Q108:T108)</f>
        <v>0</v>
      </c>
      <c r="V108" s="175"/>
      <c r="W108" s="176">
        <f t="shared" si="29"/>
        <v>0</v>
      </c>
      <c r="X108" s="465"/>
    </row>
    <row r="109" spans="1:24" ht="30.75" hidden="1" customHeight="1" x14ac:dyDescent="0.2">
      <c r="A109" s="185"/>
      <c r="B109" s="234"/>
      <c r="C109" s="28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>
        <f>SUM(D109:N109)</f>
        <v>0</v>
      </c>
      <c r="P109" s="174"/>
      <c r="Q109" s="174"/>
      <c r="R109" s="174"/>
      <c r="S109" s="174"/>
      <c r="T109" s="174"/>
      <c r="U109" s="174">
        <f>SUM(Q109:T109)</f>
        <v>0</v>
      </c>
      <c r="V109" s="175"/>
      <c r="W109" s="176">
        <f t="shared" si="29"/>
        <v>0</v>
      </c>
      <c r="X109" s="398"/>
    </row>
    <row r="110" spans="1:24" ht="30.75" hidden="1" customHeight="1" x14ac:dyDescent="0.2">
      <c r="A110" s="185"/>
      <c r="B110" s="234"/>
      <c r="C110" s="28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>
        <f>SUM(D110:N110)</f>
        <v>0</v>
      </c>
      <c r="P110" s="174"/>
      <c r="Q110" s="174"/>
      <c r="R110" s="174"/>
      <c r="S110" s="174"/>
      <c r="T110" s="174"/>
      <c r="U110" s="174">
        <f>SUM(Q110:T110)</f>
        <v>0</v>
      </c>
      <c r="V110" s="175"/>
      <c r="W110" s="176">
        <f t="shared" si="29"/>
        <v>0</v>
      </c>
      <c r="X110" s="398"/>
    </row>
    <row r="111" spans="1:24" ht="24.95" hidden="1" customHeight="1" x14ac:dyDescent="0.2">
      <c r="A111" s="40"/>
      <c r="B111" s="30"/>
      <c r="C111" s="28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>
        <f>SUM(D111:N111)</f>
        <v>0</v>
      </c>
      <c r="P111" s="174"/>
      <c r="Q111" s="174"/>
      <c r="R111" s="174"/>
      <c r="S111" s="174"/>
      <c r="T111" s="174"/>
      <c r="U111" s="174">
        <f>SUM(Q111:T111)</f>
        <v>0</v>
      </c>
      <c r="V111" s="175"/>
      <c r="W111" s="176">
        <f t="shared" si="29"/>
        <v>0</v>
      </c>
      <c r="X111" s="398"/>
    </row>
    <row r="112" spans="1:24" ht="24.95" hidden="1" customHeight="1" x14ac:dyDescent="0.2">
      <c r="A112" s="40"/>
      <c r="B112" s="31"/>
      <c r="C112" s="41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>
        <f>SUM(D112:N112)</f>
        <v>0</v>
      </c>
      <c r="P112" s="174"/>
      <c r="Q112" s="174"/>
      <c r="R112" s="174"/>
      <c r="S112" s="174"/>
      <c r="T112" s="174"/>
      <c r="U112" s="174">
        <f>SUM(Q112:T112)</f>
        <v>0</v>
      </c>
      <c r="V112" s="175"/>
      <c r="W112" s="176">
        <f t="shared" si="29"/>
        <v>0</v>
      </c>
      <c r="X112" s="398"/>
    </row>
    <row r="113" spans="1:27" ht="24.95" hidden="1" customHeight="1" x14ac:dyDescent="0.2">
      <c r="A113" s="40"/>
      <c r="B113" s="31"/>
      <c r="C113" s="41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5"/>
      <c r="W113" s="176"/>
      <c r="X113" s="398"/>
    </row>
    <row r="114" spans="1:27" ht="9.9499999999999993" hidden="1" customHeight="1" x14ac:dyDescent="0.2">
      <c r="A114" s="40"/>
      <c r="B114" s="129"/>
      <c r="C114" s="41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5"/>
      <c r="W114" s="176"/>
      <c r="X114" s="256"/>
    </row>
    <row r="115" spans="1:27" ht="24.95" hidden="1" customHeight="1" x14ac:dyDescent="0.2">
      <c r="A115" s="216" t="s">
        <v>89</v>
      </c>
      <c r="B115" s="212"/>
      <c r="C115" s="217" t="s">
        <v>87</v>
      </c>
      <c r="D115" s="174">
        <f t="shared" ref="D115:X115" si="30">SUM(D108:D114)</f>
        <v>0</v>
      </c>
      <c r="E115" s="174">
        <f t="shared" si="30"/>
        <v>0</v>
      </c>
      <c r="F115" s="174">
        <f t="shared" si="30"/>
        <v>0</v>
      </c>
      <c r="G115" s="174">
        <f t="shared" si="30"/>
        <v>0</v>
      </c>
      <c r="H115" s="174">
        <f t="shared" si="30"/>
        <v>0</v>
      </c>
      <c r="I115" s="174">
        <f t="shared" si="30"/>
        <v>0</v>
      </c>
      <c r="J115" s="174">
        <f t="shared" si="30"/>
        <v>0</v>
      </c>
      <c r="K115" s="174">
        <f t="shared" si="30"/>
        <v>0</v>
      </c>
      <c r="L115" s="174">
        <f t="shared" si="30"/>
        <v>0</v>
      </c>
      <c r="M115" s="174">
        <f t="shared" si="30"/>
        <v>0</v>
      </c>
      <c r="N115" s="174">
        <f t="shared" si="30"/>
        <v>0</v>
      </c>
      <c r="O115" s="174">
        <f t="shared" si="30"/>
        <v>0</v>
      </c>
      <c r="P115" s="174"/>
      <c r="Q115" s="174">
        <f t="shared" si="30"/>
        <v>0</v>
      </c>
      <c r="R115" s="174">
        <f t="shared" si="30"/>
        <v>0</v>
      </c>
      <c r="S115" s="174">
        <f t="shared" si="30"/>
        <v>0</v>
      </c>
      <c r="T115" s="174">
        <f t="shared" si="30"/>
        <v>0</v>
      </c>
      <c r="U115" s="174">
        <f t="shared" si="30"/>
        <v>0</v>
      </c>
      <c r="V115" s="174"/>
      <c r="W115" s="269">
        <f t="shared" si="30"/>
        <v>0</v>
      </c>
      <c r="X115" s="398">
        <f t="shared" si="30"/>
        <v>0</v>
      </c>
    </row>
    <row r="116" spans="1:27" ht="9.9499999999999993" hidden="1" customHeight="1" x14ac:dyDescent="0.2">
      <c r="A116" s="40"/>
      <c r="B116" s="31"/>
      <c r="C116" s="41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6"/>
      <c r="X116" s="256"/>
    </row>
    <row r="117" spans="1:27" ht="30.75" hidden="1" customHeight="1" x14ac:dyDescent="0.2">
      <c r="A117" s="185" t="s">
        <v>114</v>
      </c>
      <c r="B117" s="233"/>
      <c r="C117" s="41"/>
      <c r="D117" s="174"/>
      <c r="E117" s="174"/>
      <c r="F117" s="174"/>
      <c r="G117" s="174"/>
      <c r="H117" s="174"/>
      <c r="I117" s="174"/>
      <c r="J117" s="174"/>
      <c r="K117" s="174"/>
      <c r="M117" s="174"/>
      <c r="N117" s="174"/>
      <c r="O117" s="174">
        <f>SUM(D117:N117)</f>
        <v>0</v>
      </c>
      <c r="P117" s="174"/>
      <c r="Q117" s="174"/>
      <c r="R117" s="174"/>
      <c r="S117" s="174"/>
      <c r="T117" s="174"/>
      <c r="U117" s="174">
        <f>SUM(Q117:T117)</f>
        <v>0</v>
      </c>
      <c r="V117" s="174"/>
      <c r="W117" s="176">
        <f>O117+U117</f>
        <v>0</v>
      </c>
      <c r="X117" s="256"/>
    </row>
    <row r="118" spans="1:27" ht="30.75" hidden="1" customHeight="1" x14ac:dyDescent="0.2">
      <c r="A118" s="185"/>
      <c r="B118" s="233"/>
      <c r="C118" s="41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>
        <f>SUM(D118:N118)</f>
        <v>0</v>
      </c>
      <c r="P118" s="174"/>
      <c r="Q118" s="174"/>
      <c r="R118" s="174"/>
      <c r="S118" s="174"/>
      <c r="T118" s="174"/>
      <c r="U118" s="174">
        <f>SUM(Q118:T118)</f>
        <v>0</v>
      </c>
      <c r="V118" s="174"/>
      <c r="W118" s="176">
        <f>O118+U118</f>
        <v>0</v>
      </c>
      <c r="X118" s="256"/>
    </row>
    <row r="119" spans="1:27" ht="30.75" hidden="1" customHeight="1" x14ac:dyDescent="0.2">
      <c r="A119" s="40"/>
      <c r="B119" s="31"/>
      <c r="C119" s="41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>
        <f>SUM(D119:N119)</f>
        <v>0</v>
      </c>
      <c r="P119" s="174"/>
      <c r="Q119" s="174"/>
      <c r="R119" s="174"/>
      <c r="S119" s="174"/>
      <c r="T119" s="174"/>
      <c r="U119" s="174">
        <f>SUM(Q119:T119)</f>
        <v>0</v>
      </c>
      <c r="V119" s="174"/>
      <c r="W119" s="176">
        <f>O119+U119</f>
        <v>0</v>
      </c>
      <c r="X119" s="256"/>
    </row>
    <row r="120" spans="1:27" ht="24.95" hidden="1" customHeight="1" x14ac:dyDescent="0.2">
      <c r="A120" s="40"/>
      <c r="B120" s="126"/>
      <c r="C120" s="41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>
        <f>SUM(D120:N120)</f>
        <v>0</v>
      </c>
      <c r="P120" s="174"/>
      <c r="Q120" s="174"/>
      <c r="R120" s="174"/>
      <c r="S120" s="174"/>
      <c r="T120" s="174"/>
      <c r="U120" s="174">
        <f>SUM(Q120:T120)</f>
        <v>0</v>
      </c>
      <c r="V120" s="174"/>
      <c r="W120" s="176">
        <f>O120+U120</f>
        <v>0</v>
      </c>
      <c r="X120" s="256"/>
    </row>
    <row r="121" spans="1:27" ht="9.9499999999999993" hidden="1" customHeight="1" x14ac:dyDescent="0.2">
      <c r="A121" s="40"/>
      <c r="B121" s="126"/>
      <c r="C121" s="41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6"/>
      <c r="X121" s="252"/>
    </row>
    <row r="122" spans="1:27" ht="24.95" hidden="1" customHeight="1" x14ac:dyDescent="0.2">
      <c r="A122" s="216" t="s">
        <v>90</v>
      </c>
      <c r="B122" s="212"/>
      <c r="C122" s="217" t="s">
        <v>88</v>
      </c>
      <c r="D122" s="174">
        <f>SUM(D117:D121)</f>
        <v>0</v>
      </c>
      <c r="E122" s="174">
        <f t="shared" ref="E122:K122" si="31">SUM(E117:E121)</f>
        <v>0</v>
      </c>
      <c r="F122" s="174">
        <f t="shared" si="31"/>
        <v>0</v>
      </c>
      <c r="G122" s="174">
        <f t="shared" si="31"/>
        <v>0</v>
      </c>
      <c r="H122" s="174">
        <f t="shared" si="31"/>
        <v>0</v>
      </c>
      <c r="I122" s="174">
        <f t="shared" si="31"/>
        <v>0</v>
      </c>
      <c r="J122" s="174">
        <f t="shared" si="31"/>
        <v>0</v>
      </c>
      <c r="K122" s="174">
        <f t="shared" si="31"/>
        <v>0</v>
      </c>
      <c r="L122" s="174">
        <f>SUM(L117:L121)</f>
        <v>0</v>
      </c>
      <c r="M122" s="174">
        <f t="shared" ref="M122:X122" si="32">SUM(M117:M121)</f>
        <v>0</v>
      </c>
      <c r="N122" s="174">
        <f>SUM(N117:N121)</f>
        <v>0</v>
      </c>
      <c r="O122" s="174">
        <f t="shared" si="32"/>
        <v>0</v>
      </c>
      <c r="P122" s="174"/>
      <c r="Q122" s="174">
        <f>SUM(Q117:Q121)</f>
        <v>0</v>
      </c>
      <c r="R122" s="174">
        <f>SUM(R117:R121)</f>
        <v>0</v>
      </c>
      <c r="S122" s="174">
        <f t="shared" si="32"/>
        <v>0</v>
      </c>
      <c r="T122" s="174">
        <f t="shared" si="32"/>
        <v>0</v>
      </c>
      <c r="U122" s="174">
        <f t="shared" si="32"/>
        <v>0</v>
      </c>
      <c r="V122" s="174"/>
      <c r="W122" s="269">
        <f t="shared" si="32"/>
        <v>0</v>
      </c>
      <c r="X122" s="269">
        <f t="shared" si="32"/>
        <v>0</v>
      </c>
    </row>
    <row r="123" spans="1:27" ht="24.95" hidden="1" customHeight="1" x14ac:dyDescent="0.2">
      <c r="A123" s="40"/>
      <c r="B123" s="31"/>
      <c r="C123" s="41"/>
      <c r="D123" s="174"/>
      <c r="E123" s="174"/>
      <c r="F123" s="174"/>
      <c r="G123" s="174"/>
      <c r="H123" s="174"/>
      <c r="I123" s="174"/>
      <c r="J123" s="174"/>
      <c r="K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6"/>
      <c r="X123" s="256"/>
    </row>
    <row r="124" spans="1:27" ht="24.95" hidden="1" customHeight="1" thickBot="1" x14ac:dyDescent="0.25">
      <c r="A124" s="40"/>
      <c r="B124" s="32"/>
      <c r="C124" s="3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6"/>
      <c r="X124" s="256"/>
    </row>
    <row r="125" spans="1:27" ht="24.95" hidden="1" customHeight="1" thickTop="1" thickBot="1" x14ac:dyDescent="0.25">
      <c r="A125" s="46"/>
      <c r="B125" s="268" t="s">
        <v>186</v>
      </c>
      <c r="C125" s="44" t="s">
        <v>91</v>
      </c>
      <c r="D125" s="178">
        <f t="shared" ref="D125:X125" si="33">D115+D122</f>
        <v>0</v>
      </c>
      <c r="E125" s="178">
        <f t="shared" si="33"/>
        <v>0</v>
      </c>
      <c r="F125" s="178">
        <f t="shared" si="33"/>
        <v>0</v>
      </c>
      <c r="G125" s="178">
        <f t="shared" si="33"/>
        <v>0</v>
      </c>
      <c r="H125" s="178">
        <f t="shared" si="33"/>
        <v>0</v>
      </c>
      <c r="I125" s="178">
        <f t="shared" si="33"/>
        <v>0</v>
      </c>
      <c r="J125" s="178">
        <f t="shared" si="33"/>
        <v>0</v>
      </c>
      <c r="K125" s="178">
        <f t="shared" si="33"/>
        <v>0</v>
      </c>
      <c r="L125" s="178">
        <f t="shared" si="33"/>
        <v>0</v>
      </c>
      <c r="M125" s="178">
        <f t="shared" si="33"/>
        <v>0</v>
      </c>
      <c r="N125" s="178">
        <f t="shared" si="33"/>
        <v>0</v>
      </c>
      <c r="O125" s="178">
        <f t="shared" si="33"/>
        <v>0</v>
      </c>
      <c r="P125" s="178"/>
      <c r="Q125" s="178">
        <f>Q115+Q122</f>
        <v>0</v>
      </c>
      <c r="R125" s="178">
        <f>R115+R122</f>
        <v>0</v>
      </c>
      <c r="S125" s="178">
        <f t="shared" si="33"/>
        <v>0</v>
      </c>
      <c r="T125" s="178">
        <f t="shared" si="33"/>
        <v>0</v>
      </c>
      <c r="U125" s="178">
        <f t="shared" si="33"/>
        <v>0</v>
      </c>
      <c r="V125" s="178"/>
      <c r="W125" s="179">
        <f t="shared" si="33"/>
        <v>0</v>
      </c>
      <c r="X125" s="179">
        <f t="shared" si="33"/>
        <v>0</v>
      </c>
    </row>
    <row r="126" spans="1:27" ht="24.95" hidden="1" customHeight="1" thickTop="1" thickBot="1" x14ac:dyDescent="0.25">
      <c r="A126" s="42"/>
      <c r="B126" s="43" t="s">
        <v>185</v>
      </c>
      <c r="C126" s="44" t="s">
        <v>151</v>
      </c>
      <c r="D126" s="210">
        <f t="shared" ref="D126:U126" si="34">D107+D125</f>
        <v>0</v>
      </c>
      <c r="E126" s="210">
        <f t="shared" si="34"/>
        <v>0</v>
      </c>
      <c r="F126" s="210">
        <f t="shared" si="34"/>
        <v>3666.453</v>
      </c>
      <c r="G126" s="210">
        <f t="shared" si="34"/>
        <v>5150</v>
      </c>
      <c r="H126" s="210">
        <f t="shared" si="34"/>
        <v>10144</v>
      </c>
      <c r="I126" s="210">
        <f t="shared" si="34"/>
        <v>0</v>
      </c>
      <c r="J126" s="210">
        <f t="shared" si="34"/>
        <v>0</v>
      </c>
      <c r="K126" s="210">
        <f t="shared" si="34"/>
        <v>0</v>
      </c>
      <c r="L126" s="210">
        <f t="shared" si="34"/>
        <v>564</v>
      </c>
      <c r="M126" s="210">
        <f t="shared" si="34"/>
        <v>1200</v>
      </c>
      <c r="N126" s="210">
        <f t="shared" si="34"/>
        <v>0</v>
      </c>
      <c r="O126" s="210">
        <f t="shared" si="34"/>
        <v>20724.453000000001</v>
      </c>
      <c r="P126" s="210"/>
      <c r="Q126" s="210">
        <f t="shared" si="34"/>
        <v>0</v>
      </c>
      <c r="R126" s="210">
        <f t="shared" si="34"/>
        <v>326996.53700000001</v>
      </c>
      <c r="S126" s="210">
        <f t="shared" si="34"/>
        <v>0</v>
      </c>
      <c r="T126" s="210">
        <f t="shared" si="34"/>
        <v>0</v>
      </c>
      <c r="U126" s="210">
        <f t="shared" si="34"/>
        <v>326996.53700000001</v>
      </c>
      <c r="V126" s="210"/>
      <c r="W126" s="179">
        <f>O126+U126</f>
        <v>347720.99</v>
      </c>
      <c r="X126" s="179">
        <f>X106+X125</f>
        <v>2635435.2319999998</v>
      </c>
      <c r="Y126" s="29"/>
      <c r="Z126" s="29"/>
      <c r="AA126" s="29"/>
    </row>
    <row r="127" spans="1:27" ht="24.95" hidden="1" customHeight="1" thickTop="1" x14ac:dyDescent="0.2">
      <c r="A127" s="187"/>
      <c r="B127" s="576" t="s">
        <v>189</v>
      </c>
      <c r="C127" s="24" t="s">
        <v>18</v>
      </c>
      <c r="D127" s="25">
        <f t="shared" ref="D127:O127" si="35">D126</f>
        <v>0</v>
      </c>
      <c r="E127" s="25">
        <f t="shared" si="35"/>
        <v>0</v>
      </c>
      <c r="F127" s="25">
        <f t="shared" si="35"/>
        <v>3666.453</v>
      </c>
      <c r="G127" s="25">
        <f t="shared" si="35"/>
        <v>5150</v>
      </c>
      <c r="H127" s="25">
        <f t="shared" si="35"/>
        <v>10144</v>
      </c>
      <c r="I127" s="25">
        <f t="shared" si="35"/>
        <v>0</v>
      </c>
      <c r="J127" s="25">
        <f t="shared" si="35"/>
        <v>0</v>
      </c>
      <c r="K127" s="25">
        <f t="shared" si="35"/>
        <v>0</v>
      </c>
      <c r="L127" s="25">
        <f t="shared" si="35"/>
        <v>564</v>
      </c>
      <c r="M127" s="25">
        <f t="shared" si="35"/>
        <v>1200</v>
      </c>
      <c r="N127" s="25">
        <f t="shared" si="35"/>
        <v>0</v>
      </c>
      <c r="O127" s="25">
        <f t="shared" si="35"/>
        <v>20724.453000000001</v>
      </c>
      <c r="P127" s="25"/>
      <c r="Q127" s="25">
        <f>Q126</f>
        <v>0</v>
      </c>
      <c r="R127" s="25">
        <f>R126</f>
        <v>326996.53700000001</v>
      </c>
      <c r="S127" s="25">
        <f>S126</f>
        <v>0</v>
      </c>
      <c r="T127" s="25">
        <f>T126</f>
        <v>0</v>
      </c>
      <c r="U127" s="25">
        <f>U126</f>
        <v>326996.53700000001</v>
      </c>
      <c r="V127" s="25"/>
      <c r="W127" s="247">
        <f>O127+U127</f>
        <v>347720.99</v>
      </c>
      <c r="X127" s="254">
        <f>X126</f>
        <v>2635435.2319999998</v>
      </c>
      <c r="Y127" s="29"/>
      <c r="Z127" s="29"/>
      <c r="AA127" s="29"/>
    </row>
    <row r="128" spans="1:27" ht="24.95" hidden="1" customHeight="1" x14ac:dyDescent="0.2">
      <c r="A128" s="213"/>
      <c r="B128" s="608"/>
      <c r="C128" s="522"/>
      <c r="D128" s="332"/>
      <c r="E128" s="332"/>
      <c r="F128" s="332"/>
      <c r="G128" s="332"/>
      <c r="H128" s="33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3"/>
      <c r="W128" s="523"/>
      <c r="X128" s="609"/>
      <c r="Y128" s="29"/>
      <c r="Z128" s="29"/>
      <c r="AA128" s="29"/>
    </row>
    <row r="129" spans="1:27" ht="24.95" hidden="1" customHeight="1" x14ac:dyDescent="0.2">
      <c r="A129" s="185">
        <v>1</v>
      </c>
      <c r="B129" s="607"/>
      <c r="C129" s="28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>
        <f>SUM(D129:N129)</f>
        <v>0</v>
      </c>
      <c r="P129" s="174"/>
      <c r="Q129" s="174"/>
      <c r="R129" s="174"/>
      <c r="S129" s="174"/>
      <c r="T129" s="174"/>
      <c r="U129" s="174">
        <f>SUM(Q129:T129)</f>
        <v>0</v>
      </c>
      <c r="V129" s="175"/>
      <c r="W129" s="176">
        <f t="shared" ref="W129:W134" si="36">O129+U129</f>
        <v>0</v>
      </c>
      <c r="X129" s="398"/>
      <c r="Y129" s="29"/>
      <c r="Z129" s="29"/>
      <c r="AA129" s="29"/>
    </row>
    <row r="130" spans="1:27" ht="24.95" hidden="1" customHeight="1" x14ac:dyDescent="0.2">
      <c r="A130" s="185">
        <v>2</v>
      </c>
      <c r="B130" s="606"/>
      <c r="C130" s="28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>
        <f>SUM(D130:N130)</f>
        <v>0</v>
      </c>
      <c r="P130" s="174"/>
      <c r="Q130" s="174"/>
      <c r="R130" s="174"/>
      <c r="S130" s="174"/>
      <c r="T130" s="174"/>
      <c r="U130" s="174">
        <f>SUM(Q130:T130)</f>
        <v>0</v>
      </c>
      <c r="V130" s="175"/>
      <c r="W130" s="176">
        <f t="shared" si="36"/>
        <v>0</v>
      </c>
      <c r="X130" s="398"/>
      <c r="Y130" s="29"/>
      <c r="Z130" s="29"/>
      <c r="AA130" s="29"/>
    </row>
    <row r="131" spans="1:27" ht="24.95" hidden="1" customHeight="1" x14ac:dyDescent="0.2">
      <c r="A131" s="185">
        <v>3</v>
      </c>
      <c r="B131" s="607"/>
      <c r="C131" s="28"/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>
        <f>SUM(D131:N131)</f>
        <v>0</v>
      </c>
      <c r="P131" s="174"/>
      <c r="Q131" s="174"/>
      <c r="R131" s="174"/>
      <c r="S131" s="174"/>
      <c r="T131" s="174"/>
      <c r="U131" s="174">
        <f>SUM(Q131:T131)</f>
        <v>0</v>
      </c>
      <c r="V131" s="175"/>
      <c r="W131" s="176">
        <f t="shared" si="36"/>
        <v>0</v>
      </c>
      <c r="X131" s="398"/>
      <c r="Y131" s="29"/>
      <c r="Z131" s="29"/>
      <c r="AA131" s="29"/>
    </row>
    <row r="132" spans="1:27" ht="24.95" hidden="1" customHeight="1" x14ac:dyDescent="0.2">
      <c r="A132" s="40">
        <v>4</v>
      </c>
      <c r="B132" s="607"/>
      <c r="C132" s="28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>
        <f>SUM(D132:N132)</f>
        <v>0</v>
      </c>
      <c r="P132" s="174"/>
      <c r="Q132" s="174"/>
      <c r="R132" s="174"/>
      <c r="S132" s="174"/>
      <c r="T132" s="174"/>
      <c r="U132" s="174">
        <f>SUM(Q132:T132)</f>
        <v>0</v>
      </c>
      <c r="V132" s="175"/>
      <c r="W132" s="176">
        <f t="shared" si="36"/>
        <v>0</v>
      </c>
      <c r="X132" s="398"/>
      <c r="Y132" s="29"/>
      <c r="Z132" s="29"/>
      <c r="AA132" s="29"/>
    </row>
    <row r="133" spans="1:27" ht="24.95" hidden="1" customHeight="1" x14ac:dyDescent="0.2">
      <c r="A133" s="40"/>
      <c r="B133" s="31"/>
      <c r="C133" s="41"/>
      <c r="D133" s="174"/>
      <c r="E133" s="174"/>
      <c r="F133" s="174"/>
      <c r="G133" s="174"/>
      <c r="H133" s="174"/>
      <c r="I133" s="174"/>
      <c r="J133" s="174"/>
      <c r="K133" s="174"/>
      <c r="L133" s="174"/>
      <c r="M133" s="174"/>
      <c r="N133" s="174"/>
      <c r="O133" s="174">
        <f>SUM(D133:N133)</f>
        <v>0</v>
      </c>
      <c r="P133" s="174"/>
      <c r="Q133" s="174"/>
      <c r="R133" s="174"/>
      <c r="S133" s="174"/>
      <c r="T133" s="174"/>
      <c r="U133" s="174">
        <f>SUM(Q133:T133)</f>
        <v>0</v>
      </c>
      <c r="V133" s="175"/>
      <c r="W133" s="176">
        <f t="shared" si="36"/>
        <v>0</v>
      </c>
      <c r="X133" s="398"/>
      <c r="Y133" s="29"/>
      <c r="Z133" s="29"/>
      <c r="AA133" s="29"/>
    </row>
    <row r="134" spans="1:27" ht="24.95" hidden="1" customHeight="1" x14ac:dyDescent="0.2">
      <c r="A134" s="40"/>
      <c r="B134" s="31"/>
      <c r="C134" s="41"/>
      <c r="D134" s="174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/>
      <c r="V134" s="175"/>
      <c r="W134" s="176">
        <f t="shared" si="36"/>
        <v>0</v>
      </c>
      <c r="X134" s="398"/>
      <c r="Y134" s="29"/>
      <c r="Z134" s="29"/>
      <c r="AA134" s="29"/>
    </row>
    <row r="135" spans="1:27" ht="24.95" hidden="1" customHeight="1" x14ac:dyDescent="0.2">
      <c r="A135" s="40"/>
      <c r="B135" s="129"/>
      <c r="C135" s="41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  <c r="V135" s="175"/>
      <c r="W135" s="176"/>
      <c r="X135" s="256"/>
      <c r="Y135" s="29"/>
      <c r="Z135" s="29"/>
      <c r="AA135" s="29"/>
    </row>
    <row r="136" spans="1:27" ht="24.95" hidden="1" customHeight="1" x14ac:dyDescent="0.2">
      <c r="A136" s="216" t="s">
        <v>89</v>
      </c>
      <c r="B136" s="212"/>
      <c r="C136" s="217" t="s">
        <v>87</v>
      </c>
      <c r="D136" s="174">
        <f t="shared" ref="D136:X136" si="37">SUM(D129:D135)</f>
        <v>0</v>
      </c>
      <c r="E136" s="174">
        <f t="shared" si="37"/>
        <v>0</v>
      </c>
      <c r="F136" s="174">
        <f t="shared" si="37"/>
        <v>0</v>
      </c>
      <c r="G136" s="174">
        <f t="shared" si="37"/>
        <v>0</v>
      </c>
      <c r="H136" s="174">
        <f t="shared" si="37"/>
        <v>0</v>
      </c>
      <c r="I136" s="174">
        <f t="shared" si="37"/>
        <v>0</v>
      </c>
      <c r="J136" s="174">
        <f t="shared" si="37"/>
        <v>0</v>
      </c>
      <c r="K136" s="174">
        <f t="shared" si="37"/>
        <v>0</v>
      </c>
      <c r="L136" s="174">
        <f t="shared" si="37"/>
        <v>0</v>
      </c>
      <c r="M136" s="174">
        <f t="shared" si="37"/>
        <v>0</v>
      </c>
      <c r="N136" s="174">
        <f t="shared" si="37"/>
        <v>0</v>
      </c>
      <c r="O136" s="174">
        <f t="shared" si="37"/>
        <v>0</v>
      </c>
      <c r="P136" s="174"/>
      <c r="Q136" s="174">
        <f t="shared" si="37"/>
        <v>0</v>
      </c>
      <c r="R136" s="174">
        <f t="shared" si="37"/>
        <v>0</v>
      </c>
      <c r="S136" s="174">
        <f t="shared" si="37"/>
        <v>0</v>
      </c>
      <c r="T136" s="174">
        <f t="shared" si="37"/>
        <v>0</v>
      </c>
      <c r="U136" s="174">
        <f t="shared" si="37"/>
        <v>0</v>
      </c>
      <c r="V136" s="174"/>
      <c r="W136" s="269">
        <f t="shared" si="37"/>
        <v>0</v>
      </c>
      <c r="X136" s="398">
        <f t="shared" si="37"/>
        <v>0</v>
      </c>
      <c r="Y136" s="29"/>
      <c r="Z136" s="29"/>
      <c r="AA136" s="29"/>
    </row>
    <row r="137" spans="1:27" ht="24.95" hidden="1" customHeight="1" x14ac:dyDescent="0.25">
      <c r="A137" s="40"/>
      <c r="C137" s="458"/>
      <c r="D137" s="458"/>
      <c r="E137" s="458"/>
      <c r="F137" s="458"/>
      <c r="G137" s="174"/>
      <c r="H137" s="174"/>
      <c r="I137" s="174"/>
      <c r="J137" s="174"/>
      <c r="K137" s="174"/>
      <c r="L137" s="174"/>
      <c r="M137" s="174"/>
      <c r="N137" s="174"/>
      <c r="O137" s="174">
        <f>SUM(D137:N137)</f>
        <v>0</v>
      </c>
      <c r="P137" s="174"/>
      <c r="Q137" s="174"/>
      <c r="R137" s="174"/>
      <c r="S137" s="174"/>
      <c r="T137" s="174"/>
      <c r="U137" s="174"/>
      <c r="V137" s="174"/>
      <c r="W137" s="176"/>
      <c r="X137" s="256"/>
      <c r="Y137" s="29"/>
      <c r="Z137" s="29"/>
      <c r="AA137" s="29"/>
    </row>
    <row r="138" spans="1:27" ht="24.95" hidden="1" customHeight="1" x14ac:dyDescent="0.2">
      <c r="A138" s="185" t="s">
        <v>114</v>
      </c>
      <c r="B138" s="233"/>
      <c r="C138" s="41"/>
      <c r="D138" s="174"/>
      <c r="E138" s="174"/>
      <c r="F138" s="174"/>
      <c r="G138" s="174"/>
      <c r="H138" s="174"/>
      <c r="I138" s="174"/>
      <c r="J138" s="174"/>
      <c r="K138" s="174"/>
      <c r="M138" s="174"/>
      <c r="N138" s="174"/>
      <c r="O138" s="174">
        <f>SUM(D138:N138)</f>
        <v>0</v>
      </c>
      <c r="P138" s="174"/>
      <c r="Q138" s="174"/>
      <c r="R138" s="174"/>
      <c r="S138" s="174"/>
      <c r="T138" s="174"/>
      <c r="U138" s="174">
        <f>SUM(Q138:T138)</f>
        <v>0</v>
      </c>
      <c r="V138" s="174"/>
      <c r="W138" s="176">
        <f>O138+U138</f>
        <v>0</v>
      </c>
      <c r="X138" s="256"/>
      <c r="Y138" s="29"/>
      <c r="Z138" s="29"/>
      <c r="AA138" s="29"/>
    </row>
    <row r="139" spans="1:27" ht="24.95" hidden="1" customHeight="1" x14ac:dyDescent="0.2">
      <c r="A139" s="185" t="s">
        <v>114</v>
      </c>
      <c r="B139" s="233"/>
      <c r="C139" s="41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>
        <f>SUM(D139:N139)</f>
        <v>0</v>
      </c>
      <c r="P139" s="174"/>
      <c r="Q139" s="174"/>
      <c r="R139" s="174"/>
      <c r="S139" s="174"/>
      <c r="T139" s="174"/>
      <c r="U139" s="174">
        <f>SUM(Q139:T139)</f>
        <v>0</v>
      </c>
      <c r="V139" s="174"/>
      <c r="W139" s="176">
        <f>O139+U139</f>
        <v>0</v>
      </c>
      <c r="X139" s="256"/>
      <c r="Y139" s="29"/>
      <c r="Z139" s="29"/>
      <c r="AA139" s="29"/>
    </row>
    <row r="140" spans="1:27" ht="24.95" hidden="1" customHeight="1" x14ac:dyDescent="0.2">
      <c r="A140" s="40"/>
      <c r="B140" s="126"/>
      <c r="C140" s="41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74"/>
      <c r="O140" s="174">
        <f>SUM(D140:N140)</f>
        <v>0</v>
      </c>
      <c r="P140" s="174"/>
      <c r="Q140" s="174"/>
      <c r="R140" s="174"/>
      <c r="S140" s="174"/>
      <c r="T140" s="174"/>
      <c r="U140" s="174">
        <f>SUM(Q140:T140)</f>
        <v>0</v>
      </c>
      <c r="V140" s="174"/>
      <c r="W140" s="176">
        <f>O140+U140</f>
        <v>0</v>
      </c>
      <c r="X140" s="256"/>
      <c r="Y140" s="29"/>
      <c r="Z140" s="29"/>
      <c r="AA140" s="29"/>
    </row>
    <row r="141" spans="1:27" ht="24.95" hidden="1" customHeight="1" x14ac:dyDescent="0.2">
      <c r="A141" s="40"/>
      <c r="B141" s="126"/>
      <c r="C141" s="41"/>
      <c r="D141" s="174"/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  <c r="R141" s="174"/>
      <c r="S141" s="174"/>
      <c r="T141" s="174"/>
      <c r="U141" s="174"/>
      <c r="V141" s="174"/>
      <c r="W141" s="176"/>
      <c r="X141" s="252"/>
      <c r="Y141" s="29"/>
      <c r="Z141" s="29"/>
      <c r="AA141" s="29"/>
    </row>
    <row r="142" spans="1:27" ht="24.95" hidden="1" customHeight="1" x14ac:dyDescent="0.2">
      <c r="A142" s="216" t="s">
        <v>90</v>
      </c>
      <c r="B142" s="212"/>
      <c r="C142" s="217" t="s">
        <v>88</v>
      </c>
      <c r="D142" s="174">
        <f t="shared" ref="D142:O142" si="38">SUM(D138:D141)</f>
        <v>0</v>
      </c>
      <c r="E142" s="174">
        <f t="shared" si="38"/>
        <v>0</v>
      </c>
      <c r="F142" s="174">
        <f t="shared" si="38"/>
        <v>0</v>
      </c>
      <c r="G142" s="174">
        <f t="shared" si="38"/>
        <v>0</v>
      </c>
      <c r="H142" s="174">
        <f t="shared" si="38"/>
        <v>0</v>
      </c>
      <c r="I142" s="174">
        <f t="shared" si="38"/>
        <v>0</v>
      </c>
      <c r="J142" s="174">
        <f t="shared" si="38"/>
        <v>0</v>
      </c>
      <c r="K142" s="174">
        <f t="shared" si="38"/>
        <v>0</v>
      </c>
      <c r="L142" s="174">
        <f t="shared" si="38"/>
        <v>0</v>
      </c>
      <c r="M142" s="174">
        <f t="shared" si="38"/>
        <v>0</v>
      </c>
      <c r="N142" s="174">
        <f t="shared" si="38"/>
        <v>0</v>
      </c>
      <c r="O142" s="174">
        <f t="shared" si="38"/>
        <v>0</v>
      </c>
      <c r="P142" s="174"/>
      <c r="Q142" s="174">
        <f>SUM(Q138:Q141)</f>
        <v>0</v>
      </c>
      <c r="R142" s="174">
        <f>SUM(R138:R141)</f>
        <v>0</v>
      </c>
      <c r="S142" s="174">
        <f>SUM(S138:S141)</f>
        <v>0</v>
      </c>
      <c r="T142" s="174">
        <f>SUM(T138:T141)</f>
        <v>0</v>
      </c>
      <c r="U142" s="174">
        <f>SUM(U138:U141)</f>
        <v>0</v>
      </c>
      <c r="V142" s="174"/>
      <c r="W142" s="269">
        <f>SUM(W138:W141)</f>
        <v>0</v>
      </c>
      <c r="X142" s="269">
        <f>SUM(X138:X141)</f>
        <v>0</v>
      </c>
      <c r="Y142" s="29"/>
      <c r="Z142" s="29"/>
      <c r="AA142" s="29"/>
    </row>
    <row r="143" spans="1:27" ht="24.95" hidden="1" customHeight="1" x14ac:dyDescent="0.2">
      <c r="A143" s="40"/>
      <c r="B143" s="31"/>
      <c r="C143" s="41"/>
      <c r="D143" s="174"/>
      <c r="E143" s="174"/>
      <c r="F143" s="174"/>
      <c r="G143" s="174"/>
      <c r="H143" s="174"/>
      <c r="I143" s="174"/>
      <c r="J143" s="174"/>
      <c r="K143" s="174"/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6"/>
      <c r="X143" s="256"/>
      <c r="Y143" s="29"/>
      <c r="Z143" s="29"/>
      <c r="AA143" s="29"/>
    </row>
    <row r="144" spans="1:27" ht="24.95" hidden="1" customHeight="1" thickBot="1" x14ac:dyDescent="0.25">
      <c r="A144" s="40"/>
      <c r="B144" s="32"/>
      <c r="C144" s="34"/>
      <c r="D144" s="174"/>
      <c r="E144" s="174"/>
      <c r="F144" s="174"/>
      <c r="G144" s="174"/>
      <c r="H144" s="174"/>
      <c r="I144" s="174"/>
      <c r="J144" s="174"/>
      <c r="K144" s="174"/>
      <c r="L144" s="174"/>
      <c r="M144" s="174"/>
      <c r="N144" s="174"/>
      <c r="O144" s="174"/>
      <c r="P144" s="174"/>
      <c r="Q144" s="174"/>
      <c r="R144" s="174"/>
      <c r="S144" s="174"/>
      <c r="T144" s="174"/>
      <c r="U144" s="174"/>
      <c r="V144" s="174"/>
      <c r="W144" s="176"/>
      <c r="X144" s="256"/>
      <c r="Y144" s="29"/>
      <c r="Z144" s="29"/>
      <c r="AA144" s="29"/>
    </row>
    <row r="145" spans="1:27" ht="24.95" hidden="1" customHeight="1" thickTop="1" thickBot="1" x14ac:dyDescent="0.25">
      <c r="A145" s="46"/>
      <c r="B145" s="268" t="s">
        <v>188</v>
      </c>
      <c r="C145" s="44" t="s">
        <v>91</v>
      </c>
      <c r="D145" s="178">
        <f t="shared" ref="D145:O145" si="39">D136+D142</f>
        <v>0</v>
      </c>
      <c r="E145" s="178">
        <f t="shared" si="39"/>
        <v>0</v>
      </c>
      <c r="F145" s="178">
        <f t="shared" si="39"/>
        <v>0</v>
      </c>
      <c r="G145" s="178">
        <f t="shared" si="39"/>
        <v>0</v>
      </c>
      <c r="H145" s="178">
        <f t="shared" si="39"/>
        <v>0</v>
      </c>
      <c r="I145" s="178">
        <f t="shared" si="39"/>
        <v>0</v>
      </c>
      <c r="J145" s="178">
        <f t="shared" si="39"/>
        <v>0</v>
      </c>
      <c r="K145" s="178">
        <f t="shared" si="39"/>
        <v>0</v>
      </c>
      <c r="L145" s="178">
        <f t="shared" si="39"/>
        <v>0</v>
      </c>
      <c r="M145" s="178">
        <f t="shared" si="39"/>
        <v>0</v>
      </c>
      <c r="N145" s="178">
        <f t="shared" si="39"/>
        <v>0</v>
      </c>
      <c r="O145" s="178">
        <f t="shared" si="39"/>
        <v>0</v>
      </c>
      <c r="P145" s="178"/>
      <c r="Q145" s="178">
        <f>Q136+Q142</f>
        <v>0</v>
      </c>
      <c r="R145" s="178">
        <f>R136+R142</f>
        <v>0</v>
      </c>
      <c r="S145" s="178">
        <f>S136+S142</f>
        <v>0</v>
      </c>
      <c r="T145" s="178">
        <f>T136+T142</f>
        <v>0</v>
      </c>
      <c r="U145" s="178">
        <f>U136+U142</f>
        <v>0</v>
      </c>
      <c r="V145" s="178"/>
      <c r="W145" s="179">
        <f>W136+W142</f>
        <v>0</v>
      </c>
      <c r="X145" s="179">
        <f>X136+X142</f>
        <v>0</v>
      </c>
      <c r="Y145" s="29"/>
      <c r="Z145" s="29"/>
      <c r="AA145" s="29"/>
    </row>
    <row r="146" spans="1:27" ht="24.95" hidden="1" customHeight="1" thickTop="1" thickBot="1" x14ac:dyDescent="0.25">
      <c r="A146" s="42"/>
      <c r="B146" s="43" t="s">
        <v>189</v>
      </c>
      <c r="C146" s="44" t="s">
        <v>151</v>
      </c>
      <c r="D146" s="210">
        <f t="shared" ref="D146:O146" si="40">D127+D145</f>
        <v>0</v>
      </c>
      <c r="E146" s="210">
        <f t="shared" si="40"/>
        <v>0</v>
      </c>
      <c r="F146" s="210">
        <f t="shared" si="40"/>
        <v>3666.453</v>
      </c>
      <c r="G146" s="210">
        <f t="shared" si="40"/>
        <v>5150</v>
      </c>
      <c r="H146" s="210">
        <f t="shared" si="40"/>
        <v>10144</v>
      </c>
      <c r="I146" s="210">
        <f t="shared" si="40"/>
        <v>0</v>
      </c>
      <c r="J146" s="210">
        <f t="shared" si="40"/>
        <v>0</v>
      </c>
      <c r="K146" s="210">
        <f t="shared" si="40"/>
        <v>0</v>
      </c>
      <c r="L146" s="210">
        <f t="shared" si="40"/>
        <v>564</v>
      </c>
      <c r="M146" s="210">
        <f t="shared" si="40"/>
        <v>1200</v>
      </c>
      <c r="N146" s="210">
        <f t="shared" si="40"/>
        <v>0</v>
      </c>
      <c r="O146" s="210">
        <f t="shared" si="40"/>
        <v>20724.453000000001</v>
      </c>
      <c r="P146" s="210"/>
      <c r="Q146" s="210">
        <f>Q127+Q145</f>
        <v>0</v>
      </c>
      <c r="R146" s="210">
        <f>R127+R145</f>
        <v>326996.53700000001</v>
      </c>
      <c r="S146" s="210">
        <f>S127+S145</f>
        <v>0</v>
      </c>
      <c r="T146" s="210">
        <f>T127+T145</f>
        <v>0</v>
      </c>
      <c r="U146" s="210">
        <f>U127+U145</f>
        <v>326996.53700000001</v>
      </c>
      <c r="V146" s="210"/>
      <c r="W146" s="179">
        <f>O146+U146</f>
        <v>347720.99</v>
      </c>
      <c r="X146" s="179">
        <f>X126+X145</f>
        <v>2635435.2319999998</v>
      </c>
      <c r="Y146" s="29"/>
      <c r="Z146" s="29"/>
      <c r="AA146" s="29"/>
    </row>
    <row r="147" spans="1:27" ht="24.95" hidden="1" customHeight="1" thickTop="1" x14ac:dyDescent="0.2">
      <c r="A147" s="213"/>
      <c r="B147" s="228"/>
      <c r="C147" s="229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  <c r="N147" s="266"/>
      <c r="O147" s="266">
        <f t="shared" ref="O147:O153" si="41">SUM(D147:N147)</f>
        <v>0</v>
      </c>
      <c r="P147" s="266"/>
      <c r="Q147" s="266"/>
      <c r="R147" s="266"/>
      <c r="S147" s="266"/>
      <c r="T147" s="266"/>
      <c r="U147" s="266">
        <f t="shared" ref="U147:U153" si="42">SUM(Q147:T147)</f>
        <v>0</v>
      </c>
      <c r="V147" s="267"/>
      <c r="W147" s="347">
        <f t="shared" ref="W147:W154" si="43">O147+U147</f>
        <v>0</v>
      </c>
      <c r="X147" s="348"/>
      <c r="Y147" s="29"/>
      <c r="Z147" s="29"/>
      <c r="AA147" s="29"/>
    </row>
    <row r="148" spans="1:27" ht="24.95" hidden="1" customHeight="1" x14ac:dyDescent="0.2">
      <c r="A148" s="213"/>
      <c r="B148" s="228"/>
      <c r="C148" s="229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>
        <f t="shared" si="41"/>
        <v>0</v>
      </c>
      <c r="P148" s="266"/>
      <c r="Q148" s="266"/>
      <c r="R148" s="266"/>
      <c r="S148" s="266"/>
      <c r="T148" s="266"/>
      <c r="U148" s="266">
        <f t="shared" si="42"/>
        <v>0</v>
      </c>
      <c r="V148" s="267"/>
      <c r="W148" s="347">
        <f t="shared" si="43"/>
        <v>0</v>
      </c>
      <c r="X148" s="348"/>
      <c r="Y148" s="29"/>
      <c r="Z148" s="29"/>
      <c r="AA148" s="29"/>
    </row>
    <row r="149" spans="1:27" ht="24.95" hidden="1" customHeight="1" x14ac:dyDescent="0.2">
      <c r="A149" s="213"/>
      <c r="B149" s="228"/>
      <c r="C149" s="229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>
        <f t="shared" si="41"/>
        <v>0</v>
      </c>
      <c r="P149" s="266"/>
      <c r="Q149" s="266"/>
      <c r="R149" s="266"/>
      <c r="S149" s="266"/>
      <c r="T149" s="266"/>
      <c r="U149" s="266">
        <f t="shared" si="42"/>
        <v>0</v>
      </c>
      <c r="V149" s="267"/>
      <c r="W149" s="347">
        <f t="shared" si="43"/>
        <v>0</v>
      </c>
      <c r="X149" s="348"/>
      <c r="Y149" s="29"/>
      <c r="Z149" s="29"/>
      <c r="AA149" s="29"/>
    </row>
    <row r="150" spans="1:27" ht="24.95" hidden="1" customHeight="1" x14ac:dyDescent="0.2">
      <c r="A150" s="40"/>
      <c r="B150" s="48" t="s">
        <v>85</v>
      </c>
      <c r="C150" s="49" t="s">
        <v>23</v>
      </c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>
        <f t="shared" si="41"/>
        <v>0</v>
      </c>
      <c r="P150" s="159"/>
      <c r="Q150" s="159"/>
      <c r="R150" s="159"/>
      <c r="S150" s="159"/>
      <c r="T150" s="159"/>
      <c r="U150" s="159">
        <f t="shared" si="42"/>
        <v>0</v>
      </c>
      <c r="V150" s="165"/>
      <c r="W150" s="176">
        <f t="shared" si="43"/>
        <v>0</v>
      </c>
      <c r="X150" s="285"/>
    </row>
    <row r="151" spans="1:27" ht="24.95" hidden="1" customHeight="1" x14ac:dyDescent="0.2">
      <c r="A151" s="40"/>
      <c r="B151" s="48" t="s">
        <v>25</v>
      </c>
      <c r="C151" s="49" t="s">
        <v>23</v>
      </c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>
        <f t="shared" si="41"/>
        <v>0</v>
      </c>
      <c r="P151" s="159"/>
      <c r="Q151" s="159"/>
      <c r="R151" s="159"/>
      <c r="S151" s="159"/>
      <c r="T151" s="159"/>
      <c r="U151" s="159">
        <f t="shared" si="42"/>
        <v>0</v>
      </c>
      <c r="V151" s="165"/>
      <c r="W151" s="176">
        <f t="shared" si="43"/>
        <v>0</v>
      </c>
      <c r="X151" s="285"/>
    </row>
    <row r="152" spans="1:27" ht="24.95" hidden="1" customHeight="1" x14ac:dyDescent="0.2">
      <c r="A152" s="40"/>
      <c r="B152" s="48" t="s">
        <v>74</v>
      </c>
      <c r="C152" s="49" t="s">
        <v>23</v>
      </c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>
        <f t="shared" si="41"/>
        <v>0</v>
      </c>
      <c r="P152" s="159"/>
      <c r="Q152" s="159"/>
      <c r="R152" s="159"/>
      <c r="S152" s="159"/>
      <c r="T152" s="159"/>
      <c r="U152" s="159">
        <f t="shared" si="42"/>
        <v>0</v>
      </c>
      <c r="V152" s="165"/>
      <c r="W152" s="176">
        <f t="shared" si="43"/>
        <v>0</v>
      </c>
      <c r="X152" s="285"/>
    </row>
    <row r="153" spans="1:27" ht="24.95" hidden="1" customHeight="1" x14ac:dyDescent="0.2">
      <c r="A153" s="40"/>
      <c r="B153" s="48"/>
      <c r="C153" s="41" t="s">
        <v>69</v>
      </c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>
        <f t="shared" si="41"/>
        <v>0</v>
      </c>
      <c r="P153" s="159"/>
      <c r="Q153" s="159"/>
      <c r="R153" s="159"/>
      <c r="S153" s="159"/>
      <c r="T153" s="159"/>
      <c r="U153" s="159">
        <f t="shared" si="42"/>
        <v>0</v>
      </c>
      <c r="V153" s="165"/>
      <c r="W153" s="176">
        <f t="shared" si="43"/>
        <v>0</v>
      </c>
      <c r="X153" s="285"/>
    </row>
    <row r="154" spans="1:27" ht="24.95" hidden="1" customHeight="1" thickBot="1" x14ac:dyDescent="0.25">
      <c r="A154" s="40"/>
      <c r="B154" s="48"/>
      <c r="C154" s="49"/>
      <c r="D154" s="159"/>
      <c r="E154" s="159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65"/>
      <c r="W154" s="176">
        <f t="shared" si="43"/>
        <v>0</v>
      </c>
      <c r="X154" s="285"/>
    </row>
    <row r="155" spans="1:27" ht="24.95" hidden="1" customHeight="1" thickTop="1" thickBot="1" x14ac:dyDescent="0.25">
      <c r="A155" s="47"/>
      <c r="B155" s="43"/>
      <c r="C155" s="44" t="s">
        <v>31</v>
      </c>
      <c r="D155" s="167">
        <f t="shared" ref="D155:M155" si="44">SUM(D150:D154)</f>
        <v>0</v>
      </c>
      <c r="E155" s="167">
        <f t="shared" si="44"/>
        <v>0</v>
      </c>
      <c r="F155" s="167">
        <f t="shared" si="44"/>
        <v>0</v>
      </c>
      <c r="G155" s="167">
        <f t="shared" si="44"/>
        <v>0</v>
      </c>
      <c r="H155" s="167">
        <f t="shared" si="44"/>
        <v>0</v>
      </c>
      <c r="I155" s="167">
        <f t="shared" si="44"/>
        <v>0</v>
      </c>
      <c r="J155" s="167">
        <f t="shared" si="44"/>
        <v>0</v>
      </c>
      <c r="K155" s="167">
        <f t="shared" si="44"/>
        <v>0</v>
      </c>
      <c r="L155" s="167">
        <f t="shared" si="44"/>
        <v>0</v>
      </c>
      <c r="M155" s="167">
        <f t="shared" si="44"/>
        <v>0</v>
      </c>
      <c r="N155" s="167">
        <f t="shared" ref="N155:U155" si="45">SUM(N150:N154)</f>
        <v>0</v>
      </c>
      <c r="O155" s="167">
        <f t="shared" si="45"/>
        <v>0</v>
      </c>
      <c r="P155" s="167"/>
      <c r="Q155" s="167">
        <f>SUM(Q150:Q154)</f>
        <v>0</v>
      </c>
      <c r="R155" s="167">
        <f>SUM(R150:R154)</f>
        <v>0</v>
      </c>
      <c r="S155" s="167">
        <f t="shared" si="45"/>
        <v>0</v>
      </c>
      <c r="T155" s="167">
        <f t="shared" si="45"/>
        <v>0</v>
      </c>
      <c r="U155" s="167">
        <f t="shared" si="45"/>
        <v>0</v>
      </c>
      <c r="V155" s="282"/>
      <c r="W155" s="180">
        <f>O155+U155</f>
        <v>0</v>
      </c>
      <c r="X155" s="288">
        <f>SUM(X150:X154)</f>
        <v>0</v>
      </c>
    </row>
    <row r="156" spans="1:27" ht="9.9499999999999993" hidden="1" customHeight="1" thickTop="1" x14ac:dyDescent="0.2">
      <c r="A156" s="192"/>
      <c r="B156" s="193"/>
      <c r="C156" s="194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  <c r="R156" s="195"/>
      <c r="S156" s="195"/>
      <c r="T156" s="195"/>
      <c r="U156" s="195"/>
      <c r="V156" s="196"/>
      <c r="W156" s="277"/>
      <c r="X156" s="289"/>
    </row>
    <row r="157" spans="1:27" ht="24.95" hidden="1" customHeight="1" x14ac:dyDescent="0.2">
      <c r="A157" s="197"/>
      <c r="B157" s="198"/>
      <c r="C157" s="206" t="s">
        <v>69</v>
      </c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>
        <f>SUM(D157:N157)</f>
        <v>0</v>
      </c>
      <c r="P157" s="199"/>
      <c r="Q157" s="199"/>
      <c r="R157" s="199"/>
      <c r="S157" s="199"/>
      <c r="T157" s="199"/>
      <c r="U157" s="199">
        <f>SUM(Q157:T157)</f>
        <v>0</v>
      </c>
      <c r="V157" s="200"/>
      <c r="W157" s="278">
        <f>O157+U157</f>
        <v>0</v>
      </c>
      <c r="X157" s="290"/>
    </row>
    <row r="158" spans="1:27" ht="9.9499999999999993" hidden="1" customHeight="1" thickBot="1" x14ac:dyDescent="0.25">
      <c r="A158" s="201"/>
      <c r="B158" s="202"/>
      <c r="C158" s="203"/>
      <c r="D158" s="204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5"/>
      <c r="W158" s="279"/>
      <c r="X158" s="291"/>
    </row>
    <row r="159" spans="1:27" ht="24.95" hidden="1" customHeight="1" thickTop="1" thickBot="1" x14ac:dyDescent="0.25">
      <c r="A159" s="92"/>
      <c r="B159" s="92" t="s">
        <v>95</v>
      </c>
      <c r="C159" s="44" t="s">
        <v>151</v>
      </c>
      <c r="D159" s="210">
        <f t="shared" ref="D159:O159" si="46">D126+D155</f>
        <v>0</v>
      </c>
      <c r="E159" s="210">
        <f t="shared" si="46"/>
        <v>0</v>
      </c>
      <c r="F159" s="210">
        <f t="shared" si="46"/>
        <v>3666.453</v>
      </c>
      <c r="G159" s="210">
        <f t="shared" si="46"/>
        <v>5150</v>
      </c>
      <c r="H159" s="210">
        <f t="shared" si="46"/>
        <v>10144</v>
      </c>
      <c r="I159" s="210">
        <f t="shared" si="46"/>
        <v>0</v>
      </c>
      <c r="J159" s="210">
        <f t="shared" si="46"/>
        <v>0</v>
      </c>
      <c r="K159" s="210">
        <f t="shared" si="46"/>
        <v>0</v>
      </c>
      <c r="L159" s="210">
        <f t="shared" si="46"/>
        <v>564</v>
      </c>
      <c r="M159" s="210">
        <f t="shared" si="46"/>
        <v>1200</v>
      </c>
      <c r="N159" s="210">
        <f t="shared" si="46"/>
        <v>0</v>
      </c>
      <c r="O159" s="210">
        <f t="shared" si="46"/>
        <v>20724.453000000001</v>
      </c>
      <c r="P159" s="210"/>
      <c r="Q159" s="210">
        <f>Q126+Q155</f>
        <v>0</v>
      </c>
      <c r="R159" s="210">
        <f>R126+R155</f>
        <v>326996.53700000001</v>
      </c>
      <c r="S159" s="210">
        <f>S126+S155</f>
        <v>0</v>
      </c>
      <c r="T159" s="210">
        <f>T126+T155</f>
        <v>0</v>
      </c>
      <c r="U159" s="210">
        <f>U126+U155</f>
        <v>326996.53700000001</v>
      </c>
      <c r="V159" s="283"/>
      <c r="W159" s="179">
        <f>W126+W155+W157</f>
        <v>347720.99</v>
      </c>
      <c r="X159" s="292">
        <f>X146+X155+X157</f>
        <v>2635435.2319999998</v>
      </c>
      <c r="AA159" s="29"/>
    </row>
    <row r="160" spans="1:27" ht="24.95" hidden="1" customHeight="1" thickTop="1" x14ac:dyDescent="0.2">
      <c r="A160" s="187"/>
      <c r="B160" s="188"/>
      <c r="C160" s="136" t="s">
        <v>18</v>
      </c>
      <c r="D160" s="25">
        <f t="shared" ref="D160:L160" si="47">D159</f>
        <v>0</v>
      </c>
      <c r="E160" s="25">
        <f t="shared" si="47"/>
        <v>0</v>
      </c>
      <c r="F160" s="25">
        <f t="shared" si="47"/>
        <v>3666.453</v>
      </c>
      <c r="G160" s="25">
        <f t="shared" si="47"/>
        <v>5150</v>
      </c>
      <c r="H160" s="25">
        <f t="shared" si="47"/>
        <v>10144</v>
      </c>
      <c r="I160" s="25">
        <f t="shared" si="47"/>
        <v>0</v>
      </c>
      <c r="J160" s="25">
        <f t="shared" si="47"/>
        <v>0</v>
      </c>
      <c r="K160" s="25">
        <f t="shared" si="47"/>
        <v>0</v>
      </c>
      <c r="L160" s="25">
        <f t="shared" si="47"/>
        <v>564</v>
      </c>
      <c r="M160" s="25">
        <f t="shared" ref="M160:U160" si="48">M159</f>
        <v>1200</v>
      </c>
      <c r="N160" s="25">
        <f t="shared" si="48"/>
        <v>0</v>
      </c>
      <c r="O160" s="25">
        <f t="shared" si="48"/>
        <v>20724.453000000001</v>
      </c>
      <c r="P160" s="25"/>
      <c r="Q160" s="25">
        <f>Q159</f>
        <v>0</v>
      </c>
      <c r="R160" s="25">
        <f>R159</f>
        <v>326996.53700000001</v>
      </c>
      <c r="S160" s="25">
        <f t="shared" si="48"/>
        <v>0</v>
      </c>
      <c r="T160" s="25">
        <f t="shared" si="48"/>
        <v>0</v>
      </c>
      <c r="U160" s="25">
        <f t="shared" si="48"/>
        <v>326996.53700000001</v>
      </c>
      <c r="V160" s="25"/>
      <c r="W160" s="190">
        <f>O160+U160</f>
        <v>347720.99</v>
      </c>
      <c r="X160" s="293">
        <f>X159</f>
        <v>2635435.2319999998</v>
      </c>
    </row>
    <row r="161" spans="1:24" ht="20.100000000000001" hidden="1" customHeight="1" x14ac:dyDescent="0.2">
      <c r="A161" s="185">
        <v>1</v>
      </c>
      <c r="B161" s="414"/>
      <c r="C161" s="295"/>
      <c r="D161" s="296"/>
      <c r="E161" s="174"/>
      <c r="F161" s="174"/>
      <c r="G161" s="174"/>
      <c r="H161" s="182"/>
      <c r="I161" s="174"/>
      <c r="J161" s="174"/>
      <c r="K161" s="174"/>
      <c r="L161" s="174"/>
      <c r="M161" s="174"/>
      <c r="N161" s="174"/>
      <c r="O161" s="174">
        <f t="shared" ref="O161:O178" si="49">SUM(D161:N161)</f>
        <v>0</v>
      </c>
      <c r="P161" s="174"/>
      <c r="Q161" s="174"/>
      <c r="R161" s="174"/>
      <c r="S161" s="174"/>
      <c r="T161" s="174"/>
      <c r="U161" s="174">
        <f t="shared" ref="U161:U178" si="50">SUM(Q161:T161)</f>
        <v>0</v>
      </c>
      <c r="V161" s="175"/>
      <c r="W161" s="176">
        <f t="shared" ref="W161:W178" si="51">O161+U161</f>
        <v>0</v>
      </c>
      <c r="X161" s="181"/>
    </row>
    <row r="162" spans="1:24" ht="20.100000000000001" hidden="1" customHeight="1" x14ac:dyDescent="0.2">
      <c r="A162" s="410">
        <v>2</v>
      </c>
      <c r="B162" s="411"/>
      <c r="C162" s="39"/>
      <c r="D162" s="174"/>
      <c r="E162" s="174"/>
      <c r="F162" s="174"/>
      <c r="G162" s="174"/>
      <c r="H162" s="182"/>
      <c r="I162" s="174"/>
      <c r="J162" s="174"/>
      <c r="K162" s="174"/>
      <c r="L162" s="174"/>
      <c r="M162" s="174"/>
      <c r="N162" s="174"/>
      <c r="O162" s="174">
        <f t="shared" si="49"/>
        <v>0</v>
      </c>
      <c r="P162" s="174"/>
      <c r="Q162" s="174"/>
      <c r="R162" s="174"/>
      <c r="S162" s="174"/>
      <c r="T162" s="174"/>
      <c r="U162" s="174">
        <f t="shared" si="50"/>
        <v>0</v>
      </c>
      <c r="V162" s="175"/>
      <c r="W162" s="176">
        <f t="shared" si="51"/>
        <v>0</v>
      </c>
      <c r="X162" s="181"/>
    </row>
    <row r="163" spans="1:24" ht="20.100000000000001" hidden="1" customHeight="1" x14ac:dyDescent="0.2">
      <c r="A163" s="185">
        <v>3</v>
      </c>
      <c r="B163" s="415"/>
      <c r="C163" s="33"/>
      <c r="D163" s="174"/>
      <c r="E163" s="174"/>
      <c r="F163" s="174"/>
      <c r="G163" s="174"/>
      <c r="H163" s="182"/>
      <c r="I163" s="174"/>
      <c r="J163" s="174"/>
      <c r="K163" s="174"/>
      <c r="L163" s="174"/>
      <c r="M163" s="174"/>
      <c r="N163" s="174"/>
      <c r="O163" s="174">
        <f t="shared" si="49"/>
        <v>0</v>
      </c>
      <c r="P163" s="174"/>
      <c r="Q163" s="174"/>
      <c r="R163" s="174"/>
      <c r="S163" s="174"/>
      <c r="T163" s="174"/>
      <c r="U163" s="174">
        <f t="shared" si="50"/>
        <v>0</v>
      </c>
      <c r="V163" s="175"/>
      <c r="W163" s="176">
        <f t="shared" si="51"/>
        <v>0</v>
      </c>
      <c r="X163" s="181"/>
    </row>
    <row r="164" spans="1:24" ht="20.100000000000001" hidden="1" customHeight="1" x14ac:dyDescent="0.2">
      <c r="A164" s="410">
        <v>4</v>
      </c>
      <c r="B164" s="50"/>
      <c r="C164" s="33"/>
      <c r="D164" s="174"/>
      <c r="E164" s="174"/>
      <c r="F164" s="174"/>
      <c r="G164" s="174"/>
      <c r="H164" s="182"/>
      <c r="I164" s="174"/>
      <c r="J164" s="174"/>
      <c r="K164" s="174"/>
      <c r="L164" s="174"/>
      <c r="M164" s="174"/>
      <c r="N164" s="174"/>
      <c r="O164" s="174">
        <f t="shared" si="49"/>
        <v>0</v>
      </c>
      <c r="P164" s="174"/>
      <c r="Q164" s="174"/>
      <c r="R164" s="174"/>
      <c r="S164" s="174"/>
      <c r="T164" s="174"/>
      <c r="U164" s="174">
        <f t="shared" si="50"/>
        <v>0</v>
      </c>
      <c r="V164" s="175"/>
      <c r="W164" s="176">
        <f t="shared" si="51"/>
        <v>0</v>
      </c>
      <c r="X164" s="181"/>
    </row>
    <row r="165" spans="1:24" ht="20.100000000000001" hidden="1" customHeight="1" x14ac:dyDescent="0.2">
      <c r="A165" s="185">
        <v>5</v>
      </c>
      <c r="B165" s="50"/>
      <c r="C165" s="33"/>
      <c r="D165" s="174"/>
      <c r="E165" s="174"/>
      <c r="F165" s="174"/>
      <c r="G165" s="174"/>
      <c r="H165" s="182"/>
      <c r="I165" s="174"/>
      <c r="J165" s="174"/>
      <c r="K165" s="174"/>
      <c r="L165" s="174"/>
      <c r="M165" s="174"/>
      <c r="N165" s="174"/>
      <c r="O165" s="174">
        <f t="shared" si="49"/>
        <v>0</v>
      </c>
      <c r="P165" s="174"/>
      <c r="Q165" s="174"/>
      <c r="R165" s="174"/>
      <c r="S165" s="174"/>
      <c r="T165" s="174"/>
      <c r="U165" s="174">
        <f t="shared" si="50"/>
        <v>0</v>
      </c>
      <c r="V165" s="175"/>
      <c r="W165" s="176">
        <f t="shared" si="51"/>
        <v>0</v>
      </c>
      <c r="X165" s="181"/>
    </row>
    <row r="166" spans="1:24" ht="20.100000000000001" hidden="1" customHeight="1" x14ac:dyDescent="0.2">
      <c r="A166" s="410">
        <v>6</v>
      </c>
      <c r="B166" s="297"/>
      <c r="C166" s="462"/>
      <c r="D166" s="463"/>
      <c r="E166" s="174"/>
      <c r="F166" s="174"/>
      <c r="G166" s="174"/>
      <c r="H166" s="182"/>
      <c r="I166" s="174"/>
      <c r="J166" s="174"/>
      <c r="K166" s="174"/>
      <c r="L166" s="174"/>
      <c r="M166" s="174"/>
      <c r="N166" s="174"/>
      <c r="O166" s="174">
        <f t="shared" si="49"/>
        <v>0</v>
      </c>
      <c r="P166" s="174"/>
      <c r="Q166" s="174"/>
      <c r="R166" s="174"/>
      <c r="S166" s="174"/>
      <c r="T166" s="174"/>
      <c r="U166" s="174">
        <f t="shared" si="50"/>
        <v>0</v>
      </c>
      <c r="V166" s="175"/>
      <c r="W166" s="176">
        <f t="shared" si="51"/>
        <v>0</v>
      </c>
      <c r="X166" s="181"/>
    </row>
    <row r="167" spans="1:24" ht="20.100000000000001" hidden="1" customHeight="1" x14ac:dyDescent="0.2">
      <c r="A167" s="185">
        <v>7</v>
      </c>
      <c r="B167" s="297"/>
      <c r="C167" s="462"/>
      <c r="D167" s="463"/>
      <c r="E167" s="174"/>
      <c r="F167" s="174"/>
      <c r="G167" s="174"/>
      <c r="H167" s="182"/>
      <c r="I167" s="174"/>
      <c r="J167" s="174"/>
      <c r="K167" s="174"/>
      <c r="L167" s="174"/>
      <c r="M167" s="174"/>
      <c r="N167" s="174"/>
      <c r="O167" s="174">
        <f t="shared" si="49"/>
        <v>0</v>
      </c>
      <c r="P167" s="174"/>
      <c r="Q167" s="174"/>
      <c r="R167" s="174"/>
      <c r="S167" s="174"/>
      <c r="T167" s="174"/>
      <c r="U167" s="174">
        <f t="shared" si="50"/>
        <v>0</v>
      </c>
      <c r="V167" s="175"/>
      <c r="W167" s="176">
        <f t="shared" si="51"/>
        <v>0</v>
      </c>
      <c r="X167" s="181"/>
    </row>
    <row r="168" spans="1:24" ht="20.100000000000001" hidden="1" customHeight="1" x14ac:dyDescent="0.2">
      <c r="A168" s="410">
        <v>8</v>
      </c>
      <c r="B168" s="297"/>
      <c r="C168" s="462"/>
      <c r="D168" s="463"/>
      <c r="E168" s="174"/>
      <c r="F168" s="174"/>
      <c r="G168" s="174"/>
      <c r="H168" s="182"/>
      <c r="I168" s="174"/>
      <c r="J168" s="174"/>
      <c r="K168" s="174"/>
      <c r="L168" s="174"/>
      <c r="M168" s="174"/>
      <c r="N168" s="174"/>
      <c r="O168" s="174">
        <f t="shared" si="49"/>
        <v>0</v>
      </c>
      <c r="P168" s="174"/>
      <c r="Q168" s="174"/>
      <c r="R168" s="174"/>
      <c r="S168" s="174"/>
      <c r="T168" s="174"/>
      <c r="U168" s="174">
        <f t="shared" si="50"/>
        <v>0</v>
      </c>
      <c r="V168" s="175"/>
      <c r="W168" s="176">
        <f t="shared" si="51"/>
        <v>0</v>
      </c>
      <c r="X168" s="181"/>
    </row>
    <row r="169" spans="1:24" ht="20.100000000000001" hidden="1" customHeight="1" x14ac:dyDescent="0.2">
      <c r="A169" s="185">
        <v>9</v>
      </c>
      <c r="B169" s="297"/>
      <c r="C169" s="462"/>
      <c r="D169" s="463"/>
      <c r="E169" s="174"/>
      <c r="F169" s="174"/>
      <c r="G169" s="174"/>
      <c r="H169" s="182"/>
      <c r="I169" s="174"/>
      <c r="J169" s="174"/>
      <c r="K169" s="174"/>
      <c r="L169" s="174"/>
      <c r="M169" s="174"/>
      <c r="N169" s="174"/>
      <c r="O169" s="174">
        <f t="shared" si="49"/>
        <v>0</v>
      </c>
      <c r="P169" s="174"/>
      <c r="Q169" s="174"/>
      <c r="R169" s="174"/>
      <c r="S169" s="174"/>
      <c r="T169" s="174"/>
      <c r="U169" s="174">
        <f t="shared" si="50"/>
        <v>0</v>
      </c>
      <c r="V169" s="175"/>
      <c r="W169" s="176">
        <f t="shared" si="51"/>
        <v>0</v>
      </c>
      <c r="X169" s="181"/>
    </row>
    <row r="170" spans="1:24" ht="20.100000000000001" hidden="1" customHeight="1" x14ac:dyDescent="0.2">
      <c r="A170" s="410">
        <v>10</v>
      </c>
      <c r="B170" s="297"/>
      <c r="C170" s="462"/>
      <c r="D170" s="463"/>
      <c r="E170" s="174"/>
      <c r="F170" s="174"/>
      <c r="G170" s="174"/>
      <c r="H170" s="182"/>
      <c r="I170" s="174"/>
      <c r="J170" s="174"/>
      <c r="K170" s="174"/>
      <c r="L170" s="174"/>
      <c r="M170" s="174"/>
      <c r="N170" s="174"/>
      <c r="O170" s="174">
        <f t="shared" si="49"/>
        <v>0</v>
      </c>
      <c r="P170" s="174"/>
      <c r="Q170" s="174"/>
      <c r="R170" s="174"/>
      <c r="S170" s="174"/>
      <c r="T170" s="174"/>
      <c r="U170" s="174">
        <f t="shared" si="50"/>
        <v>0</v>
      </c>
      <c r="V170" s="175"/>
      <c r="W170" s="176">
        <f t="shared" si="51"/>
        <v>0</v>
      </c>
      <c r="X170" s="181"/>
    </row>
    <row r="171" spans="1:24" ht="20.100000000000001" hidden="1" customHeight="1" x14ac:dyDescent="0.2">
      <c r="A171" s="185"/>
      <c r="B171" s="297"/>
      <c r="C171" s="33"/>
      <c r="D171" s="174"/>
      <c r="E171" s="174"/>
      <c r="F171" s="174"/>
      <c r="G171" s="174"/>
      <c r="H171" s="182"/>
      <c r="I171" s="174"/>
      <c r="J171" s="174"/>
      <c r="K171" s="174"/>
      <c r="L171" s="174"/>
      <c r="M171" s="174"/>
      <c r="N171" s="174"/>
      <c r="O171" s="174">
        <f t="shared" si="49"/>
        <v>0</v>
      </c>
      <c r="P171" s="174"/>
      <c r="Q171" s="174"/>
      <c r="R171" s="174"/>
      <c r="S171" s="174"/>
      <c r="T171" s="174"/>
      <c r="U171" s="174">
        <f t="shared" si="50"/>
        <v>0</v>
      </c>
      <c r="V171" s="175"/>
      <c r="W171" s="176">
        <f t="shared" si="51"/>
        <v>0</v>
      </c>
      <c r="X171" s="181"/>
    </row>
    <row r="172" spans="1:24" ht="20.100000000000001" hidden="1" customHeight="1" x14ac:dyDescent="0.2">
      <c r="A172" s="185"/>
      <c r="B172" s="297"/>
      <c r="C172" s="33"/>
      <c r="D172" s="174"/>
      <c r="E172" s="174"/>
      <c r="F172" s="174"/>
      <c r="G172" s="174"/>
      <c r="H172" s="182"/>
      <c r="I172" s="174"/>
      <c r="J172" s="174"/>
      <c r="K172" s="174"/>
      <c r="L172" s="174"/>
      <c r="M172" s="174"/>
      <c r="N172" s="174"/>
      <c r="O172" s="174">
        <f t="shared" si="49"/>
        <v>0</v>
      </c>
      <c r="P172" s="174"/>
      <c r="Q172" s="174"/>
      <c r="R172" s="174"/>
      <c r="S172" s="174"/>
      <c r="T172" s="174"/>
      <c r="U172" s="174">
        <f t="shared" si="50"/>
        <v>0</v>
      </c>
      <c r="V172" s="175"/>
      <c r="W172" s="176">
        <f t="shared" si="51"/>
        <v>0</v>
      </c>
      <c r="X172" s="181"/>
    </row>
    <row r="173" spans="1:24" ht="20.100000000000001" hidden="1" customHeight="1" x14ac:dyDescent="0.2">
      <c r="A173" s="185"/>
      <c r="B173" s="297"/>
      <c r="C173" s="33"/>
      <c r="D173" s="174"/>
      <c r="E173" s="174"/>
      <c r="F173" s="174"/>
      <c r="G173" s="174"/>
      <c r="H173" s="182"/>
      <c r="I173" s="174"/>
      <c r="J173" s="174"/>
      <c r="K173" s="174"/>
      <c r="L173" s="174"/>
      <c r="M173" s="174"/>
      <c r="N173" s="174"/>
      <c r="O173" s="174">
        <f t="shared" si="49"/>
        <v>0</v>
      </c>
      <c r="P173" s="174"/>
      <c r="Q173" s="174"/>
      <c r="R173" s="174"/>
      <c r="S173" s="174"/>
      <c r="T173" s="174"/>
      <c r="U173" s="174">
        <f t="shared" si="50"/>
        <v>0</v>
      </c>
      <c r="V173" s="175"/>
      <c r="W173" s="176">
        <f t="shared" si="51"/>
        <v>0</v>
      </c>
      <c r="X173" s="181"/>
    </row>
    <row r="174" spans="1:24" ht="20.100000000000001" hidden="1" customHeight="1" x14ac:dyDescent="0.2">
      <c r="A174" s="40"/>
      <c r="B174" s="50"/>
      <c r="C174" s="33"/>
      <c r="D174" s="174"/>
      <c r="E174" s="174"/>
      <c r="F174" s="174"/>
      <c r="G174" s="174"/>
      <c r="H174" s="182"/>
      <c r="I174" s="174"/>
      <c r="J174" s="174"/>
      <c r="K174" s="174"/>
      <c r="L174" s="174"/>
      <c r="M174" s="174"/>
      <c r="N174" s="174"/>
      <c r="O174" s="174">
        <f t="shared" si="49"/>
        <v>0</v>
      </c>
      <c r="P174" s="174"/>
      <c r="Q174" s="174"/>
      <c r="R174" s="174"/>
      <c r="S174" s="174"/>
      <c r="T174" s="174"/>
      <c r="U174" s="174">
        <f t="shared" si="50"/>
        <v>0</v>
      </c>
      <c r="V174" s="175"/>
      <c r="W174" s="176">
        <f t="shared" si="51"/>
        <v>0</v>
      </c>
      <c r="X174" s="181"/>
    </row>
    <row r="175" spans="1:24" ht="20.100000000000001" hidden="1" customHeight="1" x14ac:dyDescent="0.2">
      <c r="A175" s="40"/>
      <c r="B175" s="50"/>
      <c r="C175" s="33"/>
      <c r="D175" s="174"/>
      <c r="E175" s="174"/>
      <c r="F175" s="174"/>
      <c r="G175" s="174"/>
      <c r="H175" s="182"/>
      <c r="I175" s="174"/>
      <c r="J175" s="174"/>
      <c r="K175" s="174"/>
      <c r="L175" s="174"/>
      <c r="M175" s="174"/>
      <c r="N175" s="174"/>
      <c r="O175" s="174">
        <f t="shared" si="49"/>
        <v>0</v>
      </c>
      <c r="P175" s="174"/>
      <c r="Q175" s="174"/>
      <c r="R175" s="174"/>
      <c r="S175" s="174"/>
      <c r="T175" s="174"/>
      <c r="U175" s="174">
        <f t="shared" si="50"/>
        <v>0</v>
      </c>
      <c r="V175" s="175"/>
      <c r="W175" s="176">
        <f t="shared" si="51"/>
        <v>0</v>
      </c>
      <c r="X175" s="181"/>
    </row>
    <row r="176" spans="1:24" ht="20.100000000000001" hidden="1" customHeight="1" x14ac:dyDescent="0.2">
      <c r="A176" s="40"/>
      <c r="B176" s="50"/>
      <c r="C176" s="33"/>
      <c r="D176" s="174"/>
      <c r="E176" s="174"/>
      <c r="F176" s="174"/>
      <c r="G176" s="174"/>
      <c r="H176" s="182"/>
      <c r="I176" s="174"/>
      <c r="J176" s="174"/>
      <c r="K176" s="174"/>
      <c r="L176" s="174"/>
      <c r="M176" s="174"/>
      <c r="N176" s="174"/>
      <c r="O176" s="174">
        <f t="shared" si="49"/>
        <v>0</v>
      </c>
      <c r="P176" s="174"/>
      <c r="Q176" s="174"/>
      <c r="R176" s="174"/>
      <c r="S176" s="174"/>
      <c r="T176" s="174"/>
      <c r="U176" s="174">
        <f t="shared" si="50"/>
        <v>0</v>
      </c>
      <c r="V176" s="175"/>
      <c r="W176" s="176">
        <f t="shared" si="51"/>
        <v>0</v>
      </c>
      <c r="X176" s="181"/>
    </row>
    <row r="177" spans="1:24" ht="20.100000000000001" hidden="1" customHeight="1" x14ac:dyDescent="0.2">
      <c r="A177" s="40"/>
      <c r="B177" s="50"/>
      <c r="C177" s="33"/>
      <c r="D177" s="174"/>
      <c r="E177" s="174"/>
      <c r="F177" s="174"/>
      <c r="G177" s="174"/>
      <c r="H177" s="182"/>
      <c r="I177" s="174"/>
      <c r="J177" s="174"/>
      <c r="K177" s="174"/>
      <c r="L177" s="174"/>
      <c r="M177" s="174"/>
      <c r="N177" s="174"/>
      <c r="O177" s="174">
        <f t="shared" si="49"/>
        <v>0</v>
      </c>
      <c r="P177" s="174"/>
      <c r="Q177" s="174"/>
      <c r="R177" s="174"/>
      <c r="S177" s="174"/>
      <c r="T177" s="174"/>
      <c r="U177" s="174">
        <f t="shared" si="50"/>
        <v>0</v>
      </c>
      <c r="V177" s="175"/>
      <c r="W177" s="176">
        <f t="shared" si="51"/>
        <v>0</v>
      </c>
      <c r="X177" s="181"/>
    </row>
    <row r="178" spans="1:24" ht="20.100000000000001" hidden="1" customHeight="1" x14ac:dyDescent="0.2">
      <c r="A178" s="40"/>
      <c r="B178" s="50"/>
      <c r="C178" s="33"/>
      <c r="D178" s="174"/>
      <c r="E178" s="174"/>
      <c r="F178" s="174"/>
      <c r="G178" s="174"/>
      <c r="H178" s="182"/>
      <c r="I178" s="174"/>
      <c r="J178" s="174"/>
      <c r="K178" s="174"/>
      <c r="L178" s="174"/>
      <c r="M178" s="174"/>
      <c r="N178" s="174"/>
      <c r="O178" s="174">
        <f t="shared" si="49"/>
        <v>0</v>
      </c>
      <c r="P178" s="174"/>
      <c r="Q178" s="174"/>
      <c r="R178" s="174"/>
      <c r="S178" s="174"/>
      <c r="T178" s="174"/>
      <c r="U178" s="174">
        <f t="shared" si="50"/>
        <v>0</v>
      </c>
      <c r="V178" s="175"/>
      <c r="W178" s="176">
        <f t="shared" si="51"/>
        <v>0</v>
      </c>
      <c r="X178" s="181"/>
    </row>
    <row r="179" spans="1:24" ht="20.100000000000001" hidden="1" customHeight="1" x14ac:dyDescent="0.2">
      <c r="A179" s="40"/>
      <c r="B179" s="50"/>
      <c r="C179" s="33"/>
      <c r="D179" s="174"/>
      <c r="E179" s="174"/>
      <c r="F179" s="174"/>
      <c r="G179" s="174"/>
      <c r="H179" s="182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175"/>
      <c r="W179" s="176"/>
      <c r="X179" s="294"/>
    </row>
    <row r="180" spans="1:24" ht="20.100000000000001" hidden="1" customHeight="1" x14ac:dyDescent="0.2">
      <c r="A180" s="216" t="s">
        <v>89</v>
      </c>
      <c r="B180" s="212"/>
      <c r="C180" s="217" t="s">
        <v>87</v>
      </c>
      <c r="D180" s="174">
        <f t="shared" ref="D180:X180" si="52">SUM(D161:D179)</f>
        <v>0</v>
      </c>
      <c r="E180" s="174">
        <f t="shared" si="52"/>
        <v>0</v>
      </c>
      <c r="F180" s="174">
        <f t="shared" si="52"/>
        <v>0</v>
      </c>
      <c r="G180" s="174">
        <f t="shared" si="52"/>
        <v>0</v>
      </c>
      <c r="H180" s="174">
        <f t="shared" si="52"/>
        <v>0</v>
      </c>
      <c r="I180" s="174">
        <f t="shared" si="52"/>
        <v>0</v>
      </c>
      <c r="J180" s="174">
        <f t="shared" si="52"/>
        <v>0</v>
      </c>
      <c r="K180" s="174">
        <f t="shared" si="52"/>
        <v>0</v>
      </c>
      <c r="L180" s="174">
        <f t="shared" si="52"/>
        <v>0</v>
      </c>
      <c r="M180" s="174">
        <f t="shared" si="52"/>
        <v>0</v>
      </c>
      <c r="N180" s="174">
        <f t="shared" si="52"/>
        <v>0</v>
      </c>
      <c r="O180" s="174">
        <f t="shared" si="52"/>
        <v>0</v>
      </c>
      <c r="P180" s="174"/>
      <c r="Q180" s="174">
        <f t="shared" si="52"/>
        <v>0</v>
      </c>
      <c r="R180" s="174">
        <f t="shared" si="52"/>
        <v>0</v>
      </c>
      <c r="S180" s="174">
        <f t="shared" si="52"/>
        <v>0</v>
      </c>
      <c r="T180" s="174">
        <f t="shared" si="52"/>
        <v>0</v>
      </c>
      <c r="U180" s="174">
        <f t="shared" si="52"/>
        <v>0</v>
      </c>
      <c r="V180" s="174"/>
      <c r="W180" s="269">
        <f t="shared" si="52"/>
        <v>0</v>
      </c>
      <c r="X180" s="181">
        <f t="shared" si="52"/>
        <v>0</v>
      </c>
    </row>
    <row r="181" spans="1:24" ht="20.100000000000001" hidden="1" customHeight="1" x14ac:dyDescent="0.2">
      <c r="A181" s="40"/>
      <c r="B181" s="50"/>
      <c r="C181" s="33"/>
      <c r="D181" s="174"/>
      <c r="E181" s="174"/>
      <c r="F181" s="174"/>
      <c r="G181" s="174"/>
      <c r="H181" s="182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4"/>
      <c r="U181" s="174"/>
      <c r="V181" s="175"/>
      <c r="W181" s="176"/>
      <c r="X181" s="294"/>
    </row>
    <row r="182" spans="1:24" ht="20.100000000000001" hidden="1" customHeight="1" x14ac:dyDescent="0.2">
      <c r="A182" s="185" t="s">
        <v>114</v>
      </c>
      <c r="B182" s="417"/>
      <c r="C182" s="28"/>
      <c r="D182" s="174"/>
      <c r="E182" s="174"/>
      <c r="F182" s="174"/>
      <c r="G182" s="174"/>
      <c r="H182" s="174"/>
      <c r="I182" s="174"/>
      <c r="J182" s="174"/>
      <c r="K182" s="174"/>
      <c r="M182" s="174"/>
      <c r="N182" s="174"/>
      <c r="O182" s="174">
        <f>SUM(D182:N182)</f>
        <v>0</v>
      </c>
      <c r="P182" s="174"/>
      <c r="Q182" s="174"/>
      <c r="R182" s="174"/>
      <c r="S182" s="174"/>
      <c r="T182" s="174"/>
      <c r="U182" s="174">
        <f>SUM(Q182:T182)</f>
        <v>0</v>
      </c>
      <c r="V182" s="174"/>
      <c r="W182" s="176">
        <f>O182+U182</f>
        <v>0</v>
      </c>
      <c r="X182" s="285"/>
    </row>
    <row r="183" spans="1:24" ht="20.100000000000001" hidden="1" customHeight="1" x14ac:dyDescent="0.2">
      <c r="A183" s="185" t="s">
        <v>114</v>
      </c>
      <c r="B183" s="233"/>
      <c r="C183" s="28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>
        <f>SUM(D183:N183)</f>
        <v>0</v>
      </c>
      <c r="P183" s="174"/>
      <c r="Q183" s="174"/>
      <c r="R183" s="174"/>
      <c r="S183" s="174"/>
      <c r="T183" s="174"/>
      <c r="U183" s="174">
        <f>SUM(Q183:T183)</f>
        <v>0</v>
      </c>
      <c r="V183" s="174"/>
      <c r="W183" s="176">
        <f>O183+U183</f>
        <v>0</v>
      </c>
      <c r="X183" s="181"/>
    </row>
    <row r="184" spans="1:24" ht="20.100000000000001" hidden="1" customHeight="1" x14ac:dyDescent="0.2">
      <c r="A184" s="40"/>
      <c r="B184" s="31"/>
      <c r="C184" s="41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>
        <f>SUM(D184:N184)</f>
        <v>0</v>
      </c>
      <c r="P184" s="174"/>
      <c r="Q184" s="174"/>
      <c r="R184" s="174"/>
      <c r="S184" s="174"/>
      <c r="T184" s="174"/>
      <c r="U184" s="174">
        <f>SUM(Q184:T184)</f>
        <v>0</v>
      </c>
      <c r="V184" s="174"/>
      <c r="W184" s="176">
        <f>O184+U184</f>
        <v>0</v>
      </c>
      <c r="X184" s="285"/>
    </row>
    <row r="185" spans="1:24" ht="20.100000000000001" hidden="1" customHeight="1" x14ac:dyDescent="0.2">
      <c r="A185" s="40"/>
      <c r="B185" s="126"/>
      <c r="C185" s="41"/>
      <c r="D185" s="174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>
        <f>SUM(D185:N185)</f>
        <v>0</v>
      </c>
      <c r="P185" s="174"/>
      <c r="Q185" s="174"/>
      <c r="R185" s="174"/>
      <c r="S185" s="174"/>
      <c r="T185" s="174"/>
      <c r="U185" s="174">
        <f>SUM(Q185:T185)</f>
        <v>0</v>
      </c>
      <c r="V185" s="174"/>
      <c r="W185" s="176">
        <f>O185+U185</f>
        <v>0</v>
      </c>
      <c r="X185" s="285"/>
    </row>
    <row r="186" spans="1:24" ht="20.100000000000001" hidden="1" customHeight="1" x14ac:dyDescent="0.2">
      <c r="A186" s="40"/>
      <c r="B186" s="126"/>
      <c r="C186" s="41"/>
      <c r="D186" s="174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74"/>
      <c r="S186" s="174"/>
      <c r="T186" s="174"/>
      <c r="U186" s="174"/>
      <c r="V186" s="174"/>
      <c r="W186" s="176"/>
      <c r="X186" s="286"/>
    </row>
    <row r="187" spans="1:24" ht="20.100000000000001" hidden="1" customHeight="1" x14ac:dyDescent="0.2">
      <c r="A187" s="216" t="s">
        <v>90</v>
      </c>
      <c r="B187" s="212"/>
      <c r="C187" s="217" t="s">
        <v>88</v>
      </c>
      <c r="D187" s="174">
        <f t="shared" ref="D187:U187" si="53">SUM(D182:D186)</f>
        <v>0</v>
      </c>
      <c r="E187" s="174">
        <f t="shared" si="53"/>
        <v>0</v>
      </c>
      <c r="F187" s="174">
        <f t="shared" si="53"/>
        <v>0</v>
      </c>
      <c r="G187" s="174">
        <f t="shared" si="53"/>
        <v>0</v>
      </c>
      <c r="H187" s="174">
        <f t="shared" si="53"/>
        <v>0</v>
      </c>
      <c r="I187" s="174">
        <f t="shared" si="53"/>
        <v>0</v>
      </c>
      <c r="J187" s="174">
        <f t="shared" si="53"/>
        <v>0</v>
      </c>
      <c r="K187" s="174">
        <f t="shared" si="53"/>
        <v>0</v>
      </c>
      <c r="L187" s="174">
        <f t="shared" si="53"/>
        <v>0</v>
      </c>
      <c r="M187" s="174">
        <f t="shared" si="53"/>
        <v>0</v>
      </c>
      <c r="N187" s="174">
        <f>SUM(N182:N186)</f>
        <v>0</v>
      </c>
      <c r="O187" s="174">
        <f t="shared" si="53"/>
        <v>0</v>
      </c>
      <c r="P187" s="174"/>
      <c r="Q187" s="174">
        <f>SUM(Q182:Q186)</f>
        <v>0</v>
      </c>
      <c r="R187" s="174">
        <f>SUM(R182:R186)</f>
        <v>0</v>
      </c>
      <c r="S187" s="174">
        <f t="shared" si="53"/>
        <v>0</v>
      </c>
      <c r="T187" s="174">
        <f t="shared" si="53"/>
        <v>0</v>
      </c>
      <c r="U187" s="174">
        <f t="shared" si="53"/>
        <v>0</v>
      </c>
      <c r="V187" s="174"/>
      <c r="W187" s="269">
        <f>SUM(W182:W186)</f>
        <v>0</v>
      </c>
      <c r="X187" s="269">
        <f>SUM(X182:X186)</f>
        <v>0</v>
      </c>
    </row>
    <row r="188" spans="1:24" ht="20.100000000000001" hidden="1" customHeight="1" x14ac:dyDescent="0.2">
      <c r="A188" s="40"/>
      <c r="B188" s="126"/>
      <c r="C188" s="41"/>
      <c r="D188" s="174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4"/>
      <c r="U188" s="174"/>
      <c r="V188" s="174"/>
      <c r="W188" s="176"/>
      <c r="X188" s="285"/>
    </row>
    <row r="189" spans="1:24" ht="20.100000000000001" hidden="1" customHeight="1" thickBot="1" x14ac:dyDescent="0.25">
      <c r="A189" s="40"/>
      <c r="B189" s="32"/>
      <c r="C189" s="34"/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74"/>
      <c r="S189" s="174"/>
      <c r="T189" s="174"/>
      <c r="U189" s="174"/>
      <c r="V189" s="174"/>
      <c r="W189" s="176"/>
      <c r="X189" s="285"/>
    </row>
    <row r="190" spans="1:24" ht="24.75" hidden="1" customHeight="1" thickTop="1" thickBot="1" x14ac:dyDescent="0.25">
      <c r="A190" s="46"/>
      <c r="B190" s="268">
        <v>41639</v>
      </c>
      <c r="C190" s="44" t="s">
        <v>91</v>
      </c>
      <c r="D190" s="178">
        <f t="shared" ref="D190:U190" si="54">D180+D187</f>
        <v>0</v>
      </c>
      <c r="E190" s="178">
        <f t="shared" si="54"/>
        <v>0</v>
      </c>
      <c r="F190" s="178">
        <f t="shared" si="54"/>
        <v>0</v>
      </c>
      <c r="G190" s="178">
        <f t="shared" si="54"/>
        <v>0</v>
      </c>
      <c r="H190" s="178">
        <f t="shared" si="54"/>
        <v>0</v>
      </c>
      <c r="I190" s="178">
        <f t="shared" si="54"/>
        <v>0</v>
      </c>
      <c r="J190" s="178">
        <f t="shared" si="54"/>
        <v>0</v>
      </c>
      <c r="K190" s="178">
        <f t="shared" si="54"/>
        <v>0</v>
      </c>
      <c r="L190" s="178">
        <f t="shared" si="54"/>
        <v>0</v>
      </c>
      <c r="M190" s="178">
        <f t="shared" si="54"/>
        <v>0</v>
      </c>
      <c r="N190" s="178">
        <f t="shared" si="54"/>
        <v>0</v>
      </c>
      <c r="O190" s="178">
        <f t="shared" si="54"/>
        <v>0</v>
      </c>
      <c r="P190" s="178"/>
      <c r="Q190" s="178">
        <f>Q180+Q187</f>
        <v>0</v>
      </c>
      <c r="R190" s="178">
        <f>R180+R187</f>
        <v>0</v>
      </c>
      <c r="S190" s="178">
        <f t="shared" si="54"/>
        <v>0</v>
      </c>
      <c r="T190" s="178">
        <f t="shared" si="54"/>
        <v>0</v>
      </c>
      <c r="U190" s="178">
        <f t="shared" si="54"/>
        <v>0</v>
      </c>
      <c r="V190" s="178"/>
      <c r="W190" s="179">
        <f>W180+W187</f>
        <v>0</v>
      </c>
      <c r="X190" s="287">
        <f>X180+X187</f>
        <v>0</v>
      </c>
    </row>
    <row r="191" spans="1:24" ht="24.75" hidden="1" customHeight="1" thickTop="1" thickBot="1" x14ac:dyDescent="0.25">
      <c r="A191" s="42"/>
      <c r="B191" s="43" t="s">
        <v>119</v>
      </c>
      <c r="C191" s="44" t="s">
        <v>151</v>
      </c>
      <c r="D191" s="210">
        <f t="shared" ref="D191:U191" si="55">D160+D190</f>
        <v>0</v>
      </c>
      <c r="E191" s="210">
        <f t="shared" si="55"/>
        <v>0</v>
      </c>
      <c r="F191" s="210">
        <f t="shared" si="55"/>
        <v>3666.453</v>
      </c>
      <c r="G191" s="210">
        <f t="shared" si="55"/>
        <v>5150</v>
      </c>
      <c r="H191" s="210">
        <f t="shared" si="55"/>
        <v>10144</v>
      </c>
      <c r="I191" s="210">
        <f t="shared" si="55"/>
        <v>0</v>
      </c>
      <c r="J191" s="210">
        <f t="shared" si="55"/>
        <v>0</v>
      </c>
      <c r="K191" s="210">
        <f t="shared" si="55"/>
        <v>0</v>
      </c>
      <c r="L191" s="210">
        <f t="shared" si="55"/>
        <v>564</v>
      </c>
      <c r="M191" s="210">
        <f t="shared" si="55"/>
        <v>1200</v>
      </c>
      <c r="N191" s="210">
        <f t="shared" si="55"/>
        <v>0</v>
      </c>
      <c r="O191" s="210">
        <f t="shared" si="55"/>
        <v>20724.453000000001</v>
      </c>
      <c r="P191" s="210"/>
      <c r="Q191" s="210">
        <f t="shared" si="55"/>
        <v>0</v>
      </c>
      <c r="R191" s="210">
        <f t="shared" si="55"/>
        <v>326996.53700000001</v>
      </c>
      <c r="S191" s="210">
        <f t="shared" si="55"/>
        <v>0</v>
      </c>
      <c r="T191" s="210">
        <f t="shared" si="55"/>
        <v>0</v>
      </c>
      <c r="U191" s="210">
        <f t="shared" si="55"/>
        <v>326996.53700000001</v>
      </c>
      <c r="V191" s="210"/>
      <c r="W191" s="179">
        <f>O191+U191</f>
        <v>347720.99</v>
      </c>
      <c r="X191" s="287">
        <f>X159+X190</f>
        <v>2635435.2319999998</v>
      </c>
    </row>
    <row r="192" spans="1:24" ht="24.95" hidden="1" customHeight="1" thickTop="1" x14ac:dyDescent="0.25">
      <c r="D192" s="173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3"/>
      <c r="W192" s="173"/>
    </row>
    <row r="193" spans="3:25" ht="24.95" hidden="1" customHeight="1" thickBot="1" x14ac:dyDescent="0.3"/>
    <row r="194" spans="3:25" ht="24.95" hidden="1" customHeight="1" thickTop="1" thickBot="1" x14ac:dyDescent="0.3">
      <c r="C194" s="302" t="s">
        <v>98</v>
      </c>
      <c r="D194" s="300">
        <v>0</v>
      </c>
      <c r="E194" s="300">
        <v>0</v>
      </c>
      <c r="F194" s="300">
        <v>3666.453</v>
      </c>
      <c r="G194" s="300">
        <v>5150</v>
      </c>
      <c r="H194" s="300">
        <v>10144</v>
      </c>
      <c r="I194" s="300">
        <v>0</v>
      </c>
      <c r="J194" s="300">
        <v>0</v>
      </c>
      <c r="K194" s="300">
        <v>0</v>
      </c>
      <c r="L194" s="300">
        <v>564</v>
      </c>
      <c r="M194" s="300">
        <v>1200</v>
      </c>
      <c r="N194" s="300">
        <v>0</v>
      </c>
      <c r="O194" s="300">
        <v>20724.453000000001</v>
      </c>
      <c r="P194" s="300"/>
      <c r="Q194" s="300">
        <v>0</v>
      </c>
      <c r="R194" s="300">
        <v>326996.53700000001</v>
      </c>
      <c r="S194" s="300">
        <v>0</v>
      </c>
      <c r="T194" s="300">
        <v>0</v>
      </c>
      <c r="U194" s="300">
        <v>326996.53700000001</v>
      </c>
      <c r="V194" s="300"/>
      <c r="W194" s="300">
        <v>347720.99</v>
      </c>
      <c r="X194" s="300">
        <v>2635435.2319999998</v>
      </c>
      <c r="Y194" s="29">
        <f>SUM(W194:X194)</f>
        <v>2983156.2220000001</v>
      </c>
    </row>
    <row r="195" spans="3:25" ht="24.95" hidden="1" customHeight="1" thickTop="1" x14ac:dyDescent="0.25"/>
    <row r="196" spans="3:25" ht="24.95" hidden="1" customHeight="1" x14ac:dyDescent="0.25">
      <c r="C196" s="2" t="s">
        <v>94</v>
      </c>
      <c r="D196" s="173">
        <f>D146-D194</f>
        <v>0</v>
      </c>
      <c r="E196" s="173">
        <f>E146-E194</f>
        <v>0</v>
      </c>
      <c r="F196" s="173">
        <f>F146-F194</f>
        <v>0</v>
      </c>
      <c r="G196" s="173">
        <f t="shared" ref="G196:X196" si="56">G146-G194</f>
        <v>0</v>
      </c>
      <c r="H196" s="173">
        <f t="shared" si="56"/>
        <v>0</v>
      </c>
      <c r="I196" s="173">
        <f t="shared" si="56"/>
        <v>0</v>
      </c>
      <c r="J196" s="173">
        <f t="shared" si="56"/>
        <v>0</v>
      </c>
      <c r="K196" s="173">
        <f t="shared" si="56"/>
        <v>0</v>
      </c>
      <c r="L196" s="173">
        <f t="shared" si="56"/>
        <v>0</v>
      </c>
      <c r="M196" s="173">
        <f t="shared" si="56"/>
        <v>0</v>
      </c>
      <c r="N196" s="173">
        <f t="shared" si="56"/>
        <v>0</v>
      </c>
      <c r="O196" s="173">
        <f t="shared" si="56"/>
        <v>0</v>
      </c>
      <c r="P196" s="173"/>
      <c r="Q196" s="173">
        <f t="shared" si="56"/>
        <v>0</v>
      </c>
      <c r="R196" s="173">
        <f t="shared" si="56"/>
        <v>0</v>
      </c>
      <c r="S196" s="173">
        <f t="shared" si="56"/>
        <v>0</v>
      </c>
      <c r="T196" s="173">
        <f t="shared" si="56"/>
        <v>0</v>
      </c>
      <c r="U196" s="173">
        <f t="shared" si="56"/>
        <v>0</v>
      </c>
      <c r="V196" s="173"/>
      <c r="W196" s="173">
        <f t="shared" si="56"/>
        <v>0</v>
      </c>
      <c r="X196" s="173">
        <f t="shared" si="56"/>
        <v>0</v>
      </c>
    </row>
    <row r="197" spans="3:25" ht="24.95" customHeight="1" thickTop="1" x14ac:dyDescent="0.25"/>
    <row r="198" spans="3:25" ht="24.95" customHeight="1" x14ac:dyDescent="0.25"/>
    <row r="199" spans="3:25" ht="24.95" customHeight="1" x14ac:dyDescent="0.25"/>
    <row r="200" spans="3:25" ht="24.95" customHeight="1" x14ac:dyDescent="0.25"/>
    <row r="201" spans="3:25" ht="24.95" customHeight="1" x14ac:dyDescent="0.25"/>
    <row r="202" spans="3:25" ht="24.95" customHeight="1" x14ac:dyDescent="0.25"/>
    <row r="203" spans="3:25" ht="24.95" customHeight="1" x14ac:dyDescent="0.25"/>
    <row r="204" spans="3:25" ht="24.95" customHeight="1" x14ac:dyDescent="0.25"/>
    <row r="205" spans="3:25" ht="24.95" customHeight="1" x14ac:dyDescent="0.25"/>
    <row r="206" spans="3:25" ht="24.95" customHeight="1" x14ac:dyDescent="0.25"/>
    <row r="207" spans="3:25" ht="24.95" customHeight="1" x14ac:dyDescent="0.25"/>
    <row r="208" spans="3:25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489" spans="9:9" x14ac:dyDescent="0.25">
      <c r="I489" s="52">
        <f>-10437-1367-86-236+13-6357-200+31+71-310-1500-799-55-443-3970</f>
        <v>-25645</v>
      </c>
    </row>
  </sheetData>
  <mergeCells count="5">
    <mergeCell ref="A2:X2"/>
    <mergeCell ref="A4:X4"/>
    <mergeCell ref="D7:F7"/>
    <mergeCell ref="J7:K7"/>
    <mergeCell ref="Q7:T7"/>
  </mergeCells>
  <phoneticPr fontId="3" type="noConversion"/>
  <printOptions horizontalCentered="1" verticalCentered="1"/>
  <pageMargins left="0" right="0" top="0.31496062992125984" bottom="0.35433070866141736" header="7.874015748031496E-2" footer="7.874015748031496E-2"/>
  <pageSetup paperSize="9" scale="4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49"/>
  <sheetViews>
    <sheetView zoomScale="75" zoomScaleNormal="75" workbookViewId="0"/>
  </sheetViews>
  <sheetFormatPr defaultRowHeight="16.5" x14ac:dyDescent="0.25"/>
  <cols>
    <col min="1" max="1" width="4.7109375" style="93" customWidth="1"/>
    <col min="2" max="2" width="12.42578125" style="1" hidden="1" customWidth="1"/>
    <col min="3" max="3" width="58.7109375" style="2" customWidth="1"/>
    <col min="4" max="4" width="13.28515625" style="2" customWidth="1"/>
    <col min="5" max="5" width="13.85546875" style="2" customWidth="1"/>
    <col min="6" max="6" width="12.7109375" style="2" customWidth="1"/>
    <col min="7" max="7" width="13.85546875" style="2" customWidth="1"/>
    <col min="8" max="8" width="12.28515625" style="2" customWidth="1"/>
    <col min="9" max="9" width="12.7109375" style="2" customWidth="1"/>
    <col min="10" max="11" width="12.28515625" style="2" customWidth="1"/>
    <col min="12" max="18" width="12.7109375" style="2" customWidth="1"/>
    <col min="19" max="19" width="1.7109375" style="2" customWidth="1"/>
    <col min="20" max="24" width="12.7109375" style="2" customWidth="1"/>
    <col min="25" max="25" width="18.28515625" style="53" customWidth="1"/>
    <col min="26" max="26" width="16.28515625" style="53" customWidth="1"/>
    <col min="27" max="29" width="10.42578125" style="53" customWidth="1"/>
    <col min="30" max="30" width="12.28515625" style="53" customWidth="1"/>
    <col min="31" max="31" width="14" style="53" customWidth="1"/>
    <col min="32" max="32" width="12.28515625" style="53" customWidth="1"/>
    <col min="33" max="34" width="10.42578125" style="53" customWidth="1"/>
    <col min="35" max="35" width="12.28515625" style="53" customWidth="1"/>
    <col min="36" max="36" width="9.140625" style="53"/>
    <col min="37" max="38" width="10.42578125" style="53" customWidth="1"/>
    <col min="39" max="39" width="12.28515625" style="53" customWidth="1"/>
    <col min="40" max="40" width="12.7109375" style="53" customWidth="1"/>
    <col min="41" max="16384" width="9.140625" style="2"/>
  </cols>
  <sheetData>
    <row r="1" spans="1:40" x14ac:dyDescent="0.25">
      <c r="Y1" s="191" t="s">
        <v>347</v>
      </c>
    </row>
    <row r="2" spans="1:40" ht="18.75" x14ac:dyDescent="0.2">
      <c r="A2" s="690" t="s">
        <v>0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</row>
    <row r="3" spans="1:40" ht="18.75" x14ac:dyDescent="0.2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</row>
    <row r="4" spans="1:40" ht="42" customHeight="1" x14ac:dyDescent="0.2">
      <c r="A4" s="691" t="s">
        <v>341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</row>
    <row r="5" spans="1:40" ht="24.95" customHeight="1" x14ac:dyDescent="0.2">
      <c r="A5" s="473"/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</row>
    <row r="6" spans="1:40" ht="17.25" customHeight="1" thickBo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6" t="s">
        <v>1</v>
      </c>
    </row>
    <row r="7" spans="1:40" ht="17.25" thickBot="1" x14ac:dyDescent="0.3">
      <c r="A7" s="55"/>
      <c r="B7" s="8"/>
      <c r="C7" s="501"/>
      <c r="D7" s="700" t="s">
        <v>33</v>
      </c>
      <c r="E7" s="701"/>
      <c r="F7" s="701"/>
      <c r="G7" s="701"/>
      <c r="H7" s="701"/>
      <c r="I7" s="701"/>
      <c r="J7" s="701"/>
      <c r="K7" s="701"/>
      <c r="L7" s="701"/>
      <c r="M7" s="701"/>
      <c r="N7" s="701"/>
      <c r="O7" s="701"/>
      <c r="P7" s="701"/>
      <c r="Q7" s="701"/>
      <c r="R7" s="701"/>
      <c r="S7" s="701"/>
      <c r="T7" s="701"/>
      <c r="U7" s="701"/>
      <c r="V7" s="701"/>
      <c r="W7" s="701"/>
      <c r="X7" s="692"/>
      <c r="Y7" s="46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</row>
    <row r="8" spans="1:40" ht="17.25" customHeight="1" thickTop="1" x14ac:dyDescent="0.25">
      <c r="A8" s="57"/>
      <c r="B8" s="12"/>
      <c r="C8" s="13"/>
      <c r="D8" s="693" t="s">
        <v>168</v>
      </c>
      <c r="E8" s="694"/>
      <c r="F8" s="694"/>
      <c r="G8" s="694"/>
      <c r="H8" s="694"/>
      <c r="I8" s="694"/>
      <c r="J8" s="694"/>
      <c r="K8" s="695"/>
      <c r="L8" s="696" t="s">
        <v>169</v>
      </c>
      <c r="M8" s="697"/>
      <c r="N8" s="697"/>
      <c r="O8" s="697"/>
      <c r="P8" s="697"/>
      <c r="Q8" s="695"/>
      <c r="R8" s="489" t="s">
        <v>136</v>
      </c>
      <c r="S8" s="519"/>
      <c r="T8" s="696" t="s">
        <v>170</v>
      </c>
      <c r="U8" s="697"/>
      <c r="V8" s="697"/>
      <c r="W8" s="698"/>
      <c r="X8" s="493" t="s">
        <v>147</v>
      </c>
      <c r="Y8" s="101" t="s">
        <v>2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56"/>
    </row>
    <row r="9" spans="1:40" x14ac:dyDescent="0.25">
      <c r="A9" s="18" t="s">
        <v>8</v>
      </c>
      <c r="B9" s="12"/>
      <c r="C9" s="13" t="s">
        <v>3</v>
      </c>
      <c r="D9" s="58"/>
      <c r="E9" s="208" t="s">
        <v>38</v>
      </c>
      <c r="F9" s="59"/>
      <c r="G9" s="59" t="s">
        <v>34</v>
      </c>
      <c r="H9" s="59" t="s">
        <v>122</v>
      </c>
      <c r="I9" s="59" t="s">
        <v>123</v>
      </c>
      <c r="J9" s="59" t="s">
        <v>123</v>
      </c>
      <c r="K9" s="208"/>
      <c r="L9" s="59"/>
      <c r="M9" s="59"/>
      <c r="N9" s="59" t="s">
        <v>4</v>
      </c>
      <c r="O9" s="59" t="s">
        <v>153</v>
      </c>
      <c r="P9" s="60" t="s">
        <v>154</v>
      </c>
      <c r="Q9" s="208" t="s">
        <v>4</v>
      </c>
      <c r="R9" s="490" t="s">
        <v>137</v>
      </c>
      <c r="S9" s="490"/>
      <c r="T9" s="17" t="s">
        <v>155</v>
      </c>
      <c r="U9" s="17" t="s">
        <v>156</v>
      </c>
      <c r="V9" s="17" t="s">
        <v>233</v>
      </c>
      <c r="W9" s="17" t="s">
        <v>4</v>
      </c>
      <c r="X9" s="494" t="s">
        <v>148</v>
      </c>
      <c r="Y9" s="102" t="s">
        <v>36</v>
      </c>
      <c r="Z9" s="4"/>
      <c r="AA9" s="4"/>
      <c r="AB9" s="4"/>
      <c r="AC9" s="4"/>
      <c r="AD9" s="4"/>
      <c r="AE9" s="4"/>
      <c r="AF9" s="4"/>
      <c r="AG9" s="4"/>
      <c r="AH9" s="689"/>
      <c r="AI9" s="689"/>
      <c r="AJ9" s="4"/>
      <c r="AK9" s="4"/>
      <c r="AL9" s="4"/>
      <c r="AM9" s="4"/>
      <c r="AN9" s="56"/>
    </row>
    <row r="10" spans="1:40" ht="16.5" customHeight="1" x14ac:dyDescent="0.25">
      <c r="A10" s="11"/>
      <c r="B10" s="12"/>
      <c r="C10" s="13" t="s">
        <v>9</v>
      </c>
      <c r="D10" s="59" t="s">
        <v>37</v>
      </c>
      <c r="E10" s="59" t="s">
        <v>78</v>
      </c>
      <c r="F10" s="59" t="s">
        <v>39</v>
      </c>
      <c r="G10" s="59" t="s">
        <v>40</v>
      </c>
      <c r="H10" s="59" t="s">
        <v>124</v>
      </c>
      <c r="I10" s="59" t="s">
        <v>80</v>
      </c>
      <c r="J10" s="59" t="s">
        <v>80</v>
      </c>
      <c r="K10" s="59" t="s">
        <v>43</v>
      </c>
      <c r="L10" s="59" t="s">
        <v>157</v>
      </c>
      <c r="M10" s="59" t="s">
        <v>158</v>
      </c>
      <c r="N10" s="59" t="s">
        <v>159</v>
      </c>
      <c r="O10" s="59" t="s">
        <v>160</v>
      </c>
      <c r="P10" s="59" t="s">
        <v>51</v>
      </c>
      <c r="Q10" s="59" t="s">
        <v>159</v>
      </c>
      <c r="R10" s="491" t="s">
        <v>41</v>
      </c>
      <c r="S10" s="491"/>
      <c r="T10" s="13" t="s">
        <v>161</v>
      </c>
      <c r="U10" s="13" t="s">
        <v>141</v>
      </c>
      <c r="V10" s="13" t="s">
        <v>234</v>
      </c>
      <c r="W10" s="17" t="s">
        <v>190</v>
      </c>
      <c r="X10" s="422" t="s">
        <v>41</v>
      </c>
      <c r="Y10" s="102" t="s">
        <v>12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56"/>
    </row>
    <row r="11" spans="1:40" x14ac:dyDescent="0.25">
      <c r="A11" s="57"/>
      <c r="B11" s="12"/>
      <c r="C11" s="13" t="s">
        <v>13</v>
      </c>
      <c r="D11" s="59" t="s">
        <v>45</v>
      </c>
      <c r="E11" s="59" t="s">
        <v>50</v>
      </c>
      <c r="F11" s="59" t="s">
        <v>41</v>
      </c>
      <c r="G11" s="59" t="s">
        <v>46</v>
      </c>
      <c r="H11" s="59" t="s">
        <v>126</v>
      </c>
      <c r="I11" s="59" t="s">
        <v>127</v>
      </c>
      <c r="J11" s="59" t="s">
        <v>127</v>
      </c>
      <c r="K11" s="59"/>
      <c r="L11" s="59"/>
      <c r="M11" s="59"/>
      <c r="N11" s="59" t="s">
        <v>80</v>
      </c>
      <c r="O11" s="59" t="s">
        <v>47</v>
      </c>
      <c r="P11" s="59"/>
      <c r="Q11" s="59" t="s">
        <v>80</v>
      </c>
      <c r="R11" s="491" t="s">
        <v>12</v>
      </c>
      <c r="S11" s="491"/>
      <c r="T11" s="13" t="s">
        <v>162</v>
      </c>
      <c r="U11" s="13" t="s">
        <v>143</v>
      </c>
      <c r="V11" s="13" t="s">
        <v>237</v>
      </c>
      <c r="W11" s="17" t="s">
        <v>191</v>
      </c>
      <c r="X11" s="422" t="s">
        <v>12</v>
      </c>
      <c r="Y11" s="103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56"/>
    </row>
    <row r="12" spans="1:40" x14ac:dyDescent="0.25">
      <c r="A12" s="57"/>
      <c r="B12" s="12"/>
      <c r="C12" s="13"/>
      <c r="D12" s="61"/>
      <c r="E12" s="59" t="s">
        <v>79</v>
      </c>
      <c r="F12" s="59"/>
      <c r="G12" s="132"/>
      <c r="H12" s="62"/>
      <c r="I12" s="132" t="s">
        <v>163</v>
      </c>
      <c r="J12" s="132" t="s">
        <v>164</v>
      </c>
      <c r="K12" s="59"/>
      <c r="L12" s="62"/>
      <c r="M12" s="59"/>
      <c r="N12" s="59" t="s">
        <v>165</v>
      </c>
      <c r="O12" s="59" t="s">
        <v>166</v>
      </c>
      <c r="P12" s="59"/>
      <c r="Q12" s="59" t="s">
        <v>166</v>
      </c>
      <c r="R12" s="492" t="s">
        <v>172</v>
      </c>
      <c r="S12" s="492"/>
      <c r="T12" s="13" t="s">
        <v>167</v>
      </c>
      <c r="U12" s="13" t="s">
        <v>48</v>
      </c>
      <c r="V12" s="13" t="s">
        <v>238</v>
      </c>
      <c r="W12" s="13" t="s">
        <v>41</v>
      </c>
      <c r="X12" s="353" t="s">
        <v>173</v>
      </c>
      <c r="Y12" s="103" t="s">
        <v>174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56"/>
    </row>
    <row r="13" spans="1:40" hidden="1" x14ac:dyDescent="0.25">
      <c r="A13" s="121"/>
      <c r="B13" s="114"/>
      <c r="C13" s="115"/>
      <c r="D13" s="116" t="s">
        <v>196</v>
      </c>
      <c r="E13" s="16" t="s">
        <v>197</v>
      </c>
      <c r="F13" s="16" t="s">
        <v>198</v>
      </c>
      <c r="G13" s="17" t="s">
        <v>199</v>
      </c>
      <c r="H13" s="122" t="s">
        <v>200</v>
      </c>
      <c r="I13" s="13" t="s">
        <v>201</v>
      </c>
      <c r="J13" s="17" t="s">
        <v>202</v>
      </c>
      <c r="K13" s="115" t="s">
        <v>203</v>
      </c>
      <c r="L13" s="122" t="s">
        <v>204</v>
      </c>
      <c r="M13" s="122" t="s">
        <v>205</v>
      </c>
      <c r="N13" s="122" t="s">
        <v>206</v>
      </c>
      <c r="O13" s="123" t="s">
        <v>207</v>
      </c>
      <c r="P13" s="115" t="s">
        <v>208</v>
      </c>
      <c r="Q13" s="115" t="s">
        <v>209</v>
      </c>
      <c r="R13" s="115"/>
      <c r="S13" s="115"/>
      <c r="T13" s="115" t="s">
        <v>210</v>
      </c>
      <c r="U13" s="115" t="s">
        <v>211</v>
      </c>
      <c r="V13" s="115" t="s">
        <v>212</v>
      </c>
      <c r="W13" s="124" t="s">
        <v>213</v>
      </c>
      <c r="X13" s="480"/>
      <c r="Y13" s="125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56"/>
    </row>
    <row r="14" spans="1:40" ht="18" customHeight="1" x14ac:dyDescent="0.25">
      <c r="A14" s="197">
        <v>1</v>
      </c>
      <c r="B14" s="224"/>
      <c r="C14" s="221">
        <v>2</v>
      </c>
      <c r="D14" s="221">
        <v>3</v>
      </c>
      <c r="E14" s="221">
        <v>4</v>
      </c>
      <c r="F14" s="221">
        <v>5</v>
      </c>
      <c r="G14" s="221">
        <v>6</v>
      </c>
      <c r="H14" s="221">
        <v>7</v>
      </c>
      <c r="I14" s="221">
        <v>8</v>
      </c>
      <c r="J14" s="221">
        <v>9</v>
      </c>
      <c r="K14" s="221">
        <v>10</v>
      </c>
      <c r="L14" s="221">
        <v>11</v>
      </c>
      <c r="M14" s="221">
        <v>12</v>
      </c>
      <c r="N14" s="221">
        <v>13</v>
      </c>
      <c r="O14" s="221">
        <v>14</v>
      </c>
      <c r="P14" s="221">
        <v>15</v>
      </c>
      <c r="Q14" s="221">
        <v>16</v>
      </c>
      <c r="R14" s="221">
        <v>17</v>
      </c>
      <c r="S14" s="221"/>
      <c r="T14" s="221">
        <v>18</v>
      </c>
      <c r="U14" s="221">
        <v>19</v>
      </c>
      <c r="V14" s="497">
        <v>20</v>
      </c>
      <c r="W14" s="221">
        <v>21</v>
      </c>
      <c r="X14" s="221">
        <v>22</v>
      </c>
      <c r="Y14" s="222">
        <v>23</v>
      </c>
      <c r="Z14" s="4"/>
      <c r="AA14" s="4"/>
      <c r="AB14" s="4"/>
      <c r="AC14" s="4"/>
      <c r="AD14" s="4"/>
      <c r="AE14" s="4"/>
      <c r="AF14" s="4"/>
      <c r="AG14" s="4"/>
      <c r="AH14" s="689"/>
      <c r="AI14" s="689"/>
      <c r="AJ14" s="4"/>
      <c r="AK14" s="4"/>
      <c r="AL14" s="4"/>
      <c r="AM14" s="4"/>
      <c r="AN14" s="4"/>
    </row>
    <row r="15" spans="1:40" s="67" customFormat="1" ht="19.5" customHeight="1" x14ac:dyDescent="0.3">
      <c r="A15" s="63"/>
      <c r="B15" s="154"/>
      <c r="C15" s="64" t="s">
        <v>68</v>
      </c>
      <c r="D15" s="155">
        <v>1667868</v>
      </c>
      <c r="E15" s="155">
        <v>414786</v>
      </c>
      <c r="F15" s="155">
        <v>487863</v>
      </c>
      <c r="G15" s="155">
        <v>685</v>
      </c>
      <c r="H15" s="155">
        <v>0</v>
      </c>
      <c r="I15" s="155">
        <v>0</v>
      </c>
      <c r="J15" s="155">
        <v>0</v>
      </c>
      <c r="K15" s="155">
        <v>0</v>
      </c>
      <c r="L15" s="155">
        <v>155439</v>
      </c>
      <c r="M15" s="155">
        <v>7400</v>
      </c>
      <c r="N15" s="155">
        <v>0</v>
      </c>
      <c r="O15" s="155">
        <v>5000</v>
      </c>
      <c r="P15" s="155">
        <v>0</v>
      </c>
      <c r="Q15" s="155">
        <v>0</v>
      </c>
      <c r="R15" s="155">
        <f>SUM(D15:Q15)</f>
        <v>2739041</v>
      </c>
      <c r="S15" s="155"/>
      <c r="T15" s="155">
        <v>0</v>
      </c>
      <c r="U15" s="155">
        <v>0</v>
      </c>
      <c r="V15" s="156">
        <v>0</v>
      </c>
      <c r="W15" s="155">
        <v>0</v>
      </c>
      <c r="X15" s="156">
        <f>SUM(T15:W15)</f>
        <v>0</v>
      </c>
      <c r="Y15" s="157">
        <f>R15+X15</f>
        <v>2739041</v>
      </c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6"/>
    </row>
    <row r="16" spans="1:40" ht="20.100000000000001" hidden="1" customHeight="1" x14ac:dyDescent="0.25">
      <c r="A16" s="68"/>
      <c r="B16" s="140" t="s">
        <v>83</v>
      </c>
      <c r="C16" s="41" t="s">
        <v>106</v>
      </c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3"/>
      <c r="W16" s="72"/>
      <c r="X16" s="73"/>
      <c r="Y16" s="83">
        <f>SUM(D16:W16)</f>
        <v>0</v>
      </c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70"/>
    </row>
    <row r="17" spans="1:40" ht="20.100000000000001" hidden="1" customHeight="1" x14ac:dyDescent="0.25">
      <c r="A17" s="160"/>
      <c r="B17" s="27"/>
      <c r="C17" s="24" t="s">
        <v>18</v>
      </c>
      <c r="D17" s="155">
        <f t="shared" ref="D17:Y17" si="0">SUM(D15:D16)</f>
        <v>1667868</v>
      </c>
      <c r="E17" s="155">
        <f t="shared" si="0"/>
        <v>414786</v>
      </c>
      <c r="F17" s="155">
        <f t="shared" si="0"/>
        <v>487863</v>
      </c>
      <c r="G17" s="155">
        <f t="shared" si="0"/>
        <v>685</v>
      </c>
      <c r="H17" s="155">
        <f t="shared" si="0"/>
        <v>0</v>
      </c>
      <c r="I17" s="155">
        <f t="shared" si="0"/>
        <v>0</v>
      </c>
      <c r="J17" s="155">
        <f t="shared" si="0"/>
        <v>0</v>
      </c>
      <c r="K17" s="155">
        <f t="shared" si="0"/>
        <v>0</v>
      </c>
      <c r="L17" s="155">
        <f t="shared" si="0"/>
        <v>155439</v>
      </c>
      <c r="M17" s="155">
        <f t="shared" si="0"/>
        <v>7400</v>
      </c>
      <c r="N17" s="155">
        <f t="shared" si="0"/>
        <v>0</v>
      </c>
      <c r="O17" s="155">
        <f t="shared" si="0"/>
        <v>5000</v>
      </c>
      <c r="P17" s="155">
        <f t="shared" si="0"/>
        <v>0</v>
      </c>
      <c r="Q17" s="155">
        <f t="shared" si="0"/>
        <v>0</v>
      </c>
      <c r="R17" s="155">
        <f>SUM(D17:Q17)</f>
        <v>2739041</v>
      </c>
      <c r="S17" s="155"/>
      <c r="T17" s="155">
        <f t="shared" si="0"/>
        <v>0</v>
      </c>
      <c r="U17" s="155">
        <f t="shared" si="0"/>
        <v>0</v>
      </c>
      <c r="V17" s="156">
        <f t="shared" si="0"/>
        <v>0</v>
      </c>
      <c r="W17" s="155">
        <f t="shared" si="0"/>
        <v>0</v>
      </c>
      <c r="X17" s="156">
        <f>SUM(T17:W17)</f>
        <v>0</v>
      </c>
      <c r="Y17" s="157">
        <f t="shared" si="0"/>
        <v>2739041</v>
      </c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70"/>
    </row>
    <row r="18" spans="1:40" ht="30" customHeight="1" x14ac:dyDescent="0.25">
      <c r="A18" s="82"/>
      <c r="B18" s="140"/>
      <c r="C18" s="28"/>
      <c r="D18" s="72"/>
      <c r="E18" s="72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>
        <f t="shared" ref="R18:R88" si="1">SUM(D18:Q18)</f>
        <v>0</v>
      </c>
      <c r="S18" s="72"/>
      <c r="T18" s="72"/>
      <c r="U18" s="72"/>
      <c r="V18" s="73"/>
      <c r="W18" s="72"/>
      <c r="X18" s="73"/>
      <c r="Y18" s="83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70"/>
    </row>
    <row r="19" spans="1:40" ht="30" customHeight="1" x14ac:dyDescent="0.25">
      <c r="A19" s="82">
        <v>1</v>
      </c>
      <c r="B19" s="621" t="s">
        <v>271</v>
      </c>
      <c r="C19" s="28" t="s">
        <v>272</v>
      </c>
      <c r="D19" s="159">
        <f>714.9</f>
        <v>714.9</v>
      </c>
      <c r="E19" s="159">
        <f>193.023</f>
        <v>193.023</v>
      </c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>
        <f t="shared" si="1"/>
        <v>907.923</v>
      </c>
      <c r="S19" s="159"/>
      <c r="T19" s="159"/>
      <c r="U19" s="159"/>
      <c r="V19" s="165"/>
      <c r="W19" s="159"/>
      <c r="X19" s="165">
        <f t="shared" ref="X19:X88" si="2">SUM(T19:W19)</f>
        <v>0</v>
      </c>
      <c r="Y19" s="619">
        <f t="shared" ref="Y19:Y88" si="3">R19+X19</f>
        <v>907.923</v>
      </c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70"/>
    </row>
    <row r="20" spans="1:40" ht="30" customHeight="1" x14ac:dyDescent="0.25">
      <c r="A20" s="82">
        <v>2</v>
      </c>
      <c r="B20" s="673" t="s">
        <v>281</v>
      </c>
      <c r="C20" s="28" t="s">
        <v>280</v>
      </c>
      <c r="D20" s="159">
        <f>1489.125</f>
        <v>1489.125</v>
      </c>
      <c r="E20" s="159">
        <f>223.184</f>
        <v>223.184</v>
      </c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>
        <f t="shared" si="1"/>
        <v>1712.309</v>
      </c>
      <c r="S20" s="159"/>
      <c r="T20" s="159"/>
      <c r="U20" s="159"/>
      <c r="V20" s="165"/>
      <c r="W20" s="159"/>
      <c r="X20" s="165">
        <f t="shared" si="2"/>
        <v>0</v>
      </c>
      <c r="Y20" s="619">
        <f t="shared" si="3"/>
        <v>1712.309</v>
      </c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70"/>
    </row>
    <row r="21" spans="1:40" ht="30" customHeight="1" x14ac:dyDescent="0.25">
      <c r="A21" s="231">
        <v>3</v>
      </c>
      <c r="B21" s="677" t="s">
        <v>313</v>
      </c>
      <c r="C21" s="33" t="s">
        <v>312</v>
      </c>
      <c r="D21" s="159"/>
      <c r="E21" s="159"/>
      <c r="F21" s="159">
        <f>3000+810</f>
        <v>3810</v>
      </c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>
        <f t="shared" si="1"/>
        <v>3810</v>
      </c>
      <c r="S21" s="159"/>
      <c r="T21" s="159"/>
      <c r="U21" s="159"/>
      <c r="V21" s="165"/>
      <c r="W21" s="159"/>
      <c r="X21" s="165">
        <f t="shared" si="2"/>
        <v>0</v>
      </c>
      <c r="Y21" s="619">
        <f t="shared" si="3"/>
        <v>3810</v>
      </c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70"/>
    </row>
    <row r="22" spans="1:40" ht="30" hidden="1" customHeight="1" x14ac:dyDescent="0.25">
      <c r="A22" s="231"/>
      <c r="B22" s="232"/>
      <c r="C22" s="28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>
        <f t="shared" si="1"/>
        <v>0</v>
      </c>
      <c r="S22" s="159"/>
      <c r="T22" s="159"/>
      <c r="U22" s="159"/>
      <c r="V22" s="165"/>
      <c r="W22" s="159"/>
      <c r="X22" s="165">
        <f t="shared" si="2"/>
        <v>0</v>
      </c>
      <c r="Y22" s="619">
        <f t="shared" si="3"/>
        <v>0</v>
      </c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70"/>
    </row>
    <row r="23" spans="1:40" ht="30" hidden="1" customHeight="1" x14ac:dyDescent="0.25">
      <c r="A23" s="231"/>
      <c r="B23" s="232"/>
      <c r="C23" s="28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>
        <f t="shared" si="1"/>
        <v>0</v>
      </c>
      <c r="S23" s="159"/>
      <c r="T23" s="159"/>
      <c r="U23" s="159"/>
      <c r="V23" s="165"/>
      <c r="W23" s="159"/>
      <c r="X23" s="165">
        <f t="shared" si="2"/>
        <v>0</v>
      </c>
      <c r="Y23" s="619">
        <f t="shared" si="3"/>
        <v>0</v>
      </c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70"/>
    </row>
    <row r="24" spans="1:40" ht="30" hidden="1" customHeight="1" x14ac:dyDescent="0.25">
      <c r="A24" s="231"/>
      <c r="B24" s="232"/>
      <c r="C24" s="28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>
        <f t="shared" si="1"/>
        <v>0</v>
      </c>
      <c r="S24" s="159"/>
      <c r="T24" s="159"/>
      <c r="U24" s="159"/>
      <c r="V24" s="165"/>
      <c r="W24" s="159"/>
      <c r="X24" s="165">
        <f t="shared" si="2"/>
        <v>0</v>
      </c>
      <c r="Y24" s="619">
        <f t="shared" si="3"/>
        <v>0</v>
      </c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70"/>
    </row>
    <row r="25" spans="1:40" ht="30" hidden="1" customHeight="1" x14ac:dyDescent="0.25">
      <c r="A25" s="231"/>
      <c r="B25" s="232"/>
      <c r="C25" s="28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>
        <f t="shared" si="1"/>
        <v>0</v>
      </c>
      <c r="S25" s="159"/>
      <c r="T25" s="159"/>
      <c r="U25" s="159"/>
      <c r="V25" s="165"/>
      <c r="W25" s="159"/>
      <c r="X25" s="165">
        <f t="shared" si="2"/>
        <v>0</v>
      </c>
      <c r="Y25" s="619">
        <f t="shared" si="3"/>
        <v>0</v>
      </c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70"/>
    </row>
    <row r="26" spans="1:40" ht="30" hidden="1" customHeight="1" x14ac:dyDescent="0.25">
      <c r="A26" s="231"/>
      <c r="B26" s="232"/>
      <c r="C26" s="28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>
        <f t="shared" si="1"/>
        <v>0</v>
      </c>
      <c r="S26" s="159"/>
      <c r="T26" s="159"/>
      <c r="U26" s="159"/>
      <c r="V26" s="165"/>
      <c r="W26" s="159"/>
      <c r="X26" s="165">
        <f t="shared" si="2"/>
        <v>0</v>
      </c>
      <c r="Y26" s="619">
        <f t="shared" si="3"/>
        <v>0</v>
      </c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70"/>
    </row>
    <row r="27" spans="1:40" ht="30" customHeight="1" x14ac:dyDescent="0.25">
      <c r="A27" s="231"/>
      <c r="B27" s="232"/>
      <c r="C27" s="462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65"/>
      <c r="W27" s="159"/>
      <c r="X27" s="165"/>
      <c r="Y27" s="61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70"/>
    </row>
    <row r="28" spans="1:40" ht="30" customHeight="1" x14ac:dyDescent="0.25">
      <c r="A28" s="82"/>
      <c r="B28" s="141"/>
      <c r="C28" s="28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65"/>
      <c r="W28" s="159"/>
      <c r="X28" s="165"/>
      <c r="Y28" s="61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70"/>
    </row>
    <row r="29" spans="1:40" ht="9.9499999999999993" customHeight="1" x14ac:dyDescent="0.25">
      <c r="A29" s="82"/>
      <c r="B29" s="141"/>
      <c r="C29" s="28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65"/>
      <c r="W29" s="159"/>
      <c r="X29" s="165"/>
      <c r="Y29" s="61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70"/>
    </row>
    <row r="30" spans="1:40" ht="30" customHeight="1" x14ac:dyDescent="0.25">
      <c r="A30" s="216" t="s">
        <v>89</v>
      </c>
      <c r="B30" s="212"/>
      <c r="C30" s="217" t="s">
        <v>87</v>
      </c>
      <c r="D30" s="159">
        <f t="shared" ref="D30:I30" si="4">SUM(D18:D28)</f>
        <v>2204.0250000000001</v>
      </c>
      <c r="E30" s="159">
        <f t="shared" si="4"/>
        <v>416.20699999999999</v>
      </c>
      <c r="F30" s="159">
        <f t="shared" si="4"/>
        <v>3810</v>
      </c>
      <c r="G30" s="159">
        <f t="shared" si="4"/>
        <v>0</v>
      </c>
      <c r="H30" s="159">
        <f t="shared" si="4"/>
        <v>0</v>
      </c>
      <c r="I30" s="159">
        <f t="shared" si="4"/>
        <v>0</v>
      </c>
      <c r="J30" s="159"/>
      <c r="K30" s="159">
        <f t="shared" ref="K30:Q30" si="5">SUM(K18:K28)</f>
        <v>0</v>
      </c>
      <c r="L30" s="159">
        <f t="shared" si="5"/>
        <v>0</v>
      </c>
      <c r="M30" s="159">
        <f t="shared" si="5"/>
        <v>0</v>
      </c>
      <c r="N30" s="159">
        <f t="shared" si="5"/>
        <v>0</v>
      </c>
      <c r="O30" s="159">
        <f t="shared" si="5"/>
        <v>0</v>
      </c>
      <c r="P30" s="159">
        <f t="shared" si="5"/>
        <v>0</v>
      </c>
      <c r="Q30" s="159">
        <f t="shared" si="5"/>
        <v>0</v>
      </c>
      <c r="R30" s="159">
        <f t="shared" si="1"/>
        <v>6430.232</v>
      </c>
      <c r="S30" s="159"/>
      <c r="T30" s="159">
        <f>SUM(T18:T28)</f>
        <v>0</v>
      </c>
      <c r="U30" s="159">
        <f>SUM(U18:U28)</f>
        <v>0</v>
      </c>
      <c r="V30" s="165">
        <f>SUM(V18:V28)</f>
        <v>0</v>
      </c>
      <c r="W30" s="159">
        <f>SUM(W18:W28)</f>
        <v>0</v>
      </c>
      <c r="X30" s="165">
        <f t="shared" si="2"/>
        <v>0</v>
      </c>
      <c r="Y30" s="620">
        <f t="shared" si="3"/>
        <v>6430.232</v>
      </c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70"/>
    </row>
    <row r="31" spans="1:40" ht="30" customHeight="1" x14ac:dyDescent="0.25">
      <c r="A31" s="82"/>
      <c r="B31" s="141"/>
      <c r="C31" s="28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65"/>
      <c r="W31" s="159"/>
      <c r="X31" s="165"/>
      <c r="Y31" s="61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70"/>
    </row>
    <row r="32" spans="1:40" ht="30" customHeight="1" x14ac:dyDescent="0.25">
      <c r="A32" s="82">
        <v>4</v>
      </c>
      <c r="B32" s="141" t="s">
        <v>239</v>
      </c>
      <c r="C32" s="28" t="s">
        <v>240</v>
      </c>
      <c r="D32" s="159"/>
      <c r="E32" s="159"/>
      <c r="F32" s="159">
        <f>-78-21</f>
        <v>-99</v>
      </c>
      <c r="G32" s="159"/>
      <c r="H32" s="159"/>
      <c r="I32" s="159"/>
      <c r="J32" s="159"/>
      <c r="K32" s="159"/>
      <c r="L32" s="159">
        <f>78+21</f>
        <v>99</v>
      </c>
      <c r="M32" s="159"/>
      <c r="N32" s="159"/>
      <c r="O32" s="159"/>
      <c r="P32" s="159"/>
      <c r="Q32" s="159"/>
      <c r="R32" s="159">
        <f t="shared" si="1"/>
        <v>0</v>
      </c>
      <c r="S32" s="159"/>
      <c r="T32" s="159"/>
      <c r="U32" s="159"/>
      <c r="V32" s="165"/>
      <c r="W32" s="159"/>
      <c r="X32" s="165">
        <f t="shared" si="2"/>
        <v>0</v>
      </c>
      <c r="Y32" s="619">
        <f t="shared" si="3"/>
        <v>0</v>
      </c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70"/>
    </row>
    <row r="33" spans="1:40" ht="30" customHeight="1" x14ac:dyDescent="0.25">
      <c r="A33" s="82">
        <v>5</v>
      </c>
      <c r="B33" s="621" t="s">
        <v>274</v>
      </c>
      <c r="C33" s="41" t="s">
        <v>275</v>
      </c>
      <c r="D33" s="159"/>
      <c r="E33" s="159"/>
      <c r="F33" s="159">
        <f>-487-267</f>
        <v>-754</v>
      </c>
      <c r="G33" s="159"/>
      <c r="H33" s="159"/>
      <c r="I33" s="159"/>
      <c r="J33" s="159"/>
      <c r="K33" s="159"/>
      <c r="L33" s="159">
        <f>487+267</f>
        <v>754</v>
      </c>
      <c r="M33" s="159"/>
      <c r="N33" s="159"/>
      <c r="O33" s="159"/>
      <c r="P33" s="159"/>
      <c r="Q33" s="159"/>
      <c r="R33" s="159">
        <f t="shared" si="1"/>
        <v>0</v>
      </c>
      <c r="S33" s="159"/>
      <c r="T33" s="159"/>
      <c r="U33" s="159"/>
      <c r="V33" s="165"/>
      <c r="W33" s="159"/>
      <c r="X33" s="165">
        <f t="shared" si="2"/>
        <v>0</v>
      </c>
      <c r="Y33" s="619">
        <f t="shared" si="3"/>
        <v>0</v>
      </c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70"/>
    </row>
    <row r="34" spans="1:40" ht="30" customHeight="1" x14ac:dyDescent="0.25">
      <c r="A34" s="82">
        <v>6</v>
      </c>
      <c r="B34" s="621" t="s">
        <v>290</v>
      </c>
      <c r="C34" s="41" t="s">
        <v>276</v>
      </c>
      <c r="D34" s="159">
        <f>2929</f>
        <v>2929</v>
      </c>
      <c r="E34" s="159">
        <f>322.484</f>
        <v>322.48399999999998</v>
      </c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>
        <f t="shared" si="1"/>
        <v>3251.4839999999999</v>
      </c>
      <c r="S34" s="159"/>
      <c r="T34" s="159"/>
      <c r="U34" s="159"/>
      <c r="V34" s="165"/>
      <c r="W34" s="159"/>
      <c r="X34" s="165">
        <f t="shared" si="2"/>
        <v>0</v>
      </c>
      <c r="Y34" s="619">
        <f t="shared" si="3"/>
        <v>3251.4839999999999</v>
      </c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70"/>
    </row>
    <row r="35" spans="1:40" ht="30" hidden="1" customHeight="1" x14ac:dyDescent="0.25">
      <c r="A35" s="82" t="s">
        <v>114</v>
      </c>
      <c r="B35" s="621"/>
      <c r="C35" s="41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>
        <f t="shared" si="1"/>
        <v>0</v>
      </c>
      <c r="S35" s="159"/>
      <c r="T35" s="159"/>
      <c r="U35" s="159"/>
      <c r="V35" s="165"/>
      <c r="W35" s="159"/>
      <c r="X35" s="165">
        <f t="shared" si="2"/>
        <v>0</v>
      </c>
      <c r="Y35" s="619">
        <f t="shared" si="3"/>
        <v>0</v>
      </c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70"/>
    </row>
    <row r="36" spans="1:40" ht="30" hidden="1" customHeight="1" x14ac:dyDescent="0.25">
      <c r="A36" s="82" t="s">
        <v>114</v>
      </c>
      <c r="B36" s="621"/>
      <c r="C36" s="41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>
        <f t="shared" si="1"/>
        <v>0</v>
      </c>
      <c r="S36" s="159"/>
      <c r="T36" s="159"/>
      <c r="U36" s="159"/>
      <c r="V36" s="165"/>
      <c r="W36" s="159"/>
      <c r="X36" s="165">
        <f t="shared" si="2"/>
        <v>0</v>
      </c>
      <c r="Y36" s="619">
        <f t="shared" si="3"/>
        <v>0</v>
      </c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70"/>
    </row>
    <row r="37" spans="1:40" ht="30" hidden="1" customHeight="1" x14ac:dyDescent="0.25">
      <c r="A37" s="82" t="s">
        <v>114</v>
      </c>
      <c r="B37" s="621"/>
      <c r="C37" s="41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>
        <f t="shared" si="1"/>
        <v>0</v>
      </c>
      <c r="S37" s="159"/>
      <c r="T37" s="159"/>
      <c r="U37" s="159"/>
      <c r="V37" s="165"/>
      <c r="W37" s="159"/>
      <c r="X37" s="165">
        <f t="shared" si="2"/>
        <v>0</v>
      </c>
      <c r="Y37" s="619">
        <f t="shared" si="3"/>
        <v>0</v>
      </c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70"/>
    </row>
    <row r="38" spans="1:40" ht="30" hidden="1" customHeight="1" x14ac:dyDescent="0.25">
      <c r="A38" s="82" t="s">
        <v>114</v>
      </c>
      <c r="B38" s="621"/>
      <c r="C38" s="41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>
        <f t="shared" si="1"/>
        <v>0</v>
      </c>
      <c r="S38" s="159"/>
      <c r="T38" s="159"/>
      <c r="U38" s="159"/>
      <c r="V38" s="165"/>
      <c r="W38" s="159"/>
      <c r="X38" s="165">
        <f t="shared" si="2"/>
        <v>0</v>
      </c>
      <c r="Y38" s="619">
        <f t="shared" si="3"/>
        <v>0</v>
      </c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0"/>
    </row>
    <row r="39" spans="1:40" ht="30" customHeight="1" x14ac:dyDescent="0.25">
      <c r="A39" s="82">
        <v>7</v>
      </c>
      <c r="B39" s="673" t="s">
        <v>293</v>
      </c>
      <c r="C39" s="41" t="s">
        <v>292</v>
      </c>
      <c r="D39" s="159"/>
      <c r="E39" s="159"/>
      <c r="F39" s="159"/>
      <c r="G39" s="159"/>
      <c r="H39" s="159"/>
      <c r="I39" s="159"/>
      <c r="J39" s="159"/>
      <c r="K39" s="159"/>
      <c r="L39" s="159">
        <f>414+112</f>
        <v>526</v>
      </c>
      <c r="M39" s="159"/>
      <c r="N39" s="159"/>
      <c r="O39" s="159"/>
      <c r="P39" s="159"/>
      <c r="Q39" s="159"/>
      <c r="R39" s="159">
        <f t="shared" si="1"/>
        <v>526</v>
      </c>
      <c r="S39" s="159"/>
      <c r="T39" s="159"/>
      <c r="U39" s="159"/>
      <c r="V39" s="165"/>
      <c r="W39" s="159"/>
      <c r="X39" s="165">
        <f t="shared" si="2"/>
        <v>0</v>
      </c>
      <c r="Y39" s="619">
        <f t="shared" si="3"/>
        <v>526</v>
      </c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70"/>
    </row>
    <row r="40" spans="1:40" ht="30" customHeight="1" x14ac:dyDescent="0.25">
      <c r="A40" s="82">
        <v>8</v>
      </c>
      <c r="B40" s="232" t="s">
        <v>324</v>
      </c>
      <c r="C40" s="28" t="s">
        <v>325</v>
      </c>
      <c r="D40" s="159"/>
      <c r="E40" s="159"/>
      <c r="F40" s="159">
        <f>290+78-110-30+110+30</f>
        <v>368</v>
      </c>
      <c r="G40" s="159"/>
      <c r="H40" s="159"/>
      <c r="I40" s="159"/>
      <c r="J40" s="159"/>
      <c r="K40" s="159"/>
      <c r="L40" s="159">
        <f>-290-78</f>
        <v>-368</v>
      </c>
      <c r="M40" s="159"/>
      <c r="N40" s="159"/>
      <c r="O40" s="159"/>
      <c r="P40" s="159"/>
      <c r="Q40" s="159"/>
      <c r="R40" s="159">
        <f t="shared" si="1"/>
        <v>0</v>
      </c>
      <c r="S40" s="159"/>
      <c r="T40" s="159"/>
      <c r="U40" s="159"/>
      <c r="V40" s="165"/>
      <c r="W40" s="159"/>
      <c r="X40" s="165">
        <f t="shared" si="2"/>
        <v>0</v>
      </c>
      <c r="Y40" s="619">
        <f t="shared" si="3"/>
        <v>0</v>
      </c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70"/>
    </row>
    <row r="41" spans="1:40" ht="30" customHeight="1" x14ac:dyDescent="0.25">
      <c r="A41" s="82">
        <v>9</v>
      </c>
      <c r="B41" s="677" t="s">
        <v>332</v>
      </c>
      <c r="C41" s="41" t="s">
        <v>276</v>
      </c>
      <c r="D41" s="159">
        <v>374</v>
      </c>
      <c r="E41" s="159">
        <v>40.969000000000001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>
        <f t="shared" si="1"/>
        <v>414.96899999999999</v>
      </c>
      <c r="S41" s="159"/>
      <c r="T41" s="159"/>
      <c r="U41" s="159"/>
      <c r="V41" s="165"/>
      <c r="W41" s="159"/>
      <c r="X41" s="165">
        <f t="shared" si="2"/>
        <v>0</v>
      </c>
      <c r="Y41" s="619">
        <f t="shared" si="3"/>
        <v>414.96899999999999</v>
      </c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70"/>
    </row>
    <row r="42" spans="1:40" ht="30" customHeight="1" x14ac:dyDescent="0.25">
      <c r="A42" s="82"/>
      <c r="B42" s="232"/>
      <c r="C42" s="28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65"/>
      <c r="W42" s="159"/>
      <c r="X42" s="165"/>
      <c r="Y42" s="61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70"/>
    </row>
    <row r="43" spans="1:40" ht="30" customHeight="1" x14ac:dyDescent="0.25">
      <c r="A43" s="82"/>
      <c r="B43" s="232"/>
      <c r="C43" s="28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65"/>
      <c r="W43" s="159"/>
      <c r="X43" s="165"/>
      <c r="Y43" s="61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70"/>
    </row>
    <row r="44" spans="1:40" ht="9.9499999999999993" customHeight="1" x14ac:dyDescent="0.25">
      <c r="A44" s="82"/>
      <c r="B44" s="141"/>
      <c r="C44" s="28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65"/>
      <c r="W44" s="159"/>
      <c r="X44" s="165"/>
      <c r="Y44" s="61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70"/>
    </row>
    <row r="45" spans="1:40" ht="30" customHeight="1" x14ac:dyDescent="0.25">
      <c r="A45" s="216" t="s">
        <v>90</v>
      </c>
      <c r="B45" s="212"/>
      <c r="C45" s="217" t="s">
        <v>88</v>
      </c>
      <c r="D45" s="159">
        <f t="shared" ref="D45:Q45" si="6">SUM(D32:D42)</f>
        <v>3303</v>
      </c>
      <c r="E45" s="159">
        <f t="shared" si="6"/>
        <v>363.45299999999997</v>
      </c>
      <c r="F45" s="159">
        <f t="shared" si="6"/>
        <v>-485</v>
      </c>
      <c r="G45" s="159">
        <f t="shared" si="6"/>
        <v>0</v>
      </c>
      <c r="H45" s="159">
        <f t="shared" si="6"/>
        <v>0</v>
      </c>
      <c r="I45" s="159">
        <f t="shared" si="6"/>
        <v>0</v>
      </c>
      <c r="J45" s="159">
        <f t="shared" si="6"/>
        <v>0</v>
      </c>
      <c r="K45" s="159">
        <f t="shared" si="6"/>
        <v>0</v>
      </c>
      <c r="L45" s="159">
        <f t="shared" si="6"/>
        <v>1011</v>
      </c>
      <c r="M45" s="159">
        <f t="shared" si="6"/>
        <v>0</v>
      </c>
      <c r="N45" s="159">
        <f t="shared" si="6"/>
        <v>0</v>
      </c>
      <c r="O45" s="159">
        <f t="shared" si="6"/>
        <v>0</v>
      </c>
      <c r="P45" s="159">
        <f t="shared" si="6"/>
        <v>0</v>
      </c>
      <c r="Q45" s="159">
        <f t="shared" si="6"/>
        <v>0</v>
      </c>
      <c r="R45" s="159">
        <f t="shared" si="1"/>
        <v>4192.4529999999995</v>
      </c>
      <c r="S45" s="159"/>
      <c r="T45" s="159">
        <f>SUM(T32:T42)</f>
        <v>0</v>
      </c>
      <c r="U45" s="159">
        <f>SUM(U32:U42)</f>
        <v>0</v>
      </c>
      <c r="V45" s="159">
        <f>SUM(V32:V42)</f>
        <v>0</v>
      </c>
      <c r="W45" s="159">
        <f>SUM(W32:W42)</f>
        <v>0</v>
      </c>
      <c r="X45" s="165">
        <f t="shared" si="2"/>
        <v>0</v>
      </c>
      <c r="Y45" s="620">
        <f t="shared" si="3"/>
        <v>4192.4529999999995</v>
      </c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70"/>
    </row>
    <row r="46" spans="1:40" ht="30" customHeight="1" x14ac:dyDescent="0.25">
      <c r="A46" s="82"/>
      <c r="B46" s="141"/>
      <c r="C46" s="28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3"/>
      <c r="W46" s="72"/>
      <c r="X46" s="73"/>
      <c r="Y46" s="83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70"/>
    </row>
    <row r="47" spans="1:40" ht="17.25" thickBot="1" x14ac:dyDescent="0.25">
      <c r="A47" s="82"/>
      <c r="B47" s="129"/>
      <c r="C47" s="163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3"/>
      <c r="W47" s="72"/>
      <c r="X47" s="73"/>
      <c r="Y47" s="83"/>
    </row>
    <row r="48" spans="1:40" ht="30" customHeight="1" thickTop="1" thickBot="1" x14ac:dyDescent="0.25">
      <c r="A48" s="138"/>
      <c r="B48" s="90"/>
      <c r="C48" s="44" t="s">
        <v>91</v>
      </c>
      <c r="D48" s="86">
        <f t="shared" ref="D48:W48" si="7">D30+D45</f>
        <v>5507.0249999999996</v>
      </c>
      <c r="E48" s="86">
        <f t="shared" si="7"/>
        <v>779.66</v>
      </c>
      <c r="F48" s="86">
        <f t="shared" si="7"/>
        <v>3325</v>
      </c>
      <c r="G48" s="86">
        <f t="shared" si="7"/>
        <v>0</v>
      </c>
      <c r="H48" s="86">
        <f t="shared" si="7"/>
        <v>0</v>
      </c>
      <c r="I48" s="86">
        <f t="shared" si="7"/>
        <v>0</v>
      </c>
      <c r="J48" s="86">
        <f t="shared" si="7"/>
        <v>0</v>
      </c>
      <c r="K48" s="86">
        <f t="shared" si="7"/>
        <v>0</v>
      </c>
      <c r="L48" s="86">
        <f t="shared" si="7"/>
        <v>1011</v>
      </c>
      <c r="M48" s="86">
        <f t="shared" si="7"/>
        <v>0</v>
      </c>
      <c r="N48" s="86">
        <f t="shared" si="7"/>
        <v>0</v>
      </c>
      <c r="O48" s="86">
        <f t="shared" si="7"/>
        <v>0</v>
      </c>
      <c r="P48" s="86">
        <f t="shared" si="7"/>
        <v>0</v>
      </c>
      <c r="Q48" s="86">
        <f t="shared" si="7"/>
        <v>0</v>
      </c>
      <c r="R48" s="86">
        <f t="shared" si="1"/>
        <v>10622.684999999999</v>
      </c>
      <c r="S48" s="86"/>
      <c r="T48" s="86">
        <f t="shared" si="7"/>
        <v>0</v>
      </c>
      <c r="U48" s="86">
        <f t="shared" si="7"/>
        <v>0</v>
      </c>
      <c r="V48" s="87">
        <f t="shared" si="7"/>
        <v>0</v>
      </c>
      <c r="W48" s="86">
        <f t="shared" si="7"/>
        <v>0</v>
      </c>
      <c r="X48" s="86">
        <f t="shared" si="2"/>
        <v>0</v>
      </c>
      <c r="Y48" s="80">
        <f t="shared" si="3"/>
        <v>10622.684999999999</v>
      </c>
    </row>
    <row r="49" spans="1:72" ht="9.9499999999999993" hidden="1" customHeight="1" thickTop="1" x14ac:dyDescent="0.2">
      <c r="A49" s="647"/>
      <c r="B49" s="193"/>
      <c r="C49" s="194"/>
      <c r="D49" s="661"/>
      <c r="E49" s="661"/>
      <c r="F49" s="661"/>
      <c r="G49" s="661"/>
      <c r="H49" s="661"/>
      <c r="I49" s="661"/>
      <c r="J49" s="661"/>
      <c r="K49" s="661"/>
      <c r="L49" s="661"/>
      <c r="M49" s="661"/>
      <c r="N49" s="661"/>
      <c r="O49" s="661"/>
      <c r="P49" s="661"/>
      <c r="Q49" s="661"/>
      <c r="R49" s="661"/>
      <c r="S49" s="661"/>
      <c r="T49" s="661"/>
      <c r="U49" s="661"/>
      <c r="V49" s="583"/>
      <c r="W49" s="661"/>
      <c r="X49" s="583"/>
      <c r="Y49" s="662"/>
    </row>
    <row r="50" spans="1:72" ht="30" hidden="1" customHeight="1" x14ac:dyDescent="0.2">
      <c r="A50" s="663"/>
      <c r="B50" s="30"/>
      <c r="C50" s="664"/>
      <c r="D50" s="665"/>
      <c r="E50" s="665"/>
      <c r="F50" s="665"/>
      <c r="G50" s="665"/>
      <c r="H50" s="665"/>
      <c r="I50" s="665"/>
      <c r="J50" s="665"/>
      <c r="K50" s="665"/>
      <c r="L50" s="665"/>
      <c r="M50" s="665"/>
      <c r="N50" s="665"/>
      <c r="O50" s="665"/>
      <c r="P50" s="665"/>
      <c r="Q50" s="665"/>
      <c r="R50" s="665">
        <f>SUM(D50:Q50)</f>
        <v>0</v>
      </c>
      <c r="S50" s="665"/>
      <c r="T50" s="665"/>
      <c r="U50" s="665"/>
      <c r="V50" s="666"/>
      <c r="W50" s="665"/>
      <c r="X50" s="666">
        <f>SUM(T50:W50)</f>
        <v>0</v>
      </c>
      <c r="Y50" s="667">
        <f>R50+X50</f>
        <v>0</v>
      </c>
    </row>
    <row r="51" spans="1:72" ht="9.9499999999999993" hidden="1" customHeight="1" thickBot="1" x14ac:dyDescent="0.25">
      <c r="A51" s="657"/>
      <c r="B51" s="202"/>
      <c r="C51" s="203"/>
      <c r="D51" s="668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8"/>
      <c r="T51" s="668"/>
      <c r="U51" s="668"/>
      <c r="V51" s="669"/>
      <c r="W51" s="668"/>
      <c r="X51" s="669"/>
      <c r="Y51" s="670"/>
    </row>
    <row r="52" spans="1:72" ht="30" customHeight="1" thickTop="1" thickBot="1" x14ac:dyDescent="0.25">
      <c r="A52" s="138"/>
      <c r="B52" s="90"/>
      <c r="C52" s="44" t="s">
        <v>151</v>
      </c>
      <c r="D52" s="131">
        <f t="shared" ref="D52:K52" si="8">D17+D48</f>
        <v>1673375.0249999999</v>
      </c>
      <c r="E52" s="131">
        <f t="shared" si="8"/>
        <v>415565.66</v>
      </c>
      <c r="F52" s="131">
        <f t="shared" si="8"/>
        <v>491188</v>
      </c>
      <c r="G52" s="131">
        <f t="shared" si="8"/>
        <v>685</v>
      </c>
      <c r="H52" s="131">
        <f t="shared" si="8"/>
        <v>0</v>
      </c>
      <c r="I52" s="131">
        <f t="shared" si="8"/>
        <v>0</v>
      </c>
      <c r="J52" s="131">
        <f t="shared" si="8"/>
        <v>0</v>
      </c>
      <c r="K52" s="131">
        <f t="shared" si="8"/>
        <v>0</v>
      </c>
      <c r="L52" s="131">
        <f>L17+L48+L50</f>
        <v>156450</v>
      </c>
      <c r="M52" s="131">
        <f>M17+M48</f>
        <v>7400</v>
      </c>
      <c r="N52" s="131">
        <f>N17+N48</f>
        <v>0</v>
      </c>
      <c r="O52" s="131">
        <f>O17+O48</f>
        <v>5000</v>
      </c>
      <c r="P52" s="131">
        <f>P17+P48</f>
        <v>0</v>
      </c>
      <c r="Q52" s="131">
        <f>Q17+Q48</f>
        <v>0</v>
      </c>
      <c r="R52" s="131">
        <f>SUM(D52:Q52)</f>
        <v>2749663.6849999996</v>
      </c>
      <c r="S52" s="131"/>
      <c r="T52" s="131">
        <f>T17+T48</f>
        <v>0</v>
      </c>
      <c r="U52" s="131">
        <f>U17+U48</f>
        <v>0</v>
      </c>
      <c r="V52" s="368">
        <f>V17+V48</f>
        <v>0</v>
      </c>
      <c r="W52" s="131">
        <f>W17+W48</f>
        <v>0</v>
      </c>
      <c r="X52" s="368">
        <f t="shared" si="2"/>
        <v>0</v>
      </c>
      <c r="Y52" s="161">
        <f>R52+X52+Y50</f>
        <v>2749663.6849999996</v>
      </c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</row>
    <row r="53" spans="1:72" ht="17.25" hidden="1" thickTop="1" x14ac:dyDescent="0.2">
      <c r="A53" s="26"/>
      <c r="B53" s="139" t="s">
        <v>66</v>
      </c>
      <c r="C53" s="94" t="s">
        <v>144</v>
      </c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>
        <f t="shared" si="1"/>
        <v>0</v>
      </c>
      <c r="S53" s="95"/>
      <c r="T53" s="95"/>
      <c r="U53" s="95"/>
      <c r="V53" s="99"/>
      <c r="W53" s="95"/>
      <c r="X53" s="99">
        <f t="shared" si="2"/>
        <v>0</v>
      </c>
      <c r="Y53" s="104">
        <f t="shared" si="3"/>
        <v>0</v>
      </c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</row>
    <row r="54" spans="1:72" hidden="1" x14ac:dyDescent="0.2">
      <c r="A54" s="26"/>
      <c r="B54" s="74" t="s">
        <v>70</v>
      </c>
      <c r="C54" s="96" t="s">
        <v>144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>
        <f t="shared" si="1"/>
        <v>0</v>
      </c>
      <c r="S54" s="97"/>
      <c r="T54" s="97"/>
      <c r="U54" s="97"/>
      <c r="V54" s="100"/>
      <c r="W54" s="97"/>
      <c r="X54" s="100">
        <f t="shared" si="2"/>
        <v>0</v>
      </c>
      <c r="Y54" s="105">
        <f t="shared" si="3"/>
        <v>0</v>
      </c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</row>
    <row r="55" spans="1:72" hidden="1" x14ac:dyDescent="0.2">
      <c r="A55" s="26"/>
      <c r="B55" s="74" t="s">
        <v>84</v>
      </c>
      <c r="C55" s="96" t="s">
        <v>144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>
        <f t="shared" si="1"/>
        <v>0</v>
      </c>
      <c r="S55" s="97"/>
      <c r="T55" s="97"/>
      <c r="U55" s="97"/>
      <c r="V55" s="100"/>
      <c r="W55" s="97"/>
      <c r="X55" s="100">
        <f t="shared" si="2"/>
        <v>0</v>
      </c>
      <c r="Y55" s="105">
        <f t="shared" si="3"/>
        <v>0</v>
      </c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</row>
    <row r="56" spans="1:72" ht="16.5" hidden="1" customHeight="1" thickTop="1" x14ac:dyDescent="0.2">
      <c r="A56" s="26"/>
      <c r="B56" s="74" t="s">
        <v>85</v>
      </c>
      <c r="C56" s="96" t="s">
        <v>144</v>
      </c>
      <c r="D56" s="97"/>
      <c r="E56" s="97"/>
      <c r="F56" s="702">
        <f>2000.537</f>
        <v>2000.537</v>
      </c>
      <c r="G56" s="97"/>
      <c r="H56" s="97">
        <v>87741</v>
      </c>
      <c r="I56" s="97"/>
      <c r="J56" s="97"/>
      <c r="K56" s="97"/>
      <c r="L56" s="97"/>
      <c r="M56" s="97"/>
      <c r="N56" s="97"/>
      <c r="O56" s="97"/>
      <c r="P56" s="97"/>
      <c r="Q56" s="97"/>
      <c r="R56" s="97">
        <f t="shared" si="1"/>
        <v>89741.536999999997</v>
      </c>
      <c r="S56" s="97"/>
      <c r="T56" s="97"/>
      <c r="U56" s="97"/>
      <c r="V56" s="100"/>
      <c r="W56" s="97"/>
      <c r="X56" s="100">
        <f t="shared" si="2"/>
        <v>0</v>
      </c>
      <c r="Y56" s="105">
        <f t="shared" si="3"/>
        <v>89741.536999999997</v>
      </c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</row>
    <row r="57" spans="1:72" hidden="1" x14ac:dyDescent="0.2">
      <c r="A57" s="26"/>
      <c r="B57" s="74" t="s">
        <v>52</v>
      </c>
      <c r="C57" s="96" t="s">
        <v>144</v>
      </c>
      <c r="D57" s="97"/>
      <c r="E57" s="97"/>
      <c r="F57" s="97">
        <f>5530+1472</f>
        <v>7002</v>
      </c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>
        <f t="shared" si="1"/>
        <v>7002</v>
      </c>
      <c r="S57" s="97"/>
      <c r="T57" s="97"/>
      <c r="U57" s="97"/>
      <c r="V57" s="100"/>
      <c r="W57" s="97"/>
      <c r="X57" s="100">
        <f t="shared" si="2"/>
        <v>0</v>
      </c>
      <c r="Y57" s="105">
        <f t="shared" si="3"/>
        <v>7002</v>
      </c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</row>
    <row r="58" spans="1:72" hidden="1" x14ac:dyDescent="0.2">
      <c r="A58" s="26"/>
      <c r="B58" s="74" t="s">
        <v>53</v>
      </c>
      <c r="C58" s="96" t="s">
        <v>144</v>
      </c>
      <c r="D58" s="97">
        <f>35613+385+60</f>
        <v>36058</v>
      </c>
      <c r="E58" s="97">
        <f>46997+804+723</f>
        <v>48524</v>
      </c>
      <c r="F58" s="97">
        <v>5000</v>
      </c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>
        <f t="shared" si="1"/>
        <v>89582</v>
      </c>
      <c r="S58" s="97"/>
      <c r="T58" s="97"/>
      <c r="U58" s="97"/>
      <c r="V58" s="100"/>
      <c r="W58" s="97"/>
      <c r="X58" s="100">
        <f t="shared" si="2"/>
        <v>0</v>
      </c>
      <c r="Y58" s="105">
        <f t="shared" si="3"/>
        <v>89582</v>
      </c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</row>
    <row r="59" spans="1:72" hidden="1" x14ac:dyDescent="0.2">
      <c r="A59" s="26"/>
      <c r="B59" s="74" t="s">
        <v>67</v>
      </c>
      <c r="C59" s="96" t="s">
        <v>144</v>
      </c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>
        <f t="shared" si="1"/>
        <v>0</v>
      </c>
      <c r="S59" s="97"/>
      <c r="T59" s="97"/>
      <c r="U59" s="97"/>
      <c r="V59" s="100"/>
      <c r="W59" s="97"/>
      <c r="X59" s="100">
        <f t="shared" si="2"/>
        <v>0</v>
      </c>
      <c r="Y59" s="105">
        <f t="shared" si="3"/>
        <v>0</v>
      </c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</row>
    <row r="60" spans="1:72" hidden="1" x14ac:dyDescent="0.2">
      <c r="A60" s="26"/>
      <c r="B60" s="74" t="s">
        <v>56</v>
      </c>
      <c r="C60" s="96" t="s">
        <v>144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>
        <f t="shared" si="1"/>
        <v>0</v>
      </c>
      <c r="S60" s="97"/>
      <c r="T60" s="97"/>
      <c r="U60" s="97"/>
      <c r="V60" s="100"/>
      <c r="W60" s="97"/>
      <c r="X60" s="100">
        <f t="shared" si="2"/>
        <v>0</v>
      </c>
      <c r="Y60" s="105">
        <f t="shared" si="3"/>
        <v>0</v>
      </c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</row>
    <row r="61" spans="1:72" hidden="1" x14ac:dyDescent="0.2">
      <c r="A61" s="26"/>
      <c r="B61" s="74" t="s">
        <v>59</v>
      </c>
      <c r="C61" s="96" t="s">
        <v>144</v>
      </c>
      <c r="D61" s="97">
        <f>1459+21</f>
        <v>1480</v>
      </c>
      <c r="E61" s="97">
        <f>2371+15+16</f>
        <v>2402</v>
      </c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>
        <f t="shared" si="1"/>
        <v>3882</v>
      </c>
      <c r="S61" s="97"/>
      <c r="T61" s="97"/>
      <c r="U61" s="97"/>
      <c r="V61" s="100"/>
      <c r="W61" s="97"/>
      <c r="X61" s="100">
        <f t="shared" si="2"/>
        <v>0</v>
      </c>
      <c r="Y61" s="105">
        <f t="shared" si="3"/>
        <v>3882</v>
      </c>
      <c r="Z61" s="85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</row>
    <row r="62" spans="1:72" hidden="1" x14ac:dyDescent="0.2">
      <c r="A62" s="26"/>
      <c r="B62" s="74" t="s">
        <v>111</v>
      </c>
      <c r="C62" s="96" t="s">
        <v>144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>
        <f t="shared" si="1"/>
        <v>0</v>
      </c>
      <c r="S62" s="97"/>
      <c r="T62" s="97"/>
      <c r="U62" s="97"/>
      <c r="V62" s="100"/>
      <c r="W62" s="97"/>
      <c r="X62" s="100">
        <f t="shared" si="2"/>
        <v>0</v>
      </c>
      <c r="Y62" s="105">
        <f t="shared" si="3"/>
        <v>0</v>
      </c>
      <c r="Z62" s="85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</row>
    <row r="63" spans="1:72" hidden="1" x14ac:dyDescent="0.2">
      <c r="A63" s="26"/>
      <c r="B63" s="74" t="s">
        <v>62</v>
      </c>
      <c r="C63" s="96" t="s">
        <v>144</v>
      </c>
      <c r="D63" s="97"/>
      <c r="E63" s="97"/>
      <c r="F63" s="97">
        <f>667+181+1950+527+236+64+1374+371+4000+1080+300</f>
        <v>10750</v>
      </c>
      <c r="G63" s="97"/>
      <c r="H63" s="97"/>
      <c r="I63" s="97"/>
      <c r="J63" s="97"/>
      <c r="K63" s="97"/>
      <c r="L63" s="97">
        <f>319+86+661+179+95+26+1249+337+686+185+1069+289</f>
        <v>5181</v>
      </c>
      <c r="M63" s="97">
        <f>5512+1488</f>
        <v>7000</v>
      </c>
      <c r="N63" s="97"/>
      <c r="O63" s="97"/>
      <c r="P63" s="97"/>
      <c r="Q63" s="97"/>
      <c r="R63" s="97">
        <f t="shared" si="1"/>
        <v>22931</v>
      </c>
      <c r="S63" s="97"/>
      <c r="T63" s="97"/>
      <c r="U63" s="97"/>
      <c r="V63" s="100"/>
      <c r="W63" s="97"/>
      <c r="X63" s="100">
        <f t="shared" si="2"/>
        <v>0</v>
      </c>
      <c r="Y63" s="105">
        <f t="shared" si="3"/>
        <v>22931</v>
      </c>
      <c r="Z63" s="85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</row>
    <row r="64" spans="1:72" hidden="1" x14ac:dyDescent="0.2">
      <c r="A64" s="26"/>
      <c r="B64" s="74" t="s">
        <v>73</v>
      </c>
      <c r="C64" s="96" t="s">
        <v>144</v>
      </c>
      <c r="D64" s="97"/>
      <c r="E64" s="97"/>
      <c r="F64" s="97"/>
      <c r="G64" s="97"/>
      <c r="H64" s="97"/>
      <c r="I64" s="97"/>
      <c r="J64" s="97"/>
      <c r="K64" s="97"/>
      <c r="L64" s="97">
        <f>2965+801+7479+2020+3300+891+960+259</f>
        <v>18675</v>
      </c>
      <c r="M64" s="97"/>
      <c r="N64" s="97"/>
      <c r="O64" s="97"/>
      <c r="P64" s="97"/>
      <c r="Q64" s="97"/>
      <c r="R64" s="97">
        <f t="shared" si="1"/>
        <v>18675</v>
      </c>
      <c r="S64" s="97"/>
      <c r="T64" s="97"/>
      <c r="U64" s="97"/>
      <c r="V64" s="100"/>
      <c r="W64" s="97"/>
      <c r="X64" s="100">
        <f t="shared" si="2"/>
        <v>0</v>
      </c>
      <c r="Y64" s="105">
        <f t="shared" si="3"/>
        <v>18675</v>
      </c>
      <c r="Z64" s="85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</row>
    <row r="65" spans="1:72" hidden="1" x14ac:dyDescent="0.2">
      <c r="A65" s="26"/>
      <c r="B65" s="284" t="s">
        <v>112</v>
      </c>
      <c r="C65" s="96" t="s">
        <v>144</v>
      </c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>
        <f t="shared" si="1"/>
        <v>0</v>
      </c>
      <c r="S65" s="311"/>
      <c r="T65" s="311"/>
      <c r="U65" s="311"/>
      <c r="V65" s="312"/>
      <c r="W65" s="311"/>
      <c r="X65" s="312">
        <f t="shared" si="2"/>
        <v>0</v>
      </c>
      <c r="Y65" s="105">
        <f t="shared" si="3"/>
        <v>0</v>
      </c>
      <c r="Z65" s="85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</row>
    <row r="66" spans="1:72" hidden="1" x14ac:dyDescent="0.2">
      <c r="A66" s="26"/>
      <c r="B66" s="284" t="s">
        <v>92</v>
      </c>
      <c r="C66" s="96" t="s">
        <v>144</v>
      </c>
      <c r="D66" s="311">
        <f>200</f>
        <v>200</v>
      </c>
      <c r="E66" s="311"/>
      <c r="F66" s="311">
        <f>200+54+300+81+200+54+14</f>
        <v>903</v>
      </c>
      <c r="G66" s="311"/>
      <c r="H66" s="311"/>
      <c r="I66" s="311"/>
      <c r="J66" s="311"/>
      <c r="K66" s="311"/>
      <c r="L66" s="311">
        <f>453+123</f>
        <v>576</v>
      </c>
      <c r="M66" s="311"/>
      <c r="N66" s="311"/>
      <c r="O66" s="311"/>
      <c r="P66" s="311"/>
      <c r="Q66" s="311"/>
      <c r="R66" s="311">
        <f t="shared" si="1"/>
        <v>1679</v>
      </c>
      <c r="S66" s="311"/>
      <c r="T66" s="311"/>
      <c r="U66" s="311"/>
      <c r="V66" s="312"/>
      <c r="W66" s="311"/>
      <c r="X66" s="312">
        <f t="shared" si="2"/>
        <v>0</v>
      </c>
      <c r="Y66" s="105">
        <f t="shared" si="3"/>
        <v>1679</v>
      </c>
      <c r="Z66" s="85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</row>
    <row r="67" spans="1:72" hidden="1" x14ac:dyDescent="0.2">
      <c r="A67" s="26"/>
      <c r="B67" s="309" t="s">
        <v>113</v>
      </c>
      <c r="C67" s="310" t="s">
        <v>144</v>
      </c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  <c r="P67" s="311"/>
      <c r="Q67" s="311"/>
      <c r="R67" s="311">
        <f t="shared" si="1"/>
        <v>0</v>
      </c>
      <c r="S67" s="311"/>
      <c r="T67" s="311"/>
      <c r="U67" s="311"/>
      <c r="V67" s="312"/>
      <c r="W67" s="311"/>
      <c r="X67" s="312">
        <f t="shared" si="2"/>
        <v>0</v>
      </c>
      <c r="Y67" s="313">
        <f t="shared" si="3"/>
        <v>0</v>
      </c>
      <c r="Z67" s="85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</row>
    <row r="68" spans="1:72" ht="18" thickTop="1" thickBot="1" x14ac:dyDescent="0.25">
      <c r="A68" s="26"/>
      <c r="B68" s="474"/>
      <c r="C68" s="475"/>
      <c r="D68" s="476"/>
      <c r="E68" s="476"/>
      <c r="F68" s="476"/>
      <c r="G68" s="476"/>
      <c r="H68" s="476"/>
      <c r="I68" s="476"/>
      <c r="J68" s="476"/>
      <c r="K68" s="476"/>
      <c r="L68" s="476"/>
      <c r="M68" s="476"/>
      <c r="N68" s="476"/>
      <c r="O68" s="476"/>
      <c r="P68" s="476"/>
      <c r="Q68" s="476"/>
      <c r="R68" s="476"/>
      <c r="S68" s="476"/>
      <c r="T68" s="476"/>
      <c r="U68" s="476"/>
      <c r="V68" s="477"/>
      <c r="W68" s="476"/>
      <c r="X68" s="477"/>
      <c r="Y68" s="478"/>
      <c r="Z68" s="85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</row>
    <row r="69" spans="1:72" s="81" customFormat="1" ht="30" customHeight="1" thickTop="1" thickBot="1" x14ac:dyDescent="0.25">
      <c r="A69" s="138"/>
      <c r="B69" s="314"/>
      <c r="C69" s="315" t="s">
        <v>230</v>
      </c>
      <c r="D69" s="316">
        <f t="shared" ref="D69:I69" si="9">SUM(D53:D67)</f>
        <v>37738</v>
      </c>
      <c r="E69" s="316">
        <f t="shared" si="9"/>
        <v>50926</v>
      </c>
      <c r="F69" s="316">
        <f t="shared" si="9"/>
        <v>25655.537</v>
      </c>
      <c r="G69" s="316">
        <f t="shared" si="9"/>
        <v>0</v>
      </c>
      <c r="H69" s="316">
        <f t="shared" si="9"/>
        <v>87741</v>
      </c>
      <c r="I69" s="316">
        <f t="shared" si="9"/>
        <v>0</v>
      </c>
      <c r="J69" s="316"/>
      <c r="K69" s="316">
        <f t="shared" ref="K69:W69" si="10">SUM(K53:K67)</f>
        <v>0</v>
      </c>
      <c r="L69" s="316">
        <f t="shared" si="10"/>
        <v>24432</v>
      </c>
      <c r="M69" s="316">
        <f t="shared" si="10"/>
        <v>7000</v>
      </c>
      <c r="N69" s="316">
        <f t="shared" si="10"/>
        <v>0</v>
      </c>
      <c r="O69" s="316">
        <f t="shared" si="10"/>
        <v>0</v>
      </c>
      <c r="P69" s="316">
        <f t="shared" si="10"/>
        <v>0</v>
      </c>
      <c r="Q69" s="316">
        <f t="shared" si="10"/>
        <v>0</v>
      </c>
      <c r="R69" s="316">
        <f t="shared" si="1"/>
        <v>233492.53700000001</v>
      </c>
      <c r="S69" s="316"/>
      <c r="T69" s="316">
        <f t="shared" si="10"/>
        <v>0</v>
      </c>
      <c r="U69" s="316">
        <f t="shared" si="10"/>
        <v>0</v>
      </c>
      <c r="V69" s="498">
        <f t="shared" si="10"/>
        <v>0</v>
      </c>
      <c r="W69" s="316">
        <f t="shared" si="10"/>
        <v>0</v>
      </c>
      <c r="X69" s="498">
        <f t="shared" si="2"/>
        <v>0</v>
      </c>
      <c r="Y69" s="80">
        <f t="shared" si="3"/>
        <v>233492.53700000001</v>
      </c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</row>
    <row r="70" spans="1:72" s="53" customFormat="1" ht="16.5" customHeight="1" thickTop="1" thickBot="1" x14ac:dyDescent="0.25">
      <c r="A70" s="152"/>
      <c r="B70" s="319"/>
      <c r="C70" s="320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499"/>
      <c r="W70" s="321"/>
      <c r="X70" s="499"/>
      <c r="Y70" s="322"/>
    </row>
    <row r="71" spans="1:72" ht="30" customHeight="1" thickTop="1" thickBot="1" x14ac:dyDescent="0.35">
      <c r="A71" s="137"/>
      <c r="B71" s="479" t="s">
        <v>171</v>
      </c>
      <c r="C71" s="44" t="s">
        <v>232</v>
      </c>
      <c r="D71" s="86">
        <f>D52+D69</f>
        <v>1711113.0249999999</v>
      </c>
      <c r="E71" s="86">
        <f t="shared" ref="E71:Q71" si="11">E52+E69</f>
        <v>466491.66</v>
      </c>
      <c r="F71" s="86">
        <f t="shared" si="11"/>
        <v>516843.53700000001</v>
      </c>
      <c r="G71" s="86">
        <f t="shared" si="11"/>
        <v>685</v>
      </c>
      <c r="H71" s="86">
        <f t="shared" si="11"/>
        <v>87741</v>
      </c>
      <c r="I71" s="86">
        <f t="shared" si="11"/>
        <v>0</v>
      </c>
      <c r="J71" s="86">
        <f t="shared" si="11"/>
        <v>0</v>
      </c>
      <c r="K71" s="86">
        <f t="shared" si="11"/>
        <v>0</v>
      </c>
      <c r="L71" s="86">
        <f>L52+L69</f>
        <v>180882</v>
      </c>
      <c r="M71" s="86">
        <f t="shared" si="11"/>
        <v>14400</v>
      </c>
      <c r="N71" s="86">
        <f t="shared" si="11"/>
        <v>0</v>
      </c>
      <c r="O71" s="86">
        <f t="shared" si="11"/>
        <v>5000</v>
      </c>
      <c r="P71" s="86">
        <f t="shared" si="11"/>
        <v>0</v>
      </c>
      <c r="Q71" s="86">
        <f t="shared" si="11"/>
        <v>0</v>
      </c>
      <c r="R71" s="86">
        <f t="shared" si="1"/>
        <v>2983156.2220000001</v>
      </c>
      <c r="S71" s="86"/>
      <c r="T71" s="86">
        <f>T52+T69</f>
        <v>0</v>
      </c>
      <c r="U71" s="86">
        <f>U52+U69</f>
        <v>0</v>
      </c>
      <c r="V71" s="86">
        <f>V52+V69</f>
        <v>0</v>
      </c>
      <c r="W71" s="86">
        <f>W52+W69</f>
        <v>0</v>
      </c>
      <c r="X71" s="86">
        <f t="shared" si="2"/>
        <v>0</v>
      </c>
      <c r="Y71" s="86">
        <f t="shared" si="3"/>
        <v>2983156.2220000001</v>
      </c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</row>
    <row r="72" spans="1:72" ht="24" hidden="1" customHeight="1" thickTop="1" x14ac:dyDescent="0.25">
      <c r="A72" s="135"/>
      <c r="B72" s="281"/>
      <c r="C72" s="136" t="s">
        <v>18</v>
      </c>
      <c r="D72" s="227">
        <f t="shared" ref="D72:L72" si="12">D71</f>
        <v>1711113.0249999999</v>
      </c>
      <c r="E72" s="227">
        <f t="shared" si="12"/>
        <v>466491.66</v>
      </c>
      <c r="F72" s="227">
        <f t="shared" si="12"/>
        <v>516843.53700000001</v>
      </c>
      <c r="G72" s="227">
        <f t="shared" si="12"/>
        <v>685</v>
      </c>
      <c r="H72" s="227">
        <f t="shared" si="12"/>
        <v>87741</v>
      </c>
      <c r="I72" s="227">
        <f t="shared" si="12"/>
        <v>0</v>
      </c>
      <c r="J72" s="227">
        <f t="shared" si="12"/>
        <v>0</v>
      </c>
      <c r="K72" s="227">
        <f t="shared" si="12"/>
        <v>0</v>
      </c>
      <c r="L72" s="227">
        <f t="shared" si="12"/>
        <v>180882</v>
      </c>
      <c r="M72" s="227">
        <f t="shared" ref="M72:W72" si="13">M71</f>
        <v>14400</v>
      </c>
      <c r="N72" s="227">
        <f t="shared" si="13"/>
        <v>0</v>
      </c>
      <c r="O72" s="227">
        <f t="shared" si="13"/>
        <v>5000</v>
      </c>
      <c r="P72" s="227">
        <f t="shared" si="13"/>
        <v>0</v>
      </c>
      <c r="Q72" s="227">
        <f t="shared" si="13"/>
        <v>0</v>
      </c>
      <c r="R72" s="227">
        <f t="shared" si="1"/>
        <v>2983156.2220000001</v>
      </c>
      <c r="S72" s="227"/>
      <c r="T72" s="227">
        <f>T71</f>
        <v>0</v>
      </c>
      <c r="U72" s="227">
        <f>U71</f>
        <v>0</v>
      </c>
      <c r="V72" s="270">
        <f t="shared" si="13"/>
        <v>0</v>
      </c>
      <c r="W72" s="155">
        <f t="shared" si="13"/>
        <v>0</v>
      </c>
      <c r="X72" s="446">
        <f t="shared" si="2"/>
        <v>0</v>
      </c>
      <c r="Y72" s="337">
        <f t="shared" si="3"/>
        <v>2983156.2220000001</v>
      </c>
    </row>
    <row r="73" spans="1:72" ht="24" hidden="1" customHeight="1" x14ac:dyDescent="0.25">
      <c r="A73" s="18"/>
      <c r="B73" s="517"/>
      <c r="C73" s="41"/>
      <c r="D73" s="516"/>
      <c r="E73" s="516"/>
      <c r="F73" s="516"/>
      <c r="G73" s="515"/>
      <c r="H73" s="515"/>
      <c r="I73" s="515"/>
      <c r="J73" s="515"/>
      <c r="K73" s="515"/>
      <c r="L73" s="515"/>
      <c r="M73" s="515"/>
      <c r="N73" s="515"/>
      <c r="O73" s="515"/>
      <c r="P73" s="515"/>
      <c r="Q73" s="515"/>
      <c r="R73" s="515"/>
      <c r="S73" s="515"/>
      <c r="T73" s="515"/>
      <c r="U73" s="515"/>
      <c r="V73" s="535"/>
      <c r="W73" s="515"/>
      <c r="X73" s="528"/>
      <c r="Y73" s="275"/>
    </row>
    <row r="74" spans="1:72" ht="24" hidden="1" customHeight="1" x14ac:dyDescent="0.2">
      <c r="A74" s="82">
        <v>1</v>
      </c>
      <c r="B74" s="30"/>
      <c r="C74" s="33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>
        <f t="shared" si="1"/>
        <v>0</v>
      </c>
      <c r="S74" s="159"/>
      <c r="T74" s="159"/>
      <c r="U74" s="159"/>
      <c r="V74" s="165"/>
      <c r="W74" s="159"/>
      <c r="X74" s="453">
        <f t="shared" si="2"/>
        <v>0</v>
      </c>
      <c r="Y74" s="275">
        <f t="shared" si="3"/>
        <v>0</v>
      </c>
    </row>
    <row r="75" spans="1:72" ht="24" hidden="1" customHeight="1" x14ac:dyDescent="0.25">
      <c r="A75" s="18">
        <v>2</v>
      </c>
      <c r="B75" s="30"/>
      <c r="C75" s="41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>
        <f t="shared" si="1"/>
        <v>0</v>
      </c>
      <c r="S75" s="159"/>
      <c r="T75" s="159"/>
      <c r="U75" s="159"/>
      <c r="V75" s="165"/>
      <c r="W75" s="159"/>
      <c r="X75" s="453">
        <f t="shared" si="2"/>
        <v>0</v>
      </c>
      <c r="Y75" s="275">
        <f t="shared" si="3"/>
        <v>0</v>
      </c>
    </row>
    <row r="76" spans="1:72" ht="24" hidden="1" customHeight="1" x14ac:dyDescent="0.2">
      <c r="A76" s="82">
        <v>3</v>
      </c>
      <c r="B76" s="30"/>
      <c r="C76" s="41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>
        <f t="shared" si="1"/>
        <v>0</v>
      </c>
      <c r="S76" s="159"/>
      <c r="T76" s="159"/>
      <c r="U76" s="159"/>
      <c r="V76" s="165"/>
      <c r="W76" s="159"/>
      <c r="X76" s="453">
        <f t="shared" si="2"/>
        <v>0</v>
      </c>
      <c r="Y76" s="275">
        <f t="shared" si="3"/>
        <v>0</v>
      </c>
    </row>
    <row r="77" spans="1:72" ht="24" hidden="1" customHeight="1" x14ac:dyDescent="0.25">
      <c r="A77" s="18">
        <v>4</v>
      </c>
      <c r="B77" s="517"/>
      <c r="C77" s="28"/>
      <c r="D77" s="164"/>
      <c r="E77" s="164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>
        <f t="shared" si="1"/>
        <v>0</v>
      </c>
      <c r="S77" s="159"/>
      <c r="T77" s="159"/>
      <c r="U77" s="159"/>
      <c r="V77" s="165"/>
      <c r="W77" s="159"/>
      <c r="X77" s="453">
        <f t="shared" si="2"/>
        <v>0</v>
      </c>
      <c r="Y77" s="275">
        <f t="shared" si="3"/>
        <v>0</v>
      </c>
    </row>
    <row r="78" spans="1:72" ht="24" hidden="1" customHeight="1" x14ac:dyDescent="0.2">
      <c r="A78" s="82">
        <v>5</v>
      </c>
      <c r="B78" s="517"/>
      <c r="C78" s="34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>
        <f t="shared" si="1"/>
        <v>0</v>
      </c>
      <c r="S78" s="159"/>
      <c r="T78" s="159"/>
      <c r="U78" s="159"/>
      <c r="V78" s="165"/>
      <c r="W78" s="159"/>
      <c r="X78" s="453">
        <f t="shared" si="2"/>
        <v>0</v>
      </c>
      <c r="Y78" s="275">
        <f t="shared" si="3"/>
        <v>0</v>
      </c>
    </row>
    <row r="79" spans="1:72" ht="24" hidden="1" customHeight="1" x14ac:dyDescent="0.25">
      <c r="A79" s="464">
        <v>6</v>
      </c>
      <c r="B79" s="517"/>
      <c r="C79" s="33"/>
      <c r="D79" s="346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59"/>
      <c r="R79" s="159">
        <f t="shared" si="1"/>
        <v>0</v>
      </c>
      <c r="S79" s="159"/>
      <c r="T79" s="159"/>
      <c r="U79" s="159"/>
      <c r="V79" s="165"/>
      <c r="W79" s="159"/>
      <c r="X79" s="453">
        <f t="shared" si="2"/>
        <v>0</v>
      </c>
      <c r="Y79" s="275">
        <f t="shared" si="3"/>
        <v>0</v>
      </c>
    </row>
    <row r="80" spans="1:72" ht="24" hidden="1" customHeight="1" x14ac:dyDescent="0.2">
      <c r="A80" s="231">
        <v>7</v>
      </c>
      <c r="B80" s="517"/>
      <c r="C80" s="28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>
        <f t="shared" si="1"/>
        <v>0</v>
      </c>
      <c r="S80" s="159"/>
      <c r="T80" s="159"/>
      <c r="U80" s="159"/>
      <c r="V80" s="165"/>
      <c r="W80" s="159"/>
      <c r="X80" s="453">
        <f t="shared" si="2"/>
        <v>0</v>
      </c>
      <c r="Y80" s="275">
        <f t="shared" si="3"/>
        <v>0</v>
      </c>
    </row>
    <row r="81" spans="1:25" ht="24" hidden="1" customHeight="1" x14ac:dyDescent="0.2">
      <c r="A81" s="82">
        <v>8</v>
      </c>
      <c r="B81" s="517"/>
      <c r="C81" s="41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>
        <f t="shared" si="1"/>
        <v>0</v>
      </c>
      <c r="S81" s="159"/>
      <c r="T81" s="159"/>
      <c r="U81" s="159"/>
      <c r="V81" s="165"/>
      <c r="W81" s="159"/>
      <c r="X81" s="453">
        <f t="shared" si="2"/>
        <v>0</v>
      </c>
      <c r="Y81" s="275">
        <f t="shared" si="3"/>
        <v>0</v>
      </c>
    </row>
    <row r="82" spans="1:25" ht="24" hidden="1" customHeight="1" x14ac:dyDescent="0.2">
      <c r="A82" s="231">
        <v>9</v>
      </c>
      <c r="B82" s="517"/>
      <c r="C82" s="41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>
        <f t="shared" si="1"/>
        <v>0</v>
      </c>
      <c r="S82" s="159"/>
      <c r="T82" s="159"/>
      <c r="U82" s="159"/>
      <c r="V82" s="165"/>
      <c r="W82" s="159"/>
      <c r="X82" s="453">
        <f t="shared" si="2"/>
        <v>0</v>
      </c>
      <c r="Y82" s="275">
        <f t="shared" si="3"/>
        <v>0</v>
      </c>
    </row>
    <row r="83" spans="1:25" ht="24" hidden="1" customHeight="1" x14ac:dyDescent="0.2">
      <c r="A83" s="82">
        <v>10</v>
      </c>
      <c r="B83" s="517"/>
      <c r="C83" s="41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>
        <f t="shared" si="1"/>
        <v>0</v>
      </c>
      <c r="S83" s="159"/>
      <c r="T83" s="159"/>
      <c r="U83" s="159"/>
      <c r="V83" s="165"/>
      <c r="W83" s="159"/>
      <c r="X83" s="453">
        <f t="shared" si="2"/>
        <v>0</v>
      </c>
      <c r="Y83" s="275">
        <f t="shared" si="3"/>
        <v>0</v>
      </c>
    </row>
    <row r="84" spans="1:25" ht="24" hidden="1" customHeight="1" x14ac:dyDescent="0.2">
      <c r="A84" s="82">
        <v>11</v>
      </c>
      <c r="B84" s="517"/>
      <c r="C84" s="33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>
        <f t="shared" si="1"/>
        <v>0</v>
      </c>
      <c r="S84" s="159"/>
      <c r="T84" s="159"/>
      <c r="U84" s="159"/>
      <c r="V84" s="165"/>
      <c r="W84" s="159"/>
      <c r="X84" s="453">
        <f t="shared" si="2"/>
        <v>0</v>
      </c>
      <c r="Y84" s="275">
        <f t="shared" si="3"/>
        <v>0</v>
      </c>
    </row>
    <row r="85" spans="1:25" ht="24" hidden="1" customHeight="1" x14ac:dyDescent="0.2">
      <c r="A85" s="82">
        <v>12</v>
      </c>
      <c r="B85" s="517"/>
      <c r="C85" s="28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>
        <f t="shared" si="1"/>
        <v>0</v>
      </c>
      <c r="S85" s="159"/>
      <c r="T85" s="159"/>
      <c r="U85" s="159"/>
      <c r="V85" s="165"/>
      <c r="W85" s="159"/>
      <c r="X85" s="453">
        <f t="shared" si="2"/>
        <v>0</v>
      </c>
      <c r="Y85" s="275">
        <f t="shared" si="3"/>
        <v>0</v>
      </c>
    </row>
    <row r="86" spans="1:25" ht="24" hidden="1" customHeight="1" x14ac:dyDescent="0.2">
      <c r="A86" s="82">
        <v>13</v>
      </c>
      <c r="B86" s="517"/>
      <c r="C86" s="28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>
        <f t="shared" si="1"/>
        <v>0</v>
      </c>
      <c r="S86" s="159"/>
      <c r="T86" s="159"/>
      <c r="U86" s="159"/>
      <c r="V86" s="165"/>
      <c r="W86" s="159"/>
      <c r="X86" s="453">
        <f t="shared" si="2"/>
        <v>0</v>
      </c>
      <c r="Y86" s="275">
        <f t="shared" si="3"/>
        <v>0</v>
      </c>
    </row>
    <row r="87" spans="1:25" ht="24" hidden="1" customHeight="1" x14ac:dyDescent="0.2">
      <c r="A87" s="82">
        <v>14</v>
      </c>
      <c r="B87" s="517"/>
      <c r="C87" s="41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>
        <f t="shared" si="1"/>
        <v>0</v>
      </c>
      <c r="S87" s="159"/>
      <c r="T87" s="159"/>
      <c r="U87" s="159"/>
      <c r="V87" s="165"/>
      <c r="W87" s="159"/>
      <c r="X87" s="453">
        <f t="shared" si="2"/>
        <v>0</v>
      </c>
      <c r="Y87" s="275">
        <f t="shared" si="3"/>
        <v>0</v>
      </c>
    </row>
    <row r="88" spans="1:25" ht="24" hidden="1" customHeight="1" x14ac:dyDescent="0.2">
      <c r="A88" s="82">
        <v>15</v>
      </c>
      <c r="B88" s="517"/>
      <c r="C88" s="2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>
        <f t="shared" si="1"/>
        <v>0</v>
      </c>
      <c r="S88" s="159"/>
      <c r="T88" s="159"/>
      <c r="U88" s="159"/>
      <c r="V88" s="165"/>
      <c r="W88" s="159"/>
      <c r="X88" s="453">
        <f t="shared" si="2"/>
        <v>0</v>
      </c>
      <c r="Y88" s="275">
        <f t="shared" si="3"/>
        <v>0</v>
      </c>
    </row>
    <row r="89" spans="1:25" ht="24" hidden="1" customHeight="1" x14ac:dyDescent="0.2">
      <c r="A89" s="82"/>
      <c r="B89" s="517"/>
      <c r="C89" s="2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65"/>
      <c r="W89" s="159"/>
      <c r="X89" s="453"/>
      <c r="Y89" s="275"/>
    </row>
    <row r="90" spans="1:25" ht="24" hidden="1" customHeight="1" x14ac:dyDescent="0.2">
      <c r="A90" s="82"/>
      <c r="B90" s="517"/>
      <c r="C90" s="2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65"/>
      <c r="W90" s="159"/>
      <c r="X90" s="453"/>
      <c r="Y90" s="275"/>
    </row>
    <row r="91" spans="1:25" ht="9.9499999999999993" hidden="1" customHeight="1" x14ac:dyDescent="0.2">
      <c r="A91" s="82"/>
      <c r="B91" s="30"/>
      <c r="C91" s="2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65"/>
      <c r="W91" s="159"/>
      <c r="X91" s="453"/>
      <c r="Y91" s="275"/>
    </row>
    <row r="92" spans="1:25" ht="30" hidden="1" customHeight="1" x14ac:dyDescent="0.2">
      <c r="A92" s="216" t="s">
        <v>89</v>
      </c>
      <c r="B92" s="212"/>
      <c r="C92" s="217" t="s">
        <v>87</v>
      </c>
      <c r="D92" s="159">
        <f t="shared" ref="D92:Q92" si="14">SUM(D73:D91)</f>
        <v>0</v>
      </c>
      <c r="E92" s="159">
        <f t="shared" si="14"/>
        <v>0</v>
      </c>
      <c r="F92" s="159">
        <f t="shared" si="14"/>
        <v>0</v>
      </c>
      <c r="G92" s="159">
        <f t="shared" si="14"/>
        <v>0</v>
      </c>
      <c r="H92" s="159">
        <f t="shared" si="14"/>
        <v>0</v>
      </c>
      <c r="I92" s="159">
        <f t="shared" si="14"/>
        <v>0</v>
      </c>
      <c r="J92" s="159">
        <f t="shared" si="14"/>
        <v>0</v>
      </c>
      <c r="K92" s="159">
        <f t="shared" si="14"/>
        <v>0</v>
      </c>
      <c r="L92" s="159">
        <f t="shared" si="14"/>
        <v>0</v>
      </c>
      <c r="M92" s="159">
        <f t="shared" si="14"/>
        <v>0</v>
      </c>
      <c r="N92" s="159">
        <f t="shared" si="14"/>
        <v>0</v>
      </c>
      <c r="O92" s="159">
        <f t="shared" si="14"/>
        <v>0</v>
      </c>
      <c r="P92" s="159">
        <f t="shared" si="14"/>
        <v>0</v>
      </c>
      <c r="Q92" s="159">
        <f t="shared" si="14"/>
        <v>0</v>
      </c>
      <c r="R92" s="159">
        <f t="shared" ref="R92:R157" si="15">SUM(D92:Q92)</f>
        <v>0</v>
      </c>
      <c r="S92" s="159"/>
      <c r="T92" s="159">
        <f>SUM(T73:T91)</f>
        <v>0</v>
      </c>
      <c r="U92" s="159">
        <f>SUM(U73:U91)</f>
        <v>0</v>
      </c>
      <c r="V92" s="165">
        <f>SUM(V73:V91)</f>
        <v>0</v>
      </c>
      <c r="W92" s="159">
        <f>SUM(W73:W91)</f>
        <v>0</v>
      </c>
      <c r="X92" s="453">
        <f t="shared" ref="X92:X157" si="16">SUM(T92:W92)</f>
        <v>0</v>
      </c>
      <c r="Y92" s="340">
        <f t="shared" ref="Y92:Y159" si="17">R92+X92</f>
        <v>0</v>
      </c>
    </row>
    <row r="93" spans="1:25" ht="9.9499999999999993" hidden="1" customHeight="1" x14ac:dyDescent="0.2">
      <c r="A93" s="82"/>
      <c r="B93" s="526"/>
      <c r="C93" s="28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65"/>
      <c r="W93" s="159"/>
      <c r="X93" s="453"/>
      <c r="Y93" s="275"/>
    </row>
    <row r="94" spans="1:25" ht="24" hidden="1" customHeight="1" x14ac:dyDescent="0.25">
      <c r="A94" s="18" t="s">
        <v>114</v>
      </c>
      <c r="B94" s="517"/>
      <c r="C94" s="334"/>
      <c r="D94" s="527"/>
      <c r="E94" s="527"/>
      <c r="F94" s="159"/>
      <c r="G94" s="527"/>
      <c r="H94" s="527"/>
      <c r="I94" s="527"/>
      <c r="J94" s="527"/>
      <c r="K94" s="527"/>
      <c r="L94" s="527"/>
      <c r="M94" s="527"/>
      <c r="N94" s="527"/>
      <c r="O94" s="527"/>
      <c r="P94" s="527"/>
      <c r="Q94" s="527"/>
      <c r="R94" s="527">
        <f t="shared" si="15"/>
        <v>0</v>
      </c>
      <c r="S94" s="527"/>
      <c r="T94" s="527"/>
      <c r="U94" s="527"/>
      <c r="V94" s="536"/>
      <c r="W94" s="527"/>
      <c r="X94" s="528">
        <f t="shared" si="16"/>
        <v>0</v>
      </c>
      <c r="Y94" s="275">
        <f t="shared" si="17"/>
        <v>0</v>
      </c>
    </row>
    <row r="95" spans="1:25" ht="24" hidden="1" customHeight="1" x14ac:dyDescent="0.2">
      <c r="A95" s="231" t="s">
        <v>114</v>
      </c>
      <c r="B95" s="30"/>
      <c r="C95" s="41"/>
      <c r="D95" s="159"/>
      <c r="E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>
        <f t="shared" si="15"/>
        <v>0</v>
      </c>
      <c r="S95" s="159"/>
      <c r="T95" s="159"/>
      <c r="U95" s="159"/>
      <c r="V95" s="165"/>
      <c r="W95" s="159"/>
      <c r="X95" s="453">
        <f t="shared" si="16"/>
        <v>0</v>
      </c>
      <c r="Y95" s="275">
        <f t="shared" si="17"/>
        <v>0</v>
      </c>
    </row>
    <row r="96" spans="1:25" ht="24" hidden="1" customHeight="1" x14ac:dyDescent="0.2">
      <c r="A96" s="82" t="s">
        <v>114</v>
      </c>
      <c r="B96" s="30"/>
      <c r="C96" s="41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>
        <f t="shared" si="15"/>
        <v>0</v>
      </c>
      <c r="S96" s="159"/>
      <c r="T96" s="159"/>
      <c r="U96" s="159"/>
      <c r="V96" s="165"/>
      <c r="W96" s="159"/>
      <c r="X96" s="453">
        <f t="shared" si="16"/>
        <v>0</v>
      </c>
      <c r="Y96" s="275">
        <f t="shared" si="17"/>
        <v>0</v>
      </c>
    </row>
    <row r="97" spans="1:25" ht="24" hidden="1" customHeight="1" x14ac:dyDescent="0.2">
      <c r="A97" s="231"/>
      <c r="B97" s="186"/>
      <c r="C97" s="41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>
        <f t="shared" si="15"/>
        <v>0</v>
      </c>
      <c r="S97" s="159"/>
      <c r="T97" s="159"/>
      <c r="U97" s="159"/>
      <c r="V97" s="165"/>
      <c r="W97" s="159"/>
      <c r="X97" s="453">
        <f t="shared" si="16"/>
        <v>0</v>
      </c>
      <c r="Y97" s="275">
        <f t="shared" si="17"/>
        <v>0</v>
      </c>
    </row>
    <row r="98" spans="1:25" ht="24" hidden="1" customHeight="1" x14ac:dyDescent="0.2">
      <c r="A98" s="82"/>
      <c r="B98" s="30"/>
      <c r="C98" s="28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>
        <f t="shared" si="15"/>
        <v>0</v>
      </c>
      <c r="S98" s="159"/>
      <c r="T98" s="159"/>
      <c r="U98" s="159"/>
      <c r="V98" s="165"/>
      <c r="W98" s="159"/>
      <c r="X98" s="453">
        <f t="shared" si="16"/>
        <v>0</v>
      </c>
      <c r="Y98" s="275">
        <f t="shared" si="17"/>
        <v>0</v>
      </c>
    </row>
    <row r="99" spans="1:25" ht="24" hidden="1" customHeight="1" x14ac:dyDescent="0.2">
      <c r="A99" s="231"/>
      <c r="B99" s="30"/>
      <c r="C99" s="28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>
        <f t="shared" si="15"/>
        <v>0</v>
      </c>
      <c r="S99" s="159"/>
      <c r="T99" s="159"/>
      <c r="U99" s="159"/>
      <c r="V99" s="165"/>
      <c r="W99" s="159"/>
      <c r="X99" s="453">
        <f t="shared" si="16"/>
        <v>0</v>
      </c>
      <c r="Y99" s="275">
        <f t="shared" si="17"/>
        <v>0</v>
      </c>
    </row>
    <row r="100" spans="1:25" ht="24" hidden="1" customHeight="1" x14ac:dyDescent="0.2">
      <c r="A100" s="82"/>
      <c r="B100" s="517"/>
      <c r="C100" s="41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>
        <f t="shared" si="15"/>
        <v>0</v>
      </c>
      <c r="S100" s="159"/>
      <c r="T100" s="159"/>
      <c r="U100" s="159"/>
      <c r="V100" s="165"/>
      <c r="W100" s="159"/>
      <c r="X100" s="453">
        <f t="shared" si="16"/>
        <v>0</v>
      </c>
      <c r="Y100" s="275">
        <f t="shared" si="17"/>
        <v>0</v>
      </c>
    </row>
    <row r="101" spans="1:25" ht="24" hidden="1" customHeight="1" x14ac:dyDescent="0.2">
      <c r="A101" s="82"/>
      <c r="B101" s="32"/>
      <c r="C101" s="34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>
        <f t="shared" si="15"/>
        <v>0</v>
      </c>
      <c r="S101" s="159"/>
      <c r="T101" s="159"/>
      <c r="U101" s="159"/>
      <c r="V101" s="165"/>
      <c r="W101" s="159"/>
      <c r="X101" s="453">
        <f t="shared" si="16"/>
        <v>0</v>
      </c>
      <c r="Y101" s="275">
        <f t="shared" si="17"/>
        <v>0</v>
      </c>
    </row>
    <row r="102" spans="1:25" ht="24" hidden="1" customHeight="1" x14ac:dyDescent="0.2">
      <c r="A102" s="82"/>
      <c r="B102" s="32"/>
      <c r="C102" s="34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>
        <f t="shared" si="15"/>
        <v>0</v>
      </c>
      <c r="S102" s="159"/>
      <c r="T102" s="159"/>
      <c r="U102" s="159"/>
      <c r="V102" s="165"/>
      <c r="W102" s="159"/>
      <c r="X102" s="453">
        <f t="shared" si="16"/>
        <v>0</v>
      </c>
      <c r="Y102" s="275">
        <f t="shared" si="17"/>
        <v>0</v>
      </c>
    </row>
    <row r="103" spans="1:25" ht="24" hidden="1" customHeight="1" x14ac:dyDescent="0.2">
      <c r="A103" s="82"/>
      <c r="B103" s="32"/>
      <c r="C103" s="34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>
        <f t="shared" si="15"/>
        <v>0</v>
      </c>
      <c r="S103" s="159"/>
      <c r="T103" s="159"/>
      <c r="U103" s="159"/>
      <c r="V103" s="165"/>
      <c r="W103" s="159"/>
      <c r="X103" s="453">
        <f t="shared" si="16"/>
        <v>0</v>
      </c>
      <c r="Y103" s="275">
        <f t="shared" si="17"/>
        <v>0</v>
      </c>
    </row>
    <row r="104" spans="1:25" ht="24" hidden="1" customHeight="1" x14ac:dyDescent="0.2">
      <c r="A104" s="82"/>
      <c r="B104" s="31"/>
      <c r="C104" s="41"/>
      <c r="D104" s="164"/>
      <c r="E104" s="164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>
        <f t="shared" si="15"/>
        <v>0</v>
      </c>
      <c r="S104" s="159"/>
      <c r="T104" s="159"/>
      <c r="U104" s="159"/>
      <c r="V104" s="165"/>
      <c r="W104" s="159"/>
      <c r="X104" s="453">
        <f t="shared" si="16"/>
        <v>0</v>
      </c>
      <c r="Y104" s="275">
        <f t="shared" si="17"/>
        <v>0</v>
      </c>
    </row>
    <row r="105" spans="1:25" ht="24" hidden="1" customHeight="1" x14ac:dyDescent="0.2">
      <c r="A105" s="82"/>
      <c r="B105" s="31"/>
      <c r="C105" s="41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>
        <f t="shared" si="15"/>
        <v>0</v>
      </c>
      <c r="S105" s="159"/>
      <c r="T105" s="159"/>
      <c r="U105" s="159"/>
      <c r="V105" s="165"/>
      <c r="W105" s="159"/>
      <c r="X105" s="453">
        <f t="shared" si="16"/>
        <v>0</v>
      </c>
      <c r="Y105" s="275">
        <f t="shared" si="17"/>
        <v>0</v>
      </c>
    </row>
    <row r="106" spans="1:25" ht="24" hidden="1" customHeight="1" x14ac:dyDescent="0.2">
      <c r="A106" s="82"/>
      <c r="B106" s="31"/>
      <c r="C106" s="41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>
        <f t="shared" si="15"/>
        <v>0</v>
      </c>
      <c r="S106" s="159"/>
      <c r="T106" s="159"/>
      <c r="U106" s="159"/>
      <c r="V106" s="165"/>
      <c r="W106" s="159"/>
      <c r="X106" s="453">
        <f t="shared" si="16"/>
        <v>0</v>
      </c>
      <c r="Y106" s="275">
        <f t="shared" si="17"/>
        <v>0</v>
      </c>
    </row>
    <row r="107" spans="1:25" ht="24" hidden="1" customHeight="1" x14ac:dyDescent="0.2">
      <c r="A107" s="82"/>
      <c r="B107" s="31"/>
      <c r="C107" s="41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65"/>
      <c r="W107" s="159"/>
      <c r="X107" s="453"/>
      <c r="Y107" s="275"/>
    </row>
    <row r="108" spans="1:25" ht="24" hidden="1" customHeight="1" x14ac:dyDescent="0.2">
      <c r="A108" s="82"/>
      <c r="B108" s="106"/>
      <c r="C108" s="28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65"/>
      <c r="W108" s="159"/>
      <c r="X108" s="453"/>
      <c r="Y108" s="275"/>
    </row>
    <row r="109" spans="1:25" ht="9.9499999999999993" hidden="1" customHeight="1" x14ac:dyDescent="0.2">
      <c r="A109" s="82"/>
      <c r="B109" s="126"/>
      <c r="C109" s="41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65"/>
      <c r="W109" s="159"/>
      <c r="X109" s="453"/>
      <c r="Y109" s="275"/>
    </row>
    <row r="110" spans="1:25" ht="30" hidden="1" customHeight="1" x14ac:dyDescent="0.2">
      <c r="A110" s="216" t="s">
        <v>90</v>
      </c>
      <c r="B110" s="212"/>
      <c r="C110" s="217" t="s">
        <v>88</v>
      </c>
      <c r="D110" s="159">
        <f t="shared" ref="D110:Q110" si="18">SUM(D94:D109)</f>
        <v>0</v>
      </c>
      <c r="E110" s="159">
        <f t="shared" si="18"/>
        <v>0</v>
      </c>
      <c r="F110" s="159">
        <f t="shared" si="18"/>
        <v>0</v>
      </c>
      <c r="G110" s="159">
        <f t="shared" si="18"/>
        <v>0</v>
      </c>
      <c r="H110" s="159">
        <f t="shared" si="18"/>
        <v>0</v>
      </c>
      <c r="I110" s="159">
        <f t="shared" si="18"/>
        <v>0</v>
      </c>
      <c r="J110" s="159">
        <f t="shared" si="18"/>
        <v>0</v>
      </c>
      <c r="K110" s="159">
        <f t="shared" si="18"/>
        <v>0</v>
      </c>
      <c r="L110" s="159">
        <f t="shared" si="18"/>
        <v>0</v>
      </c>
      <c r="M110" s="159">
        <f t="shared" si="18"/>
        <v>0</v>
      </c>
      <c r="N110" s="159">
        <f t="shared" si="18"/>
        <v>0</v>
      </c>
      <c r="O110" s="159">
        <f t="shared" si="18"/>
        <v>0</v>
      </c>
      <c r="P110" s="159">
        <f t="shared" si="18"/>
        <v>0</v>
      </c>
      <c r="Q110" s="159">
        <f t="shared" si="18"/>
        <v>0</v>
      </c>
      <c r="R110" s="159">
        <f t="shared" si="15"/>
        <v>0</v>
      </c>
      <c r="S110" s="159"/>
      <c r="T110" s="159">
        <f>SUM(T94:T109)</f>
        <v>0</v>
      </c>
      <c r="U110" s="159">
        <f>SUM(U94:U109)</f>
        <v>0</v>
      </c>
      <c r="V110" s="165">
        <f>SUM(V94:V109)</f>
        <v>0</v>
      </c>
      <c r="W110" s="159">
        <f>SUM(W94:W109)</f>
        <v>0</v>
      </c>
      <c r="X110" s="453">
        <f t="shared" si="16"/>
        <v>0</v>
      </c>
      <c r="Y110" s="340">
        <f t="shared" si="17"/>
        <v>0</v>
      </c>
    </row>
    <row r="111" spans="1:25" ht="9.9499999999999993" hidden="1" customHeight="1" x14ac:dyDescent="0.2">
      <c r="A111" s="82"/>
      <c r="B111" s="126"/>
      <c r="C111" s="41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>
        <f t="shared" si="15"/>
        <v>0</v>
      </c>
      <c r="S111" s="72"/>
      <c r="T111" s="72"/>
      <c r="U111" s="72"/>
      <c r="V111" s="73"/>
      <c r="W111" s="72"/>
      <c r="X111" s="214">
        <f t="shared" si="16"/>
        <v>0</v>
      </c>
      <c r="Y111" s="272">
        <f t="shared" si="17"/>
        <v>0</v>
      </c>
    </row>
    <row r="112" spans="1:25" ht="24" hidden="1" customHeight="1" x14ac:dyDescent="0.2">
      <c r="A112" s="82"/>
      <c r="B112" s="31"/>
      <c r="C112" s="41" t="s">
        <v>69</v>
      </c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>
        <f t="shared" si="15"/>
        <v>0</v>
      </c>
      <c r="S112" s="72"/>
      <c r="T112" s="72"/>
      <c r="U112" s="72"/>
      <c r="V112" s="73"/>
      <c r="W112" s="72"/>
      <c r="X112" s="214">
        <f t="shared" si="16"/>
        <v>0</v>
      </c>
      <c r="Y112" s="272">
        <f t="shared" si="17"/>
        <v>0</v>
      </c>
    </row>
    <row r="113" spans="1:25" ht="17.25" hidden="1" thickBot="1" x14ac:dyDescent="0.25">
      <c r="A113" s="82"/>
      <c r="B113" s="106"/>
      <c r="C113" s="107"/>
      <c r="D113" s="108"/>
      <c r="E113" s="108"/>
      <c r="F113" s="72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>
        <f t="shared" si="15"/>
        <v>0</v>
      </c>
      <c r="S113" s="108"/>
      <c r="T113" s="108"/>
      <c r="U113" s="108"/>
      <c r="V113" s="109"/>
      <c r="W113" s="108"/>
      <c r="X113" s="529">
        <f t="shared" si="16"/>
        <v>0</v>
      </c>
      <c r="Y113" s="273">
        <f t="shared" si="17"/>
        <v>0</v>
      </c>
    </row>
    <row r="114" spans="1:25" ht="30" hidden="1" customHeight="1" thickTop="1" thickBot="1" x14ac:dyDescent="0.25">
      <c r="A114" s="42"/>
      <c r="B114" s="336" t="s">
        <v>21</v>
      </c>
      <c r="C114" s="44" t="s">
        <v>91</v>
      </c>
      <c r="D114" s="86">
        <f t="shared" ref="D114:Q114" si="19">D92+D110</f>
        <v>0</v>
      </c>
      <c r="E114" s="86">
        <f t="shared" si="19"/>
        <v>0</v>
      </c>
      <c r="F114" s="86">
        <f t="shared" si="19"/>
        <v>0</v>
      </c>
      <c r="G114" s="86">
        <f t="shared" si="19"/>
        <v>0</v>
      </c>
      <c r="H114" s="86">
        <f t="shared" si="19"/>
        <v>0</v>
      </c>
      <c r="I114" s="86">
        <f t="shared" si="19"/>
        <v>0</v>
      </c>
      <c r="J114" s="86">
        <f t="shared" si="19"/>
        <v>0</v>
      </c>
      <c r="K114" s="86">
        <f t="shared" si="19"/>
        <v>0</v>
      </c>
      <c r="L114" s="86">
        <f t="shared" si="19"/>
        <v>0</v>
      </c>
      <c r="M114" s="86">
        <f t="shared" si="19"/>
        <v>0</v>
      </c>
      <c r="N114" s="86">
        <f t="shared" si="19"/>
        <v>0</v>
      </c>
      <c r="O114" s="86">
        <f t="shared" si="19"/>
        <v>0</v>
      </c>
      <c r="P114" s="86">
        <f t="shared" si="19"/>
        <v>0</v>
      </c>
      <c r="Q114" s="86">
        <f t="shared" si="19"/>
        <v>0</v>
      </c>
      <c r="R114" s="86">
        <f t="shared" si="15"/>
        <v>0</v>
      </c>
      <c r="S114" s="86"/>
      <c r="T114" s="86">
        <f>T92+T110</f>
        <v>0</v>
      </c>
      <c r="U114" s="86">
        <f>U92+U110</f>
        <v>0</v>
      </c>
      <c r="V114" s="87">
        <f>V92+V110</f>
        <v>0</v>
      </c>
      <c r="W114" s="530">
        <f>W92+W110</f>
        <v>0</v>
      </c>
      <c r="X114" s="531">
        <f t="shared" si="16"/>
        <v>0</v>
      </c>
      <c r="Y114" s="274">
        <f t="shared" si="17"/>
        <v>0</v>
      </c>
    </row>
    <row r="115" spans="1:25" ht="30" hidden="1" customHeight="1" thickTop="1" thickBot="1" x14ac:dyDescent="0.25">
      <c r="A115" s="42"/>
      <c r="B115" s="280" t="s">
        <v>176</v>
      </c>
      <c r="C115" s="44" t="s">
        <v>151</v>
      </c>
      <c r="D115" s="263">
        <f t="shared" ref="D115:Q115" si="20">D72+D114</f>
        <v>1711113.0249999999</v>
      </c>
      <c r="E115" s="263">
        <f t="shared" si="20"/>
        <v>466491.66</v>
      </c>
      <c r="F115" s="263">
        <f t="shared" si="20"/>
        <v>516843.53700000001</v>
      </c>
      <c r="G115" s="263">
        <f t="shared" si="20"/>
        <v>685</v>
      </c>
      <c r="H115" s="263">
        <f t="shared" si="20"/>
        <v>87741</v>
      </c>
      <c r="I115" s="263">
        <f t="shared" si="20"/>
        <v>0</v>
      </c>
      <c r="J115" s="263">
        <f t="shared" si="20"/>
        <v>0</v>
      </c>
      <c r="K115" s="263">
        <f t="shared" si="20"/>
        <v>0</v>
      </c>
      <c r="L115" s="263">
        <f t="shared" si="20"/>
        <v>180882</v>
      </c>
      <c r="M115" s="263">
        <f t="shared" si="20"/>
        <v>14400</v>
      </c>
      <c r="N115" s="263">
        <f t="shared" si="20"/>
        <v>0</v>
      </c>
      <c r="O115" s="263">
        <f t="shared" si="20"/>
        <v>5000</v>
      </c>
      <c r="P115" s="263">
        <f t="shared" si="20"/>
        <v>0</v>
      </c>
      <c r="Q115" s="263">
        <f t="shared" si="20"/>
        <v>0</v>
      </c>
      <c r="R115" s="263">
        <f>SUM(D115:Q115)</f>
        <v>2983156.2220000001</v>
      </c>
      <c r="S115" s="263"/>
      <c r="T115" s="263">
        <f>T72+T114</f>
        <v>0</v>
      </c>
      <c r="U115" s="263">
        <f>U72+U114</f>
        <v>0</v>
      </c>
      <c r="V115" s="263">
        <f>V72+V114</f>
        <v>0</v>
      </c>
      <c r="W115" s="328">
        <f>W72+W114</f>
        <v>0</v>
      </c>
      <c r="X115" s="447">
        <f t="shared" si="16"/>
        <v>0</v>
      </c>
      <c r="Y115" s="239">
        <f>R115+X115</f>
        <v>2983156.2220000001</v>
      </c>
    </row>
    <row r="116" spans="1:25" ht="29.25" hidden="1" customHeight="1" thickTop="1" x14ac:dyDescent="0.25">
      <c r="A116" s="135"/>
      <c r="B116" s="534" t="s">
        <v>180</v>
      </c>
      <c r="C116" s="136" t="s">
        <v>18</v>
      </c>
      <c r="D116" s="227">
        <f t="shared" ref="D116:W116" si="21">D115</f>
        <v>1711113.0249999999</v>
      </c>
      <c r="E116" s="227">
        <f t="shared" si="21"/>
        <v>466491.66</v>
      </c>
      <c r="F116" s="227">
        <f t="shared" si="21"/>
        <v>516843.53700000001</v>
      </c>
      <c r="G116" s="227">
        <f t="shared" si="21"/>
        <v>685</v>
      </c>
      <c r="H116" s="227">
        <f t="shared" si="21"/>
        <v>87741</v>
      </c>
      <c r="I116" s="227">
        <f t="shared" si="21"/>
        <v>0</v>
      </c>
      <c r="J116" s="227">
        <f t="shared" si="21"/>
        <v>0</v>
      </c>
      <c r="K116" s="227">
        <f t="shared" si="21"/>
        <v>0</v>
      </c>
      <c r="L116" s="227">
        <f t="shared" si="21"/>
        <v>180882</v>
      </c>
      <c r="M116" s="227">
        <f t="shared" si="21"/>
        <v>14400</v>
      </c>
      <c r="N116" s="227">
        <f t="shared" si="21"/>
        <v>0</v>
      </c>
      <c r="O116" s="227">
        <f t="shared" si="21"/>
        <v>5000</v>
      </c>
      <c r="P116" s="227">
        <f t="shared" si="21"/>
        <v>0</v>
      </c>
      <c r="Q116" s="227">
        <f t="shared" si="21"/>
        <v>0</v>
      </c>
      <c r="R116" s="227">
        <f t="shared" si="15"/>
        <v>2983156.2220000001</v>
      </c>
      <c r="S116" s="227"/>
      <c r="T116" s="227">
        <f>T115</f>
        <v>0</v>
      </c>
      <c r="U116" s="227">
        <f>U115</f>
        <v>0</v>
      </c>
      <c r="V116" s="270">
        <f t="shared" si="21"/>
        <v>0</v>
      </c>
      <c r="W116" s="227">
        <f t="shared" si="21"/>
        <v>0</v>
      </c>
      <c r="X116" s="270">
        <f t="shared" si="16"/>
        <v>0</v>
      </c>
      <c r="Y116" s="271">
        <f t="shared" si="17"/>
        <v>2983156.2220000001</v>
      </c>
    </row>
    <row r="117" spans="1:25" ht="29.25" hidden="1" customHeight="1" x14ac:dyDescent="0.25">
      <c r="A117" s="18"/>
      <c r="B117" s="534"/>
      <c r="C117" s="618"/>
      <c r="D117" s="612"/>
      <c r="E117" s="612"/>
      <c r="F117" s="612"/>
      <c r="G117" s="612"/>
      <c r="H117" s="612"/>
      <c r="I117" s="612"/>
      <c r="J117" s="612"/>
      <c r="K117" s="612"/>
      <c r="L117" s="612"/>
      <c r="M117" s="612"/>
      <c r="N117" s="612"/>
      <c r="O117" s="612"/>
      <c r="P117" s="612"/>
      <c r="Q117" s="612"/>
      <c r="R117" s="612"/>
      <c r="S117" s="612"/>
      <c r="T117" s="612"/>
      <c r="U117" s="612"/>
      <c r="V117" s="614"/>
      <c r="W117" s="612"/>
      <c r="X117" s="614"/>
      <c r="Y117" s="345"/>
    </row>
    <row r="118" spans="1:25" ht="33.75" hidden="1" customHeight="1" x14ac:dyDescent="0.2">
      <c r="A118" s="82">
        <v>1</v>
      </c>
      <c r="B118" s="548"/>
      <c r="C118" s="41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>
        <f t="shared" si="15"/>
        <v>0</v>
      </c>
      <c r="S118" s="159"/>
      <c r="T118" s="159"/>
      <c r="U118" s="159"/>
      <c r="V118" s="165"/>
      <c r="W118" s="159"/>
      <c r="X118" s="165">
        <f t="shared" si="16"/>
        <v>0</v>
      </c>
      <c r="Y118" s="275">
        <f t="shared" si="17"/>
        <v>0</v>
      </c>
    </row>
    <row r="119" spans="1:25" ht="33.75" hidden="1" customHeight="1" x14ac:dyDescent="0.2">
      <c r="A119" s="231">
        <v>2</v>
      </c>
      <c r="B119" s="548"/>
      <c r="C119" s="41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>
        <f t="shared" si="15"/>
        <v>0</v>
      </c>
      <c r="S119" s="159"/>
      <c r="T119" s="159"/>
      <c r="U119" s="159"/>
      <c r="V119" s="165"/>
      <c r="W119" s="159"/>
      <c r="X119" s="165">
        <f t="shared" si="16"/>
        <v>0</v>
      </c>
      <c r="Y119" s="275">
        <f t="shared" si="17"/>
        <v>0</v>
      </c>
    </row>
    <row r="120" spans="1:25" ht="33.75" hidden="1" customHeight="1" x14ac:dyDescent="0.2">
      <c r="A120" s="82">
        <v>3</v>
      </c>
      <c r="B120" s="549"/>
      <c r="C120" s="41"/>
      <c r="D120" s="159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>
        <f t="shared" si="15"/>
        <v>0</v>
      </c>
      <c r="S120" s="159"/>
      <c r="T120" s="159"/>
      <c r="U120" s="159"/>
      <c r="V120" s="165"/>
      <c r="W120" s="159"/>
      <c r="X120" s="165">
        <f t="shared" si="16"/>
        <v>0</v>
      </c>
      <c r="Y120" s="275">
        <f t="shared" si="17"/>
        <v>0</v>
      </c>
    </row>
    <row r="121" spans="1:25" ht="33.75" hidden="1" customHeight="1" x14ac:dyDescent="0.2">
      <c r="A121" s="231">
        <v>4</v>
      </c>
      <c r="B121" s="549"/>
      <c r="C121" s="41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>
        <f t="shared" si="15"/>
        <v>0</v>
      </c>
      <c r="S121" s="159"/>
      <c r="T121" s="159"/>
      <c r="U121" s="159"/>
      <c r="V121" s="165"/>
      <c r="W121" s="159"/>
      <c r="X121" s="165">
        <f t="shared" si="16"/>
        <v>0</v>
      </c>
      <c r="Y121" s="275">
        <f t="shared" si="17"/>
        <v>0</v>
      </c>
    </row>
    <row r="122" spans="1:25" ht="33.75" hidden="1" customHeight="1" x14ac:dyDescent="0.2">
      <c r="A122" s="82">
        <v>5</v>
      </c>
      <c r="B122" s="549"/>
      <c r="C122" s="41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>
        <f t="shared" si="15"/>
        <v>0</v>
      </c>
      <c r="S122" s="159"/>
      <c r="T122" s="159"/>
      <c r="U122" s="159"/>
      <c r="V122" s="165"/>
      <c r="W122" s="159"/>
      <c r="X122" s="165">
        <f t="shared" si="16"/>
        <v>0</v>
      </c>
      <c r="Y122" s="275">
        <f t="shared" si="17"/>
        <v>0</v>
      </c>
    </row>
    <row r="123" spans="1:25" ht="30.75" hidden="1" customHeight="1" x14ac:dyDescent="0.2">
      <c r="A123" s="82"/>
      <c r="B123" s="549"/>
      <c r="C123" s="41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65"/>
      <c r="W123" s="159"/>
      <c r="X123" s="165"/>
      <c r="Y123" s="275"/>
    </row>
    <row r="124" spans="1:25" ht="30.75" hidden="1" customHeight="1" x14ac:dyDescent="0.2">
      <c r="A124" s="82"/>
      <c r="B124" s="549"/>
      <c r="C124" s="41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65"/>
      <c r="W124" s="159"/>
      <c r="X124" s="165"/>
      <c r="Y124" s="275"/>
    </row>
    <row r="125" spans="1:25" ht="30.75" hidden="1" customHeight="1" x14ac:dyDescent="0.2">
      <c r="A125" s="82"/>
      <c r="B125" s="549"/>
      <c r="C125" s="41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65"/>
      <c r="W125" s="159"/>
      <c r="X125" s="165"/>
      <c r="Y125" s="275"/>
    </row>
    <row r="126" spans="1:25" ht="24" hidden="1" customHeight="1" x14ac:dyDescent="0.2">
      <c r="A126" s="82"/>
      <c r="B126" s="31"/>
      <c r="C126" s="41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65"/>
      <c r="W126" s="159"/>
      <c r="X126" s="165"/>
      <c r="Y126" s="275"/>
    </row>
    <row r="127" spans="1:25" ht="24" hidden="1" customHeight="1" x14ac:dyDescent="0.2">
      <c r="A127" s="216" t="s">
        <v>89</v>
      </c>
      <c r="B127" s="212"/>
      <c r="C127" s="217" t="s">
        <v>87</v>
      </c>
      <c r="D127" s="342">
        <f t="shared" ref="D127:W127" si="22">SUM(D118:D126)</f>
        <v>0</v>
      </c>
      <c r="E127" s="342">
        <f t="shared" si="22"/>
        <v>0</v>
      </c>
      <c r="F127" s="342">
        <f t="shared" si="22"/>
        <v>0</v>
      </c>
      <c r="G127" s="342">
        <f t="shared" si="22"/>
        <v>0</v>
      </c>
      <c r="H127" s="342">
        <f t="shared" si="22"/>
        <v>0</v>
      </c>
      <c r="I127" s="342">
        <f t="shared" si="22"/>
        <v>0</v>
      </c>
      <c r="J127" s="342">
        <f t="shared" si="22"/>
        <v>0</v>
      </c>
      <c r="K127" s="342">
        <f t="shared" si="22"/>
        <v>0</v>
      </c>
      <c r="L127" s="342">
        <f t="shared" si="22"/>
        <v>0</v>
      </c>
      <c r="M127" s="342">
        <f t="shared" si="22"/>
        <v>0</v>
      </c>
      <c r="N127" s="342">
        <f t="shared" si="22"/>
        <v>0</v>
      </c>
      <c r="O127" s="342">
        <f t="shared" si="22"/>
        <v>0</v>
      </c>
      <c r="P127" s="342">
        <f t="shared" si="22"/>
        <v>0</v>
      </c>
      <c r="Q127" s="342">
        <f t="shared" si="22"/>
        <v>0</v>
      </c>
      <c r="R127" s="342">
        <f t="shared" si="15"/>
        <v>0</v>
      </c>
      <c r="S127" s="342"/>
      <c r="T127" s="342">
        <f t="shared" si="22"/>
        <v>0</v>
      </c>
      <c r="U127" s="342">
        <f t="shared" si="22"/>
        <v>0</v>
      </c>
      <c r="V127" s="537">
        <f t="shared" si="22"/>
        <v>0</v>
      </c>
      <c r="W127" s="342">
        <f t="shared" si="22"/>
        <v>0</v>
      </c>
      <c r="X127" s="342">
        <f t="shared" si="16"/>
        <v>0</v>
      </c>
      <c r="Y127" s="342">
        <f t="shared" si="17"/>
        <v>0</v>
      </c>
    </row>
    <row r="128" spans="1:25" ht="30.75" hidden="1" customHeight="1" x14ac:dyDescent="0.2">
      <c r="A128" s="82"/>
      <c r="B128" s="32"/>
      <c r="C128" s="41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65"/>
      <c r="W128" s="159"/>
      <c r="X128" s="165"/>
      <c r="Y128" s="275"/>
    </row>
    <row r="129" spans="1:25" ht="33.75" hidden="1" customHeight="1" x14ac:dyDescent="0.2">
      <c r="A129" s="82" t="s">
        <v>114</v>
      </c>
      <c r="B129" s="235"/>
      <c r="C129" s="41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>
        <f t="shared" si="15"/>
        <v>0</v>
      </c>
      <c r="S129" s="159"/>
      <c r="T129" s="159"/>
      <c r="U129" s="159"/>
      <c r="V129" s="165"/>
      <c r="W129" s="159"/>
      <c r="X129" s="165">
        <f t="shared" si="16"/>
        <v>0</v>
      </c>
      <c r="Y129" s="275">
        <f t="shared" si="17"/>
        <v>0</v>
      </c>
    </row>
    <row r="130" spans="1:25" ht="33.75" hidden="1" customHeight="1" x14ac:dyDescent="0.2">
      <c r="A130" s="82" t="s">
        <v>114</v>
      </c>
      <c r="B130" s="235"/>
      <c r="C130" s="41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>
        <f t="shared" si="15"/>
        <v>0</v>
      </c>
      <c r="S130" s="159"/>
      <c r="T130" s="159"/>
      <c r="U130" s="159"/>
      <c r="V130" s="165"/>
      <c r="W130" s="159"/>
      <c r="X130" s="165">
        <f t="shared" si="16"/>
        <v>0</v>
      </c>
      <c r="Y130" s="275">
        <f t="shared" si="17"/>
        <v>0</v>
      </c>
    </row>
    <row r="131" spans="1:25" ht="33.75" hidden="1" customHeight="1" x14ac:dyDescent="0.2">
      <c r="A131" s="82" t="s">
        <v>114</v>
      </c>
      <c r="B131" s="235"/>
      <c r="C131" s="41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>
        <f t="shared" si="15"/>
        <v>0</v>
      </c>
      <c r="S131" s="159"/>
      <c r="T131" s="159"/>
      <c r="U131" s="159"/>
      <c r="V131" s="165"/>
      <c r="W131" s="159"/>
      <c r="X131" s="165">
        <f t="shared" ref="X131:X137" si="23">SUM(T131:W131)</f>
        <v>0</v>
      </c>
      <c r="Y131" s="275">
        <f t="shared" ref="Y131:Y137" si="24">R131+X131</f>
        <v>0</v>
      </c>
    </row>
    <row r="132" spans="1:25" ht="33.75" hidden="1" customHeight="1" x14ac:dyDescent="0.2">
      <c r="A132" s="82" t="s">
        <v>114</v>
      </c>
      <c r="B132" s="235"/>
      <c r="C132" s="41"/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>
        <f t="shared" si="15"/>
        <v>0</v>
      </c>
      <c r="S132" s="159"/>
      <c r="T132" s="159"/>
      <c r="U132" s="159"/>
      <c r="V132" s="165"/>
      <c r="W132" s="159"/>
      <c r="X132" s="165">
        <f t="shared" si="23"/>
        <v>0</v>
      </c>
      <c r="Y132" s="275">
        <f t="shared" si="24"/>
        <v>0</v>
      </c>
    </row>
    <row r="133" spans="1:25" ht="33.75" hidden="1" customHeight="1" x14ac:dyDescent="0.2">
      <c r="A133" s="82" t="s">
        <v>114</v>
      </c>
      <c r="B133" s="235"/>
      <c r="C133" s="41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>
        <f t="shared" si="15"/>
        <v>0</v>
      </c>
      <c r="S133" s="159"/>
      <c r="T133" s="159"/>
      <c r="U133" s="159"/>
      <c r="V133" s="165"/>
      <c r="W133" s="159"/>
      <c r="X133" s="165">
        <f t="shared" si="23"/>
        <v>0</v>
      </c>
      <c r="Y133" s="275">
        <f t="shared" si="24"/>
        <v>0</v>
      </c>
    </row>
    <row r="134" spans="1:25" ht="33.75" hidden="1" customHeight="1" x14ac:dyDescent="0.2">
      <c r="A134" s="82" t="s">
        <v>114</v>
      </c>
      <c r="B134" s="235"/>
      <c r="C134" s="41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>
        <f t="shared" si="15"/>
        <v>0</v>
      </c>
      <c r="S134" s="159"/>
      <c r="T134" s="159"/>
      <c r="U134" s="159"/>
      <c r="V134" s="165"/>
      <c r="W134" s="159"/>
      <c r="X134" s="165">
        <f t="shared" si="23"/>
        <v>0</v>
      </c>
      <c r="Y134" s="275">
        <f t="shared" si="24"/>
        <v>0</v>
      </c>
    </row>
    <row r="135" spans="1:25" ht="33.75" hidden="1" customHeight="1" x14ac:dyDescent="0.2">
      <c r="A135" s="82" t="s">
        <v>114</v>
      </c>
      <c r="B135" s="235"/>
      <c r="C135" s="41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>
        <f t="shared" si="15"/>
        <v>0</v>
      </c>
      <c r="S135" s="159"/>
      <c r="T135" s="159"/>
      <c r="U135" s="159"/>
      <c r="V135" s="165"/>
      <c r="W135" s="159"/>
      <c r="X135" s="165">
        <f t="shared" si="23"/>
        <v>0</v>
      </c>
      <c r="Y135" s="275">
        <f t="shared" si="24"/>
        <v>0</v>
      </c>
    </row>
    <row r="136" spans="1:25" ht="33.75" hidden="1" customHeight="1" x14ac:dyDescent="0.2">
      <c r="A136" s="82" t="s">
        <v>114</v>
      </c>
      <c r="B136" s="235"/>
      <c r="C136" s="41"/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>
        <f t="shared" si="15"/>
        <v>0</v>
      </c>
      <c r="S136" s="159"/>
      <c r="T136" s="159"/>
      <c r="U136" s="159"/>
      <c r="V136" s="165"/>
      <c r="W136" s="159"/>
      <c r="X136" s="165">
        <f t="shared" si="23"/>
        <v>0</v>
      </c>
      <c r="Y136" s="275">
        <f t="shared" si="24"/>
        <v>0</v>
      </c>
    </row>
    <row r="137" spans="1:25" ht="33.75" hidden="1" customHeight="1" x14ac:dyDescent="0.2">
      <c r="A137" s="82" t="s">
        <v>114</v>
      </c>
      <c r="B137" s="235"/>
      <c r="C137" s="41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>
        <f t="shared" si="15"/>
        <v>0</v>
      </c>
      <c r="S137" s="159"/>
      <c r="T137" s="159"/>
      <c r="U137" s="159"/>
      <c r="V137" s="165"/>
      <c r="W137" s="159"/>
      <c r="X137" s="165">
        <f t="shared" si="23"/>
        <v>0</v>
      </c>
      <c r="Y137" s="275">
        <f t="shared" si="24"/>
        <v>0</v>
      </c>
    </row>
    <row r="138" spans="1:25" ht="33.75" hidden="1" customHeight="1" x14ac:dyDescent="0.2">
      <c r="A138" s="82"/>
      <c r="B138" s="235"/>
      <c r="C138" s="41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65"/>
      <c r="W138" s="159"/>
      <c r="X138" s="165"/>
      <c r="Y138" s="275"/>
    </row>
    <row r="139" spans="1:25" ht="24" hidden="1" customHeight="1" x14ac:dyDescent="0.2">
      <c r="A139" s="82"/>
      <c r="B139" s="31"/>
      <c r="C139" s="41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65"/>
      <c r="W139" s="159"/>
      <c r="X139" s="165"/>
      <c r="Y139" s="339"/>
    </row>
    <row r="140" spans="1:25" ht="24" hidden="1" customHeight="1" x14ac:dyDescent="0.2">
      <c r="A140" s="216" t="s">
        <v>90</v>
      </c>
      <c r="B140" s="212"/>
      <c r="C140" s="217" t="s">
        <v>88</v>
      </c>
      <c r="D140" s="159">
        <f t="shared" ref="D140:Q140" si="25">SUM(D128:D139)</f>
        <v>0</v>
      </c>
      <c r="E140" s="159">
        <f t="shared" si="25"/>
        <v>0</v>
      </c>
      <c r="F140" s="159">
        <f t="shared" si="25"/>
        <v>0</v>
      </c>
      <c r="G140" s="159">
        <f t="shared" si="25"/>
        <v>0</v>
      </c>
      <c r="H140" s="159">
        <f t="shared" si="25"/>
        <v>0</v>
      </c>
      <c r="I140" s="159">
        <f t="shared" si="25"/>
        <v>0</v>
      </c>
      <c r="J140" s="159">
        <f t="shared" si="25"/>
        <v>0</v>
      </c>
      <c r="K140" s="159">
        <f t="shared" si="25"/>
        <v>0</v>
      </c>
      <c r="L140" s="159">
        <f t="shared" si="25"/>
        <v>0</v>
      </c>
      <c r="M140" s="159">
        <f t="shared" si="25"/>
        <v>0</v>
      </c>
      <c r="N140" s="159">
        <f t="shared" si="25"/>
        <v>0</v>
      </c>
      <c r="O140" s="159">
        <f t="shared" si="25"/>
        <v>0</v>
      </c>
      <c r="P140" s="159">
        <f t="shared" si="25"/>
        <v>0</v>
      </c>
      <c r="Q140" s="159">
        <f t="shared" si="25"/>
        <v>0</v>
      </c>
      <c r="R140" s="159">
        <f t="shared" si="15"/>
        <v>0</v>
      </c>
      <c r="S140" s="159"/>
      <c r="T140" s="159">
        <f>SUM(T128:T139)</f>
        <v>0</v>
      </c>
      <c r="U140" s="159">
        <f>SUM(U128:U139)</f>
        <v>0</v>
      </c>
      <c r="V140" s="165">
        <f>SUM(V128:V139)</f>
        <v>0</v>
      </c>
      <c r="W140" s="159">
        <f>SUM(W128:W139)</f>
        <v>0</v>
      </c>
      <c r="X140" s="165">
        <f t="shared" si="16"/>
        <v>0</v>
      </c>
      <c r="Y140" s="340">
        <f t="shared" si="17"/>
        <v>0</v>
      </c>
    </row>
    <row r="141" spans="1:25" ht="24" hidden="1" customHeight="1" thickBot="1" x14ac:dyDescent="0.25">
      <c r="A141" s="82"/>
      <c r="B141" s="31"/>
      <c r="C141" s="41"/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65"/>
      <c r="W141" s="159"/>
      <c r="X141" s="165"/>
      <c r="Y141" s="339"/>
    </row>
    <row r="142" spans="1:25" ht="30" hidden="1" customHeight="1" thickTop="1" thickBot="1" x14ac:dyDescent="0.25">
      <c r="A142" s="42"/>
      <c r="B142" s="336" t="s">
        <v>180</v>
      </c>
      <c r="C142" s="44" t="s">
        <v>91</v>
      </c>
      <c r="D142" s="540">
        <f t="shared" ref="D142:Q142" si="26">D127+D140</f>
        <v>0</v>
      </c>
      <c r="E142" s="540">
        <f t="shared" si="26"/>
        <v>0</v>
      </c>
      <c r="F142" s="540">
        <f t="shared" si="26"/>
        <v>0</v>
      </c>
      <c r="G142" s="540">
        <f t="shared" si="26"/>
        <v>0</v>
      </c>
      <c r="H142" s="540">
        <f t="shared" si="26"/>
        <v>0</v>
      </c>
      <c r="I142" s="540">
        <f t="shared" si="26"/>
        <v>0</v>
      </c>
      <c r="J142" s="540">
        <f t="shared" si="26"/>
        <v>0</v>
      </c>
      <c r="K142" s="540">
        <f t="shared" si="26"/>
        <v>0</v>
      </c>
      <c r="L142" s="540">
        <f t="shared" si="26"/>
        <v>0</v>
      </c>
      <c r="M142" s="540">
        <f t="shared" si="26"/>
        <v>0</v>
      </c>
      <c r="N142" s="540">
        <f t="shared" si="26"/>
        <v>0</v>
      </c>
      <c r="O142" s="540">
        <f t="shared" si="26"/>
        <v>0</v>
      </c>
      <c r="P142" s="540">
        <f t="shared" si="26"/>
        <v>0</v>
      </c>
      <c r="Q142" s="540">
        <f t="shared" si="26"/>
        <v>0</v>
      </c>
      <c r="R142" s="540">
        <f t="shared" si="15"/>
        <v>0</v>
      </c>
      <c r="S142" s="540"/>
      <c r="T142" s="540">
        <f>T127+T140</f>
        <v>0</v>
      </c>
      <c r="U142" s="540">
        <f>U127+U140</f>
        <v>0</v>
      </c>
      <c r="V142" s="541">
        <f>V127+V140</f>
        <v>0</v>
      </c>
      <c r="W142" s="540">
        <f>W127+W140</f>
        <v>0</v>
      </c>
      <c r="X142" s="541">
        <f t="shared" si="16"/>
        <v>0</v>
      </c>
      <c r="Y142" s="542">
        <f t="shared" si="17"/>
        <v>0</v>
      </c>
    </row>
    <row r="143" spans="1:25" ht="30" hidden="1" customHeight="1" thickTop="1" thickBot="1" x14ac:dyDescent="0.25">
      <c r="A143" s="42"/>
      <c r="B143" s="532" t="s">
        <v>181</v>
      </c>
      <c r="C143" s="44" t="s">
        <v>151</v>
      </c>
      <c r="D143" s="543">
        <f t="shared" ref="D143:Q143" si="27">D116+D142</f>
        <v>1711113.0249999999</v>
      </c>
      <c r="E143" s="550">
        <f t="shared" si="27"/>
        <v>466491.66</v>
      </c>
      <c r="F143" s="543">
        <f t="shared" si="27"/>
        <v>516843.53700000001</v>
      </c>
      <c r="G143" s="543">
        <f t="shared" si="27"/>
        <v>685</v>
      </c>
      <c r="H143" s="543">
        <f t="shared" si="27"/>
        <v>87741</v>
      </c>
      <c r="I143" s="543">
        <f t="shared" si="27"/>
        <v>0</v>
      </c>
      <c r="J143" s="543">
        <f t="shared" si="27"/>
        <v>0</v>
      </c>
      <c r="K143" s="543">
        <f t="shared" si="27"/>
        <v>0</v>
      </c>
      <c r="L143" s="543">
        <f t="shared" si="27"/>
        <v>180882</v>
      </c>
      <c r="M143" s="543">
        <f t="shared" si="27"/>
        <v>14400</v>
      </c>
      <c r="N143" s="543">
        <f t="shared" si="27"/>
        <v>0</v>
      </c>
      <c r="O143" s="543">
        <f t="shared" si="27"/>
        <v>5000</v>
      </c>
      <c r="P143" s="543">
        <f t="shared" si="27"/>
        <v>0</v>
      </c>
      <c r="Q143" s="543">
        <f t="shared" si="27"/>
        <v>0</v>
      </c>
      <c r="R143" s="550">
        <f t="shared" si="15"/>
        <v>2983156.2220000001</v>
      </c>
      <c r="S143" s="543"/>
      <c r="T143" s="543">
        <f>T116+T142</f>
        <v>0</v>
      </c>
      <c r="U143" s="543">
        <f>U116+U142</f>
        <v>0</v>
      </c>
      <c r="V143" s="543">
        <f>V116+V142</f>
        <v>0</v>
      </c>
      <c r="W143" s="544">
        <f>W116+W142</f>
        <v>0</v>
      </c>
      <c r="X143" s="543">
        <f t="shared" si="16"/>
        <v>0</v>
      </c>
      <c r="Y143" s="560">
        <f t="shared" si="17"/>
        <v>2983156.2220000001</v>
      </c>
    </row>
    <row r="144" spans="1:25" ht="24" hidden="1" customHeight="1" thickTop="1" x14ac:dyDescent="0.25">
      <c r="A144" s="135"/>
      <c r="B144" s="576" t="s">
        <v>185</v>
      </c>
      <c r="C144" s="136" t="s">
        <v>18</v>
      </c>
      <c r="D144" s="227">
        <f t="shared" ref="D144:W144" si="28">D143</f>
        <v>1711113.0249999999</v>
      </c>
      <c r="E144" s="551">
        <f t="shared" si="28"/>
        <v>466491.66</v>
      </c>
      <c r="F144" s="227">
        <f t="shared" si="28"/>
        <v>516843.53700000001</v>
      </c>
      <c r="G144" s="227">
        <f t="shared" si="28"/>
        <v>685</v>
      </c>
      <c r="H144" s="227">
        <f t="shared" si="28"/>
        <v>87741</v>
      </c>
      <c r="I144" s="227">
        <f t="shared" si="28"/>
        <v>0</v>
      </c>
      <c r="J144" s="227">
        <f t="shared" si="28"/>
        <v>0</v>
      </c>
      <c r="K144" s="227">
        <f t="shared" si="28"/>
        <v>0</v>
      </c>
      <c r="L144" s="227">
        <f t="shared" si="28"/>
        <v>180882</v>
      </c>
      <c r="M144" s="227">
        <f t="shared" si="28"/>
        <v>14400</v>
      </c>
      <c r="N144" s="227">
        <f t="shared" si="28"/>
        <v>0</v>
      </c>
      <c r="O144" s="227">
        <f t="shared" si="28"/>
        <v>5000</v>
      </c>
      <c r="P144" s="227">
        <f t="shared" si="28"/>
        <v>0</v>
      </c>
      <c r="Q144" s="227">
        <f t="shared" si="28"/>
        <v>0</v>
      </c>
      <c r="R144" s="551">
        <f t="shared" si="15"/>
        <v>2983156.2220000001</v>
      </c>
      <c r="S144" s="227"/>
      <c r="T144" s="227">
        <f>T143</f>
        <v>0</v>
      </c>
      <c r="U144" s="227">
        <f>U143</f>
        <v>0</v>
      </c>
      <c r="V144" s="270">
        <f t="shared" si="28"/>
        <v>0</v>
      </c>
      <c r="W144" s="227">
        <f t="shared" si="28"/>
        <v>0</v>
      </c>
      <c r="X144" s="270">
        <f t="shared" si="16"/>
        <v>0</v>
      </c>
      <c r="Y144" s="561">
        <f t="shared" si="17"/>
        <v>2983156.2220000001</v>
      </c>
    </row>
    <row r="145" spans="1:25" ht="33.75" hidden="1" customHeight="1" x14ac:dyDescent="0.2">
      <c r="A145" s="231"/>
      <c r="B145" s="344"/>
      <c r="C145" s="28"/>
      <c r="D145" s="164"/>
      <c r="E145" s="164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64"/>
      <c r="S145" s="159"/>
      <c r="T145" s="159"/>
      <c r="U145" s="159"/>
      <c r="V145" s="165"/>
      <c r="W145" s="159"/>
      <c r="X145" s="165"/>
      <c r="Y145" s="562">
        <f t="shared" si="17"/>
        <v>0</v>
      </c>
    </row>
    <row r="146" spans="1:25" ht="33.75" hidden="1" customHeight="1" x14ac:dyDescent="0.2">
      <c r="A146" s="231">
        <v>1</v>
      </c>
      <c r="B146" s="344"/>
      <c r="C146" s="28"/>
      <c r="D146" s="164"/>
      <c r="E146" s="164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64">
        <f t="shared" si="15"/>
        <v>0</v>
      </c>
      <c r="S146" s="159"/>
      <c r="T146" s="159"/>
      <c r="U146" s="159"/>
      <c r="V146" s="165"/>
      <c r="W146" s="159"/>
      <c r="X146" s="165">
        <f t="shared" si="16"/>
        <v>0</v>
      </c>
      <c r="Y146" s="562">
        <f t="shared" si="17"/>
        <v>0</v>
      </c>
    </row>
    <row r="147" spans="1:25" ht="33.75" hidden="1" customHeight="1" x14ac:dyDescent="0.2">
      <c r="A147" s="82">
        <v>2</v>
      </c>
      <c r="B147" s="120"/>
      <c r="C147" s="28"/>
      <c r="D147" s="164"/>
      <c r="E147" s="164"/>
      <c r="F147" s="159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64">
        <f t="shared" si="15"/>
        <v>0</v>
      </c>
      <c r="S147" s="159"/>
      <c r="T147" s="159"/>
      <c r="U147" s="159"/>
      <c r="V147" s="165"/>
      <c r="W147" s="159"/>
      <c r="X147" s="165">
        <f t="shared" si="16"/>
        <v>0</v>
      </c>
      <c r="Y147" s="562">
        <f t="shared" si="17"/>
        <v>0</v>
      </c>
    </row>
    <row r="148" spans="1:25" ht="24" hidden="1" customHeight="1" x14ac:dyDescent="0.2">
      <c r="A148" s="82">
        <v>3</v>
      </c>
      <c r="B148" s="236"/>
      <c r="C148" s="33"/>
      <c r="D148" s="159"/>
      <c r="E148" s="164"/>
      <c r="F148" s="159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64">
        <f t="shared" si="15"/>
        <v>0</v>
      </c>
      <c r="S148" s="159"/>
      <c r="T148" s="159"/>
      <c r="U148" s="159"/>
      <c r="V148" s="165"/>
      <c r="W148" s="159"/>
      <c r="X148" s="165">
        <f t="shared" si="16"/>
        <v>0</v>
      </c>
      <c r="Y148" s="562">
        <f t="shared" si="17"/>
        <v>0</v>
      </c>
    </row>
    <row r="149" spans="1:25" ht="33.75" hidden="1" customHeight="1" x14ac:dyDescent="0.2">
      <c r="A149" s="82"/>
      <c r="B149" s="236"/>
      <c r="C149" s="33"/>
      <c r="D149" s="159"/>
      <c r="E149" s="164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64"/>
      <c r="S149" s="159"/>
      <c r="T149" s="159"/>
      <c r="U149" s="159"/>
      <c r="V149" s="165"/>
      <c r="W149" s="159"/>
      <c r="X149" s="165"/>
      <c r="Y149" s="562"/>
    </row>
    <row r="150" spans="1:25" ht="33.75" hidden="1" customHeight="1" x14ac:dyDescent="0.2">
      <c r="A150" s="82"/>
      <c r="B150" s="30"/>
      <c r="C150" s="28"/>
      <c r="D150" s="159"/>
      <c r="E150" s="164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64"/>
      <c r="S150" s="159"/>
      <c r="T150" s="159"/>
      <c r="U150" s="159"/>
      <c r="V150" s="165"/>
      <c r="W150" s="159"/>
      <c r="X150" s="165"/>
      <c r="Y150" s="562">
        <f t="shared" si="17"/>
        <v>0</v>
      </c>
    </row>
    <row r="151" spans="1:25" ht="9.9499999999999993" hidden="1" customHeight="1" x14ac:dyDescent="0.2">
      <c r="A151" s="82"/>
      <c r="B151" s="30"/>
      <c r="C151" s="28"/>
      <c r="D151" s="159"/>
      <c r="E151" s="164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64"/>
      <c r="S151" s="159"/>
      <c r="T151" s="159"/>
      <c r="U151" s="159"/>
      <c r="V151" s="165"/>
      <c r="W151" s="159"/>
      <c r="X151" s="165"/>
      <c r="Y151" s="562"/>
    </row>
    <row r="152" spans="1:25" ht="20.100000000000001" hidden="1" customHeight="1" x14ac:dyDescent="0.2">
      <c r="A152" s="216" t="s">
        <v>89</v>
      </c>
      <c r="B152" s="212"/>
      <c r="C152" s="217" t="s">
        <v>87</v>
      </c>
      <c r="D152" s="159">
        <f t="shared" ref="D152:W152" si="29">SUM(D145:D151)</f>
        <v>0</v>
      </c>
      <c r="E152" s="164">
        <f t="shared" si="29"/>
        <v>0</v>
      </c>
      <c r="F152" s="159">
        <f t="shared" si="29"/>
        <v>0</v>
      </c>
      <c r="G152" s="159">
        <f t="shared" si="29"/>
        <v>0</v>
      </c>
      <c r="H152" s="159">
        <f t="shared" si="29"/>
        <v>0</v>
      </c>
      <c r="I152" s="159">
        <f t="shared" si="29"/>
        <v>0</v>
      </c>
      <c r="J152" s="159">
        <f t="shared" si="29"/>
        <v>0</v>
      </c>
      <c r="K152" s="159">
        <f t="shared" si="29"/>
        <v>0</v>
      </c>
      <c r="L152" s="159">
        <f t="shared" si="29"/>
        <v>0</v>
      </c>
      <c r="M152" s="159">
        <f t="shared" si="29"/>
        <v>0</v>
      </c>
      <c r="N152" s="159">
        <f t="shared" si="29"/>
        <v>0</v>
      </c>
      <c r="O152" s="159">
        <f t="shared" si="29"/>
        <v>0</v>
      </c>
      <c r="P152" s="159">
        <f t="shared" si="29"/>
        <v>0</v>
      </c>
      <c r="Q152" s="159">
        <f t="shared" si="29"/>
        <v>0</v>
      </c>
      <c r="R152" s="164">
        <f t="shared" si="15"/>
        <v>0</v>
      </c>
      <c r="S152" s="159"/>
      <c r="T152" s="159">
        <f t="shared" si="29"/>
        <v>0</v>
      </c>
      <c r="U152" s="159">
        <f t="shared" si="29"/>
        <v>0</v>
      </c>
      <c r="V152" s="165">
        <f t="shared" si="29"/>
        <v>0</v>
      </c>
      <c r="W152" s="159">
        <f t="shared" si="29"/>
        <v>0</v>
      </c>
      <c r="X152" s="165">
        <f t="shared" si="16"/>
        <v>0</v>
      </c>
      <c r="Y152" s="562">
        <f t="shared" si="17"/>
        <v>0</v>
      </c>
    </row>
    <row r="153" spans="1:25" ht="33.75" hidden="1" customHeight="1" x14ac:dyDescent="0.2">
      <c r="A153" s="231"/>
      <c r="B153" s="233"/>
      <c r="C153" s="41"/>
      <c r="D153" s="159"/>
      <c r="E153" s="164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64"/>
      <c r="S153" s="159"/>
      <c r="T153" s="159"/>
      <c r="U153" s="159"/>
      <c r="V153" s="165"/>
      <c r="W153" s="159"/>
      <c r="X153" s="165"/>
      <c r="Y153" s="562">
        <f t="shared" si="17"/>
        <v>0</v>
      </c>
    </row>
    <row r="154" spans="1:25" ht="33.75" hidden="1" customHeight="1" x14ac:dyDescent="0.2">
      <c r="A154" s="231" t="s">
        <v>114</v>
      </c>
      <c r="B154" s="233"/>
      <c r="C154" s="41"/>
      <c r="D154" s="159"/>
      <c r="E154" s="164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64">
        <f t="shared" si="15"/>
        <v>0</v>
      </c>
      <c r="S154" s="159"/>
      <c r="T154" s="159"/>
      <c r="U154" s="159"/>
      <c r="V154" s="165"/>
      <c r="W154" s="159"/>
      <c r="X154" s="165">
        <f t="shared" si="16"/>
        <v>0</v>
      </c>
      <c r="Y154" s="562">
        <f t="shared" si="17"/>
        <v>0</v>
      </c>
    </row>
    <row r="155" spans="1:25" ht="33.75" hidden="1" customHeight="1" x14ac:dyDescent="0.2">
      <c r="A155" s="231" t="s">
        <v>114</v>
      </c>
      <c r="B155" s="233"/>
      <c r="C155" s="41"/>
      <c r="D155" s="159"/>
      <c r="E155" s="164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64">
        <f t="shared" si="15"/>
        <v>0</v>
      </c>
      <c r="S155" s="159"/>
      <c r="T155" s="159"/>
      <c r="U155" s="159"/>
      <c r="V155" s="165"/>
      <c r="W155" s="159"/>
      <c r="X155" s="165">
        <f t="shared" si="16"/>
        <v>0</v>
      </c>
      <c r="Y155" s="562">
        <f t="shared" si="17"/>
        <v>0</v>
      </c>
    </row>
    <row r="156" spans="1:25" ht="33.75" hidden="1" customHeight="1" x14ac:dyDescent="0.2">
      <c r="A156" s="231" t="s">
        <v>114</v>
      </c>
      <c r="B156" s="233"/>
      <c r="C156" s="41"/>
      <c r="D156" s="159"/>
      <c r="E156" s="164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64">
        <f t="shared" si="15"/>
        <v>0</v>
      </c>
      <c r="S156" s="159"/>
      <c r="T156" s="159"/>
      <c r="U156" s="159"/>
      <c r="V156" s="165"/>
      <c r="W156" s="159"/>
      <c r="X156" s="165">
        <f t="shared" si="16"/>
        <v>0</v>
      </c>
      <c r="Y156" s="562">
        <f t="shared" si="17"/>
        <v>0</v>
      </c>
    </row>
    <row r="157" spans="1:25" ht="33.75" hidden="1" customHeight="1" x14ac:dyDescent="0.2">
      <c r="A157" s="231" t="s">
        <v>114</v>
      </c>
      <c r="B157" s="233"/>
      <c r="C157" s="41"/>
      <c r="D157" s="159"/>
      <c r="E157" s="164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64">
        <f t="shared" si="15"/>
        <v>0</v>
      </c>
      <c r="S157" s="159"/>
      <c r="T157" s="159"/>
      <c r="U157" s="159"/>
      <c r="V157" s="165"/>
      <c r="W157" s="159"/>
      <c r="X157" s="165">
        <f t="shared" si="16"/>
        <v>0</v>
      </c>
      <c r="Y157" s="562">
        <f t="shared" si="17"/>
        <v>0</v>
      </c>
    </row>
    <row r="158" spans="1:25" ht="33.75" hidden="1" customHeight="1" x14ac:dyDescent="0.2">
      <c r="A158" s="231"/>
      <c r="B158" s="233"/>
      <c r="C158" s="41"/>
      <c r="D158" s="159"/>
      <c r="E158" s="164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64"/>
      <c r="S158" s="159"/>
      <c r="T158" s="159"/>
      <c r="U158" s="159"/>
      <c r="V158" s="165"/>
      <c r="W158" s="159"/>
      <c r="X158" s="165"/>
      <c r="Y158" s="562">
        <f t="shared" si="17"/>
        <v>0</v>
      </c>
    </row>
    <row r="159" spans="1:25" ht="33.75" hidden="1" customHeight="1" x14ac:dyDescent="0.2">
      <c r="A159" s="82"/>
      <c r="B159" s="32"/>
      <c r="C159" s="34"/>
      <c r="D159" s="159"/>
      <c r="E159" s="164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64"/>
      <c r="S159" s="159"/>
      <c r="T159" s="159"/>
      <c r="U159" s="159"/>
      <c r="V159" s="165"/>
      <c r="W159" s="159"/>
      <c r="X159" s="165"/>
      <c r="Y159" s="562">
        <f t="shared" si="17"/>
        <v>0</v>
      </c>
    </row>
    <row r="160" spans="1:25" ht="9.9499999999999993" hidden="1" customHeight="1" x14ac:dyDescent="0.2">
      <c r="A160" s="82"/>
      <c r="B160" s="126"/>
      <c r="C160" s="41"/>
      <c r="D160" s="159"/>
      <c r="E160" s="164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64"/>
      <c r="S160" s="159"/>
      <c r="T160" s="159"/>
      <c r="U160" s="159"/>
      <c r="V160" s="165"/>
      <c r="W160" s="159"/>
      <c r="X160" s="165"/>
      <c r="Y160" s="562"/>
    </row>
    <row r="161" spans="1:26" ht="20.100000000000001" hidden="1" customHeight="1" x14ac:dyDescent="0.2">
      <c r="A161" s="216" t="s">
        <v>90</v>
      </c>
      <c r="B161" s="212"/>
      <c r="C161" s="217" t="s">
        <v>88</v>
      </c>
      <c r="D161" s="159">
        <f t="shared" ref="D161:W161" si="30">SUM(D153:D160)</f>
        <v>0</v>
      </c>
      <c r="E161" s="164">
        <f t="shared" si="30"/>
        <v>0</v>
      </c>
      <c r="F161" s="159">
        <f t="shared" si="30"/>
        <v>0</v>
      </c>
      <c r="G161" s="159">
        <f t="shared" si="30"/>
        <v>0</v>
      </c>
      <c r="H161" s="159">
        <f t="shared" si="30"/>
        <v>0</v>
      </c>
      <c r="I161" s="159">
        <f t="shared" si="30"/>
        <v>0</v>
      </c>
      <c r="J161" s="159">
        <f t="shared" si="30"/>
        <v>0</v>
      </c>
      <c r="K161" s="159">
        <f t="shared" si="30"/>
        <v>0</v>
      </c>
      <c r="L161" s="159">
        <f t="shared" si="30"/>
        <v>0</v>
      </c>
      <c r="M161" s="159">
        <f t="shared" si="30"/>
        <v>0</v>
      </c>
      <c r="N161" s="159">
        <f t="shared" si="30"/>
        <v>0</v>
      </c>
      <c r="O161" s="159">
        <f t="shared" si="30"/>
        <v>0</v>
      </c>
      <c r="P161" s="159">
        <f t="shared" si="30"/>
        <v>0</v>
      </c>
      <c r="Q161" s="159">
        <f t="shared" si="30"/>
        <v>0</v>
      </c>
      <c r="R161" s="164">
        <f t="shared" ref="R161:R228" si="31">SUM(D161:Q161)</f>
        <v>0</v>
      </c>
      <c r="S161" s="159"/>
      <c r="T161" s="159">
        <f t="shared" si="30"/>
        <v>0</v>
      </c>
      <c r="U161" s="159">
        <f t="shared" si="30"/>
        <v>0</v>
      </c>
      <c r="V161" s="165">
        <f t="shared" si="30"/>
        <v>0</v>
      </c>
      <c r="W161" s="159">
        <f t="shared" si="30"/>
        <v>0</v>
      </c>
      <c r="X161" s="165">
        <f t="shared" ref="X161:X228" si="32">SUM(T161:W161)</f>
        <v>0</v>
      </c>
      <c r="Y161" s="562">
        <f t="shared" ref="Y161:Y228" si="33">R161+X161</f>
        <v>0</v>
      </c>
    </row>
    <row r="162" spans="1:26" ht="9.9499999999999993" hidden="1" customHeight="1" x14ac:dyDescent="0.2">
      <c r="A162" s="82"/>
      <c r="B162" s="126"/>
      <c r="C162" s="41"/>
      <c r="D162" s="159"/>
      <c r="E162" s="164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64"/>
      <c r="S162" s="159"/>
      <c r="T162" s="159"/>
      <c r="U162" s="159"/>
      <c r="V162" s="165"/>
      <c r="W162" s="159"/>
      <c r="X162" s="165"/>
      <c r="Y162" s="562"/>
    </row>
    <row r="163" spans="1:26" ht="24" hidden="1" customHeight="1" thickBot="1" x14ac:dyDescent="0.25">
      <c r="A163" s="82"/>
      <c r="B163" s="89"/>
      <c r="C163" s="41"/>
      <c r="D163" s="159"/>
      <c r="E163" s="164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64"/>
      <c r="S163" s="159"/>
      <c r="T163" s="159"/>
      <c r="U163" s="159"/>
      <c r="V163" s="165"/>
      <c r="W163" s="159"/>
      <c r="X163" s="165"/>
      <c r="Y163" s="562"/>
    </row>
    <row r="164" spans="1:26" ht="30" hidden="1" customHeight="1" thickTop="1" thickBot="1" x14ac:dyDescent="0.25">
      <c r="A164" s="42"/>
      <c r="B164" s="268" t="s">
        <v>186</v>
      </c>
      <c r="C164" s="44" t="s">
        <v>91</v>
      </c>
      <c r="D164" s="166">
        <f t="shared" ref="D164:Q164" si="34">D152+D161</f>
        <v>0</v>
      </c>
      <c r="E164" s="538">
        <f t="shared" si="34"/>
        <v>0</v>
      </c>
      <c r="F164" s="166">
        <f t="shared" si="34"/>
        <v>0</v>
      </c>
      <c r="G164" s="166">
        <f t="shared" si="34"/>
        <v>0</v>
      </c>
      <c r="H164" s="166">
        <f t="shared" si="34"/>
        <v>0</v>
      </c>
      <c r="I164" s="166">
        <f t="shared" si="34"/>
        <v>0</v>
      </c>
      <c r="J164" s="166">
        <f t="shared" si="34"/>
        <v>0</v>
      </c>
      <c r="K164" s="166">
        <f t="shared" si="34"/>
        <v>0</v>
      </c>
      <c r="L164" s="166">
        <f t="shared" si="34"/>
        <v>0</v>
      </c>
      <c r="M164" s="166">
        <f t="shared" si="34"/>
        <v>0</v>
      </c>
      <c r="N164" s="166">
        <f t="shared" si="34"/>
        <v>0</v>
      </c>
      <c r="O164" s="166">
        <f t="shared" si="34"/>
        <v>0</v>
      </c>
      <c r="P164" s="166">
        <f t="shared" si="34"/>
        <v>0</v>
      </c>
      <c r="Q164" s="166">
        <f t="shared" si="34"/>
        <v>0</v>
      </c>
      <c r="R164" s="538">
        <f t="shared" si="31"/>
        <v>0</v>
      </c>
      <c r="S164" s="166"/>
      <c r="T164" s="166">
        <f>T152+T161</f>
        <v>0</v>
      </c>
      <c r="U164" s="166">
        <f>U152+U161</f>
        <v>0</v>
      </c>
      <c r="V164" s="169">
        <f>V152+V161</f>
        <v>0</v>
      </c>
      <c r="W164" s="166">
        <f>W152+W161</f>
        <v>0</v>
      </c>
      <c r="X164" s="169">
        <f t="shared" si="32"/>
        <v>0</v>
      </c>
      <c r="Y164" s="563">
        <f t="shared" si="33"/>
        <v>0</v>
      </c>
    </row>
    <row r="165" spans="1:26" ht="30" hidden="1" customHeight="1" thickTop="1" thickBot="1" x14ac:dyDescent="0.25">
      <c r="A165" s="42"/>
      <c r="B165" s="604" t="s">
        <v>185</v>
      </c>
      <c r="C165" s="44" t="s">
        <v>151</v>
      </c>
      <c r="D165" s="572">
        <f t="shared" ref="D165:Q165" si="35">D144+D164</f>
        <v>1711113.0249999999</v>
      </c>
      <c r="E165" s="601">
        <f t="shared" si="35"/>
        <v>466491.66</v>
      </c>
      <c r="F165" s="572">
        <f t="shared" si="35"/>
        <v>516843.53700000001</v>
      </c>
      <c r="G165" s="572">
        <f t="shared" si="35"/>
        <v>685</v>
      </c>
      <c r="H165" s="572">
        <f t="shared" si="35"/>
        <v>87741</v>
      </c>
      <c r="I165" s="572">
        <f t="shared" si="35"/>
        <v>0</v>
      </c>
      <c r="J165" s="572">
        <f t="shared" si="35"/>
        <v>0</v>
      </c>
      <c r="K165" s="572">
        <f t="shared" si="35"/>
        <v>0</v>
      </c>
      <c r="L165" s="572">
        <f t="shared" si="35"/>
        <v>180882</v>
      </c>
      <c r="M165" s="572">
        <f t="shared" si="35"/>
        <v>14400</v>
      </c>
      <c r="N165" s="572">
        <f t="shared" si="35"/>
        <v>0</v>
      </c>
      <c r="O165" s="572">
        <f t="shared" si="35"/>
        <v>5000</v>
      </c>
      <c r="P165" s="572">
        <f t="shared" si="35"/>
        <v>0</v>
      </c>
      <c r="Q165" s="572">
        <f t="shared" si="35"/>
        <v>0</v>
      </c>
      <c r="R165" s="601">
        <f t="shared" si="31"/>
        <v>2983156.2220000001</v>
      </c>
      <c r="S165" s="572"/>
      <c r="T165" s="572">
        <f>T144+T164</f>
        <v>0</v>
      </c>
      <c r="U165" s="572">
        <f>U144+U164</f>
        <v>0</v>
      </c>
      <c r="V165" s="572">
        <f>V144+V164</f>
        <v>0</v>
      </c>
      <c r="W165" s="602">
        <f>W144+W164</f>
        <v>0</v>
      </c>
      <c r="X165" s="572">
        <f t="shared" si="32"/>
        <v>0</v>
      </c>
      <c r="Y165" s="600">
        <f t="shared" si="33"/>
        <v>2983156.2220000001</v>
      </c>
      <c r="Z165" s="134">
        <f>Y165-W165</f>
        <v>2983156.2220000001</v>
      </c>
    </row>
    <row r="166" spans="1:26" ht="24.95" hidden="1" customHeight="1" thickTop="1" x14ac:dyDescent="0.25">
      <c r="A166" s="603"/>
      <c r="B166" s="534" t="s">
        <v>189</v>
      </c>
      <c r="C166" s="136" t="s">
        <v>18</v>
      </c>
      <c r="D166" s="227">
        <f t="shared" ref="D166:W166" si="36">D165</f>
        <v>1711113.0249999999</v>
      </c>
      <c r="E166" s="551">
        <f t="shared" si="36"/>
        <v>466491.66</v>
      </c>
      <c r="F166" s="227">
        <f t="shared" si="36"/>
        <v>516843.53700000001</v>
      </c>
      <c r="G166" s="227">
        <f t="shared" si="36"/>
        <v>685</v>
      </c>
      <c r="H166" s="227">
        <f t="shared" si="36"/>
        <v>87741</v>
      </c>
      <c r="I166" s="227">
        <f t="shared" si="36"/>
        <v>0</v>
      </c>
      <c r="J166" s="227">
        <f t="shared" si="36"/>
        <v>0</v>
      </c>
      <c r="K166" s="227">
        <f t="shared" si="36"/>
        <v>0</v>
      </c>
      <c r="L166" s="227">
        <f t="shared" si="36"/>
        <v>180882</v>
      </c>
      <c r="M166" s="227">
        <f t="shared" si="36"/>
        <v>14400</v>
      </c>
      <c r="N166" s="227">
        <f t="shared" si="36"/>
        <v>0</v>
      </c>
      <c r="O166" s="227">
        <f t="shared" si="36"/>
        <v>5000</v>
      </c>
      <c r="P166" s="227">
        <f t="shared" si="36"/>
        <v>0</v>
      </c>
      <c r="Q166" s="227">
        <f t="shared" si="36"/>
        <v>0</v>
      </c>
      <c r="R166" s="551">
        <f t="shared" si="31"/>
        <v>2983156.2220000001</v>
      </c>
      <c r="S166" s="227"/>
      <c r="T166" s="227">
        <f>T165</f>
        <v>0</v>
      </c>
      <c r="U166" s="227">
        <f>U165</f>
        <v>0</v>
      </c>
      <c r="V166" s="270">
        <f t="shared" si="36"/>
        <v>0</v>
      </c>
      <c r="W166" s="227">
        <f t="shared" si="36"/>
        <v>0</v>
      </c>
      <c r="X166" s="270">
        <f t="shared" si="32"/>
        <v>0</v>
      </c>
      <c r="Y166" s="561">
        <f t="shared" si="33"/>
        <v>2983156.2220000001</v>
      </c>
      <c r="Z166" s="134"/>
    </row>
    <row r="167" spans="1:26" ht="33.75" hidden="1" customHeight="1" x14ac:dyDescent="0.25">
      <c r="A167" s="610"/>
      <c r="B167" s="188"/>
      <c r="C167" s="611"/>
      <c r="D167" s="612"/>
      <c r="E167" s="613"/>
      <c r="F167" s="612"/>
      <c r="G167" s="612"/>
      <c r="H167" s="612"/>
      <c r="I167" s="612"/>
      <c r="J167" s="612"/>
      <c r="K167" s="612"/>
      <c r="L167" s="612"/>
      <c r="M167" s="612"/>
      <c r="N167" s="612"/>
      <c r="O167" s="612"/>
      <c r="P167" s="612"/>
      <c r="Q167" s="612"/>
      <c r="R167" s="613"/>
      <c r="S167" s="612"/>
      <c r="T167" s="612"/>
      <c r="U167" s="612"/>
      <c r="V167" s="614"/>
      <c r="W167" s="612"/>
      <c r="X167" s="614"/>
      <c r="Y167" s="615"/>
      <c r="Z167" s="134"/>
    </row>
    <row r="168" spans="1:26" ht="33.75" hidden="1" customHeight="1" x14ac:dyDescent="0.2">
      <c r="A168" s="231">
        <v>1</v>
      </c>
      <c r="B168" s="607"/>
      <c r="C168" s="28"/>
      <c r="D168" s="164"/>
      <c r="E168" s="164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64">
        <f t="shared" si="31"/>
        <v>0</v>
      </c>
      <c r="S168" s="159"/>
      <c r="T168" s="159"/>
      <c r="U168" s="159"/>
      <c r="V168" s="165"/>
      <c r="W168" s="159"/>
      <c r="X168" s="165">
        <f t="shared" si="32"/>
        <v>0</v>
      </c>
      <c r="Y168" s="562">
        <f t="shared" si="33"/>
        <v>0</v>
      </c>
      <c r="Z168" s="134"/>
    </row>
    <row r="169" spans="1:26" ht="33.75" hidden="1" customHeight="1" x14ac:dyDescent="0.2">
      <c r="A169" s="231">
        <v>2</v>
      </c>
      <c r="B169" s="606"/>
      <c r="C169" s="28"/>
      <c r="D169" s="164"/>
      <c r="E169" s="164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64">
        <f t="shared" si="31"/>
        <v>0</v>
      </c>
      <c r="S169" s="159"/>
      <c r="T169" s="159"/>
      <c r="U169" s="159"/>
      <c r="V169" s="165"/>
      <c r="W169" s="159"/>
      <c r="X169" s="165">
        <f t="shared" si="32"/>
        <v>0</v>
      </c>
      <c r="Y169" s="562">
        <f t="shared" si="33"/>
        <v>0</v>
      </c>
      <c r="Z169" s="134"/>
    </row>
    <row r="170" spans="1:26" ht="33.75" hidden="1" customHeight="1" x14ac:dyDescent="0.2">
      <c r="A170" s="231">
        <v>3</v>
      </c>
      <c r="B170" s="606"/>
      <c r="C170" s="28"/>
      <c r="D170" s="164"/>
      <c r="E170" s="164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64">
        <f t="shared" si="31"/>
        <v>0</v>
      </c>
      <c r="S170" s="159"/>
      <c r="T170" s="159"/>
      <c r="U170" s="159"/>
      <c r="V170" s="165"/>
      <c r="W170" s="159"/>
      <c r="X170" s="165">
        <f t="shared" si="32"/>
        <v>0</v>
      </c>
      <c r="Y170" s="562">
        <f t="shared" si="33"/>
        <v>0</v>
      </c>
      <c r="Z170" s="134"/>
    </row>
    <row r="171" spans="1:26" ht="33.75" hidden="1" customHeight="1" x14ac:dyDescent="0.2">
      <c r="A171" s="231"/>
      <c r="B171" s="236"/>
      <c r="C171" s="33"/>
      <c r="D171" s="159"/>
      <c r="E171" s="164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64">
        <f t="shared" si="31"/>
        <v>0</v>
      </c>
      <c r="S171" s="159"/>
      <c r="T171" s="159"/>
      <c r="U171" s="159"/>
      <c r="V171" s="165"/>
      <c r="W171" s="159"/>
      <c r="X171" s="165">
        <f t="shared" si="32"/>
        <v>0</v>
      </c>
      <c r="Y171" s="562">
        <f t="shared" si="33"/>
        <v>0</v>
      </c>
      <c r="Z171" s="134"/>
    </row>
    <row r="172" spans="1:26" ht="33.75" hidden="1" customHeight="1" x14ac:dyDescent="0.2">
      <c r="A172" s="82"/>
      <c r="B172" s="30"/>
      <c r="C172" s="28"/>
      <c r="D172" s="159"/>
      <c r="E172" s="164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64">
        <f t="shared" si="31"/>
        <v>0</v>
      </c>
      <c r="S172" s="159"/>
      <c r="T172" s="159"/>
      <c r="U172" s="159"/>
      <c r="V172" s="165"/>
      <c r="W172" s="159"/>
      <c r="X172" s="165">
        <f t="shared" si="32"/>
        <v>0</v>
      </c>
      <c r="Y172" s="562">
        <f t="shared" si="33"/>
        <v>0</v>
      </c>
      <c r="Z172" s="134"/>
    </row>
    <row r="173" spans="1:26" ht="33.75" hidden="1" customHeight="1" x14ac:dyDescent="0.2">
      <c r="A173" s="82"/>
      <c r="B173" s="30"/>
      <c r="C173" s="28"/>
      <c r="D173" s="159"/>
      <c r="E173" s="164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64"/>
      <c r="S173" s="159"/>
      <c r="T173" s="159"/>
      <c r="U173" s="159"/>
      <c r="V173" s="165"/>
      <c r="W173" s="159"/>
      <c r="X173" s="165"/>
      <c r="Y173" s="562"/>
      <c r="Z173" s="134"/>
    </row>
    <row r="174" spans="1:26" ht="24" hidden="1" customHeight="1" x14ac:dyDescent="0.2">
      <c r="A174" s="216" t="s">
        <v>89</v>
      </c>
      <c r="B174" s="212"/>
      <c r="C174" s="217" t="s">
        <v>87</v>
      </c>
      <c r="D174" s="159">
        <f t="shared" ref="D174:W174" si="37">SUM(D168:D173)</f>
        <v>0</v>
      </c>
      <c r="E174" s="164">
        <f t="shared" si="37"/>
        <v>0</v>
      </c>
      <c r="F174" s="159">
        <f t="shared" si="37"/>
        <v>0</v>
      </c>
      <c r="G174" s="159">
        <f t="shared" si="37"/>
        <v>0</v>
      </c>
      <c r="H174" s="159">
        <f t="shared" si="37"/>
        <v>0</v>
      </c>
      <c r="I174" s="159">
        <f t="shared" si="37"/>
        <v>0</v>
      </c>
      <c r="J174" s="159">
        <f t="shared" si="37"/>
        <v>0</v>
      </c>
      <c r="K174" s="159">
        <f t="shared" si="37"/>
        <v>0</v>
      </c>
      <c r="L174" s="159">
        <f t="shared" si="37"/>
        <v>0</v>
      </c>
      <c r="M174" s="159">
        <f t="shared" si="37"/>
        <v>0</v>
      </c>
      <c r="N174" s="159">
        <f t="shared" si="37"/>
        <v>0</v>
      </c>
      <c r="O174" s="159">
        <f t="shared" si="37"/>
        <v>0</v>
      </c>
      <c r="P174" s="159">
        <f t="shared" si="37"/>
        <v>0</v>
      </c>
      <c r="Q174" s="159">
        <f t="shared" si="37"/>
        <v>0</v>
      </c>
      <c r="R174" s="164">
        <f t="shared" si="31"/>
        <v>0</v>
      </c>
      <c r="S174" s="159"/>
      <c r="T174" s="159">
        <f t="shared" si="37"/>
        <v>0</v>
      </c>
      <c r="U174" s="159">
        <f t="shared" si="37"/>
        <v>0</v>
      </c>
      <c r="V174" s="165">
        <f t="shared" si="37"/>
        <v>0</v>
      </c>
      <c r="W174" s="159">
        <f t="shared" si="37"/>
        <v>0</v>
      </c>
      <c r="X174" s="165">
        <f t="shared" si="32"/>
        <v>0</v>
      </c>
      <c r="Y174" s="562">
        <f t="shared" si="33"/>
        <v>0</v>
      </c>
      <c r="Z174" s="134"/>
    </row>
    <row r="175" spans="1:26" ht="33.75" hidden="1" customHeight="1" x14ac:dyDescent="0.2">
      <c r="A175" s="82"/>
      <c r="B175" s="45"/>
      <c r="C175" s="28"/>
      <c r="D175" s="159"/>
      <c r="E175" s="164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64"/>
      <c r="S175" s="159"/>
      <c r="T175" s="159"/>
      <c r="U175" s="159"/>
      <c r="V175" s="165"/>
      <c r="W175" s="159"/>
      <c r="X175" s="165"/>
      <c r="Y175" s="562"/>
      <c r="Z175" s="134"/>
    </row>
    <row r="176" spans="1:26" ht="33.75" hidden="1" customHeight="1" x14ac:dyDescent="0.2">
      <c r="A176" s="231" t="s">
        <v>114</v>
      </c>
      <c r="B176" s="233"/>
      <c r="C176" s="41"/>
      <c r="D176" s="159"/>
      <c r="E176" s="164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64">
        <f t="shared" si="31"/>
        <v>0</v>
      </c>
      <c r="S176" s="159"/>
      <c r="T176" s="159"/>
      <c r="U176" s="159"/>
      <c r="V176" s="165"/>
      <c r="W176" s="159"/>
      <c r="X176" s="165">
        <f t="shared" si="32"/>
        <v>0</v>
      </c>
      <c r="Y176" s="562">
        <f t="shared" si="33"/>
        <v>0</v>
      </c>
      <c r="Z176" s="134"/>
    </row>
    <row r="177" spans="1:26" ht="33.75" hidden="1" customHeight="1" x14ac:dyDescent="0.2">
      <c r="A177" s="231" t="s">
        <v>114</v>
      </c>
      <c r="B177" s="233"/>
      <c r="C177" s="41"/>
      <c r="D177" s="159"/>
      <c r="E177" s="164"/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64">
        <f t="shared" si="31"/>
        <v>0</v>
      </c>
      <c r="S177" s="159"/>
      <c r="T177" s="159"/>
      <c r="U177" s="159"/>
      <c r="V177" s="165"/>
      <c r="W177" s="159"/>
      <c r="X177" s="165">
        <f t="shared" si="32"/>
        <v>0</v>
      </c>
      <c r="Y177" s="562">
        <f t="shared" si="33"/>
        <v>0</v>
      </c>
      <c r="Z177" s="134"/>
    </row>
    <row r="178" spans="1:26" ht="33.75" hidden="1" customHeight="1" x14ac:dyDescent="0.2">
      <c r="A178" s="82" t="s">
        <v>114</v>
      </c>
      <c r="B178" s="32"/>
      <c r="C178" s="34"/>
      <c r="D178" s="159"/>
      <c r="E178" s="164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64">
        <f t="shared" si="31"/>
        <v>0</v>
      </c>
      <c r="S178" s="159"/>
      <c r="T178" s="159"/>
      <c r="U178" s="159"/>
      <c r="V178" s="165"/>
      <c r="W178" s="159"/>
      <c r="X178" s="165">
        <f t="shared" si="32"/>
        <v>0</v>
      </c>
      <c r="Y178" s="562">
        <f t="shared" si="33"/>
        <v>0</v>
      </c>
      <c r="Z178" s="134"/>
    </row>
    <row r="179" spans="1:26" ht="33.75" hidden="1" customHeight="1" x14ac:dyDescent="0.2">
      <c r="A179" s="82" t="s">
        <v>114</v>
      </c>
      <c r="B179" s="307"/>
      <c r="C179" s="34"/>
      <c r="D179" s="159"/>
      <c r="E179" s="164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64">
        <f t="shared" si="31"/>
        <v>0</v>
      </c>
      <c r="S179" s="159"/>
      <c r="T179" s="159"/>
      <c r="U179" s="159"/>
      <c r="V179" s="165"/>
      <c r="W179" s="159"/>
      <c r="X179" s="165">
        <f t="shared" si="32"/>
        <v>0</v>
      </c>
      <c r="Y179" s="562">
        <f t="shared" si="33"/>
        <v>0</v>
      </c>
      <c r="Z179" s="134"/>
    </row>
    <row r="180" spans="1:26" ht="33.75" hidden="1" customHeight="1" x14ac:dyDescent="0.2">
      <c r="A180" s="82" t="s">
        <v>193</v>
      </c>
      <c r="B180" s="299"/>
      <c r="C180" s="34"/>
      <c r="D180" s="159"/>
      <c r="E180" s="164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64">
        <f t="shared" si="31"/>
        <v>0</v>
      </c>
      <c r="S180" s="159"/>
      <c r="T180" s="159"/>
      <c r="U180" s="159"/>
      <c r="V180" s="165"/>
      <c r="W180" s="159"/>
      <c r="X180" s="165">
        <f t="shared" si="32"/>
        <v>0</v>
      </c>
      <c r="Y180" s="562">
        <f t="shared" si="33"/>
        <v>0</v>
      </c>
      <c r="Z180" s="134"/>
    </row>
    <row r="181" spans="1:26" ht="33.75" hidden="1" customHeight="1" x14ac:dyDescent="0.2">
      <c r="A181" s="82" t="s">
        <v>193</v>
      </c>
      <c r="B181" s="307"/>
      <c r="C181" s="34"/>
      <c r="D181" s="159"/>
      <c r="E181" s="164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64">
        <f t="shared" si="31"/>
        <v>0</v>
      </c>
      <c r="S181" s="159"/>
      <c r="T181" s="159"/>
      <c r="U181" s="159"/>
      <c r="V181" s="165"/>
      <c r="W181" s="159"/>
      <c r="X181" s="165">
        <f t="shared" si="32"/>
        <v>0</v>
      </c>
      <c r="Y181" s="562">
        <f t="shared" si="33"/>
        <v>0</v>
      </c>
      <c r="Z181" s="134"/>
    </row>
    <row r="182" spans="1:26" ht="33.75" hidden="1" customHeight="1" x14ac:dyDescent="0.2">
      <c r="A182" s="82" t="s">
        <v>193</v>
      </c>
      <c r="B182" s="307"/>
      <c r="C182" s="34"/>
      <c r="D182" s="159"/>
      <c r="E182" s="164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64">
        <f t="shared" si="31"/>
        <v>0</v>
      </c>
      <c r="S182" s="159"/>
      <c r="T182" s="159"/>
      <c r="U182" s="159"/>
      <c r="V182" s="165"/>
      <c r="W182" s="159"/>
      <c r="X182" s="165">
        <f t="shared" si="32"/>
        <v>0</v>
      </c>
      <c r="Y182" s="562">
        <f t="shared" si="33"/>
        <v>0</v>
      </c>
      <c r="Z182" s="134"/>
    </row>
    <row r="183" spans="1:26" ht="33.75" hidden="1" customHeight="1" x14ac:dyDescent="0.2">
      <c r="A183" s="82"/>
      <c r="B183" s="126"/>
      <c r="C183" s="41"/>
      <c r="D183" s="159"/>
      <c r="E183" s="164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64"/>
      <c r="S183" s="159"/>
      <c r="T183" s="159"/>
      <c r="U183" s="159"/>
      <c r="V183" s="165"/>
      <c r="W183" s="159"/>
      <c r="X183" s="165"/>
      <c r="Y183" s="562"/>
      <c r="Z183" s="134"/>
    </row>
    <row r="184" spans="1:26" ht="24" hidden="1" customHeight="1" x14ac:dyDescent="0.2">
      <c r="A184" s="216" t="s">
        <v>90</v>
      </c>
      <c r="B184" s="212"/>
      <c r="C184" s="217" t="s">
        <v>88</v>
      </c>
      <c r="D184" s="159">
        <f t="shared" ref="D184:W184" si="38">SUM(D176:D183)</f>
        <v>0</v>
      </c>
      <c r="E184" s="164">
        <f t="shared" si="38"/>
        <v>0</v>
      </c>
      <c r="F184" s="159">
        <f t="shared" si="38"/>
        <v>0</v>
      </c>
      <c r="G184" s="159">
        <f t="shared" si="38"/>
        <v>0</v>
      </c>
      <c r="H184" s="159">
        <f t="shared" si="38"/>
        <v>0</v>
      </c>
      <c r="I184" s="159">
        <f t="shared" si="38"/>
        <v>0</v>
      </c>
      <c r="J184" s="159">
        <f t="shared" si="38"/>
        <v>0</v>
      </c>
      <c r="K184" s="159">
        <f t="shared" si="38"/>
        <v>0</v>
      </c>
      <c r="L184" s="159">
        <f t="shared" si="38"/>
        <v>0</v>
      </c>
      <c r="M184" s="159">
        <f t="shared" si="38"/>
        <v>0</v>
      </c>
      <c r="N184" s="159">
        <f t="shared" si="38"/>
        <v>0</v>
      </c>
      <c r="O184" s="159">
        <f t="shared" si="38"/>
        <v>0</v>
      </c>
      <c r="P184" s="159">
        <f t="shared" si="38"/>
        <v>0</v>
      </c>
      <c r="Q184" s="159">
        <f t="shared" si="38"/>
        <v>0</v>
      </c>
      <c r="R184" s="164">
        <f t="shared" si="31"/>
        <v>0</v>
      </c>
      <c r="S184" s="159"/>
      <c r="T184" s="159">
        <f t="shared" si="38"/>
        <v>0</v>
      </c>
      <c r="U184" s="159">
        <f t="shared" si="38"/>
        <v>0</v>
      </c>
      <c r="V184" s="165">
        <f t="shared" si="38"/>
        <v>0</v>
      </c>
      <c r="W184" s="159">
        <f t="shared" si="38"/>
        <v>0</v>
      </c>
      <c r="X184" s="165">
        <f t="shared" si="32"/>
        <v>0</v>
      </c>
      <c r="Y184" s="562">
        <f t="shared" si="33"/>
        <v>0</v>
      </c>
      <c r="Z184" s="134"/>
    </row>
    <row r="185" spans="1:26" ht="24" hidden="1" customHeight="1" x14ac:dyDescent="0.2">
      <c r="A185" s="82"/>
      <c r="B185" s="126"/>
      <c r="C185" s="41"/>
      <c r="D185" s="159"/>
      <c r="E185" s="164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64"/>
      <c r="S185" s="159"/>
      <c r="T185" s="159"/>
      <c r="U185" s="159"/>
      <c r="V185" s="165"/>
      <c r="W185" s="159"/>
      <c r="X185" s="165"/>
      <c r="Y185" s="562"/>
      <c r="Z185" s="134"/>
    </row>
    <row r="186" spans="1:26" ht="24" hidden="1" customHeight="1" thickBot="1" x14ac:dyDescent="0.25">
      <c r="A186" s="82"/>
      <c r="B186" s="89"/>
      <c r="C186" s="41"/>
      <c r="D186" s="159"/>
      <c r="E186" s="164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64"/>
      <c r="S186" s="159"/>
      <c r="T186" s="159"/>
      <c r="U186" s="159"/>
      <c r="V186" s="165"/>
      <c r="W186" s="159"/>
      <c r="X186" s="165"/>
      <c r="Y186" s="562"/>
      <c r="Z186" s="134"/>
    </row>
    <row r="187" spans="1:26" ht="33.75" hidden="1" customHeight="1" thickTop="1" thickBot="1" x14ac:dyDescent="0.25">
      <c r="A187" s="42"/>
      <c r="B187" s="268" t="s">
        <v>188</v>
      </c>
      <c r="C187" s="44" t="s">
        <v>91</v>
      </c>
      <c r="D187" s="166">
        <f t="shared" ref="D187:W187" si="39">D174+D184</f>
        <v>0</v>
      </c>
      <c r="E187" s="538">
        <f t="shared" si="39"/>
        <v>0</v>
      </c>
      <c r="F187" s="166">
        <f t="shared" si="39"/>
        <v>0</v>
      </c>
      <c r="G187" s="166">
        <f t="shared" si="39"/>
        <v>0</v>
      </c>
      <c r="H187" s="166">
        <f t="shared" si="39"/>
        <v>0</v>
      </c>
      <c r="I187" s="166">
        <f t="shared" si="39"/>
        <v>0</v>
      </c>
      <c r="J187" s="166">
        <f t="shared" si="39"/>
        <v>0</v>
      </c>
      <c r="K187" s="166">
        <f t="shared" si="39"/>
        <v>0</v>
      </c>
      <c r="L187" s="166">
        <f t="shared" si="39"/>
        <v>0</v>
      </c>
      <c r="M187" s="166">
        <f t="shared" si="39"/>
        <v>0</v>
      </c>
      <c r="N187" s="166">
        <f t="shared" si="39"/>
        <v>0</v>
      </c>
      <c r="O187" s="166">
        <f t="shared" si="39"/>
        <v>0</v>
      </c>
      <c r="P187" s="166">
        <f t="shared" si="39"/>
        <v>0</v>
      </c>
      <c r="Q187" s="166">
        <f t="shared" si="39"/>
        <v>0</v>
      </c>
      <c r="R187" s="538">
        <f t="shared" si="31"/>
        <v>0</v>
      </c>
      <c r="S187" s="166"/>
      <c r="T187" s="166">
        <f>T174+T184</f>
        <v>0</v>
      </c>
      <c r="U187" s="166">
        <f>U174+U184</f>
        <v>0</v>
      </c>
      <c r="V187" s="169">
        <f t="shared" si="39"/>
        <v>0</v>
      </c>
      <c r="W187" s="166">
        <f t="shared" si="39"/>
        <v>0</v>
      </c>
      <c r="X187" s="169">
        <f t="shared" si="32"/>
        <v>0</v>
      </c>
      <c r="Y187" s="563">
        <f t="shared" si="33"/>
        <v>0</v>
      </c>
      <c r="Z187" s="134"/>
    </row>
    <row r="188" spans="1:26" ht="33.75" hidden="1" customHeight="1" thickTop="1" thickBot="1" x14ac:dyDescent="0.25">
      <c r="A188" s="42"/>
      <c r="B188" s="43" t="s">
        <v>189</v>
      </c>
      <c r="C188" s="44" t="s">
        <v>151</v>
      </c>
      <c r="D188" s="210">
        <f t="shared" ref="D188:W188" si="40">D166+D187</f>
        <v>1711113.0249999999</v>
      </c>
      <c r="E188" s="210">
        <f t="shared" si="40"/>
        <v>466491.66</v>
      </c>
      <c r="F188" s="210">
        <f t="shared" si="40"/>
        <v>516843.53700000001</v>
      </c>
      <c r="G188" s="210">
        <f t="shared" si="40"/>
        <v>685</v>
      </c>
      <c r="H188" s="210">
        <f t="shared" si="40"/>
        <v>87741</v>
      </c>
      <c r="I188" s="210">
        <f t="shared" si="40"/>
        <v>0</v>
      </c>
      <c r="J188" s="210">
        <f t="shared" si="40"/>
        <v>0</v>
      </c>
      <c r="K188" s="210">
        <f t="shared" si="40"/>
        <v>0</v>
      </c>
      <c r="L188" s="210">
        <f t="shared" si="40"/>
        <v>180882</v>
      </c>
      <c r="M188" s="210">
        <f t="shared" si="40"/>
        <v>14400</v>
      </c>
      <c r="N188" s="210">
        <f t="shared" si="40"/>
        <v>0</v>
      </c>
      <c r="O188" s="210">
        <f t="shared" si="40"/>
        <v>5000</v>
      </c>
      <c r="P188" s="210">
        <f t="shared" si="40"/>
        <v>0</v>
      </c>
      <c r="Q188" s="210">
        <f t="shared" si="40"/>
        <v>0</v>
      </c>
      <c r="R188" s="210">
        <f t="shared" si="31"/>
        <v>2983156.2220000001</v>
      </c>
      <c r="S188" s="166"/>
      <c r="T188" s="166">
        <f>T166+T187</f>
        <v>0</v>
      </c>
      <c r="U188" s="166">
        <f>U166+U187</f>
        <v>0</v>
      </c>
      <c r="V188" s="169">
        <f t="shared" si="40"/>
        <v>0</v>
      </c>
      <c r="W188" s="166">
        <f t="shared" si="40"/>
        <v>0</v>
      </c>
      <c r="X188" s="169">
        <f t="shared" si="32"/>
        <v>0</v>
      </c>
      <c r="Y188" s="600">
        <f t="shared" si="33"/>
        <v>2983156.2220000001</v>
      </c>
      <c r="Z188" s="134"/>
    </row>
    <row r="189" spans="1:26" ht="24" hidden="1" customHeight="1" thickTop="1" x14ac:dyDescent="0.2">
      <c r="A189" s="213"/>
      <c r="B189" s="228"/>
      <c r="C189" s="229"/>
      <c r="D189" s="349"/>
      <c r="E189" s="552"/>
      <c r="F189" s="349"/>
      <c r="G189" s="349"/>
      <c r="H189" s="349"/>
      <c r="I189" s="349"/>
      <c r="J189" s="349"/>
      <c r="K189" s="349"/>
      <c r="L189" s="349"/>
      <c r="M189" s="349"/>
      <c r="N189" s="349"/>
      <c r="O189" s="349"/>
      <c r="P189" s="349"/>
      <c r="Q189" s="349"/>
      <c r="R189" s="552">
        <f t="shared" si="31"/>
        <v>0</v>
      </c>
      <c r="S189" s="349"/>
      <c r="T189" s="349"/>
      <c r="U189" s="349"/>
      <c r="V189" s="350"/>
      <c r="W189" s="349"/>
      <c r="X189" s="350">
        <f t="shared" si="32"/>
        <v>0</v>
      </c>
      <c r="Y189" s="564">
        <f t="shared" si="33"/>
        <v>0</v>
      </c>
      <c r="Z189" s="134"/>
    </row>
    <row r="190" spans="1:26" ht="24" hidden="1" customHeight="1" x14ac:dyDescent="0.2">
      <c r="A190" s="213"/>
      <c r="B190" s="228"/>
      <c r="C190" s="229"/>
      <c r="D190" s="349"/>
      <c r="E190" s="552"/>
      <c r="F190" s="349"/>
      <c r="G190" s="349"/>
      <c r="H190" s="349"/>
      <c r="I190" s="349"/>
      <c r="J190" s="349"/>
      <c r="K190" s="349"/>
      <c r="L190" s="349"/>
      <c r="M190" s="349"/>
      <c r="N190" s="349"/>
      <c r="O190" s="349"/>
      <c r="P190" s="349"/>
      <c r="Q190" s="349"/>
      <c r="R190" s="552">
        <f t="shared" si="31"/>
        <v>0</v>
      </c>
      <c r="S190" s="349"/>
      <c r="T190" s="349"/>
      <c r="U190" s="349"/>
      <c r="V190" s="350"/>
      <c r="W190" s="349"/>
      <c r="X190" s="350">
        <f t="shared" si="32"/>
        <v>0</v>
      </c>
      <c r="Y190" s="564">
        <f t="shared" si="33"/>
        <v>0</v>
      </c>
      <c r="Z190" s="134"/>
    </row>
    <row r="191" spans="1:26" ht="24" hidden="1" customHeight="1" x14ac:dyDescent="0.2">
      <c r="A191" s="26"/>
      <c r="B191" s="74" t="s">
        <v>85</v>
      </c>
      <c r="C191" s="39" t="s">
        <v>23</v>
      </c>
      <c r="D191" s="170"/>
      <c r="E191" s="553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553">
        <f t="shared" si="31"/>
        <v>0</v>
      </c>
      <c r="S191" s="170"/>
      <c r="T191" s="170"/>
      <c r="U191" s="170"/>
      <c r="V191" s="171"/>
      <c r="W191" s="170"/>
      <c r="X191" s="171">
        <f t="shared" si="32"/>
        <v>0</v>
      </c>
      <c r="Y191" s="562">
        <f t="shared" si="33"/>
        <v>0</v>
      </c>
    </row>
    <row r="192" spans="1:26" ht="24" hidden="1" customHeight="1" x14ac:dyDescent="0.25">
      <c r="A192" s="26"/>
      <c r="B192" s="91" t="s">
        <v>71</v>
      </c>
      <c r="C192" s="39" t="s">
        <v>23</v>
      </c>
      <c r="D192" s="170"/>
      <c r="E192" s="553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553">
        <f t="shared" si="31"/>
        <v>0</v>
      </c>
      <c r="S192" s="170"/>
      <c r="T192" s="170"/>
      <c r="U192" s="170"/>
      <c r="V192" s="171"/>
      <c r="W192" s="170"/>
      <c r="X192" s="171">
        <f t="shared" si="32"/>
        <v>0</v>
      </c>
      <c r="Y192" s="562">
        <f t="shared" si="33"/>
        <v>0</v>
      </c>
    </row>
    <row r="193" spans="1:26" ht="24" hidden="1" customHeight="1" x14ac:dyDescent="0.25">
      <c r="A193" s="26"/>
      <c r="B193" s="91" t="s">
        <v>53</v>
      </c>
      <c r="C193" s="39" t="s">
        <v>23</v>
      </c>
      <c r="D193" s="170"/>
      <c r="E193" s="553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553">
        <f t="shared" si="31"/>
        <v>0</v>
      </c>
      <c r="S193" s="170"/>
      <c r="T193" s="170"/>
      <c r="U193" s="170"/>
      <c r="V193" s="171"/>
      <c r="W193" s="170"/>
      <c r="X193" s="171">
        <f t="shared" si="32"/>
        <v>0</v>
      </c>
      <c r="Y193" s="562">
        <f t="shared" si="33"/>
        <v>0</v>
      </c>
    </row>
    <row r="194" spans="1:26" ht="24" hidden="1" customHeight="1" x14ac:dyDescent="0.25">
      <c r="A194" s="26"/>
      <c r="B194" s="91" t="s">
        <v>73</v>
      </c>
      <c r="C194" s="39" t="s">
        <v>23</v>
      </c>
      <c r="D194" s="170"/>
      <c r="E194" s="553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553">
        <f t="shared" si="31"/>
        <v>0</v>
      </c>
      <c r="S194" s="170"/>
      <c r="T194" s="170"/>
      <c r="U194" s="170"/>
      <c r="V194" s="171"/>
      <c r="W194" s="170"/>
      <c r="X194" s="171">
        <f t="shared" si="32"/>
        <v>0</v>
      </c>
      <c r="Y194" s="562">
        <f t="shared" si="33"/>
        <v>0</v>
      </c>
    </row>
    <row r="195" spans="1:26" ht="24" hidden="1" customHeight="1" x14ac:dyDescent="0.25">
      <c r="A195" s="26"/>
      <c r="B195" s="91" t="s">
        <v>92</v>
      </c>
      <c r="C195" s="39" t="s">
        <v>23</v>
      </c>
      <c r="D195" s="170"/>
      <c r="E195" s="553"/>
      <c r="F195" s="170"/>
      <c r="G195" s="170"/>
      <c r="H195" s="170"/>
      <c r="I195" s="170"/>
      <c r="J195" s="170"/>
      <c r="K195" s="170"/>
      <c r="L195" s="170"/>
      <c r="M195" s="170"/>
      <c r="N195" s="170"/>
      <c r="O195" s="170"/>
      <c r="P195" s="170"/>
      <c r="Q195" s="170"/>
      <c r="R195" s="553">
        <f t="shared" si="31"/>
        <v>0</v>
      </c>
      <c r="S195" s="170"/>
      <c r="T195" s="170"/>
      <c r="U195" s="170"/>
      <c r="V195" s="171"/>
      <c r="W195" s="170"/>
      <c r="X195" s="171">
        <f t="shared" si="32"/>
        <v>0</v>
      </c>
      <c r="Y195" s="562">
        <f t="shared" si="33"/>
        <v>0</v>
      </c>
    </row>
    <row r="196" spans="1:26" ht="24" hidden="1" customHeight="1" thickBot="1" x14ac:dyDescent="0.25">
      <c r="A196" s="82"/>
      <c r="B196" s="84"/>
      <c r="C196" s="41"/>
      <c r="D196" s="159"/>
      <c r="E196" s="164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64">
        <f t="shared" si="31"/>
        <v>0</v>
      </c>
      <c r="S196" s="159"/>
      <c r="T196" s="159"/>
      <c r="U196" s="159"/>
      <c r="V196" s="165"/>
      <c r="W196" s="159"/>
      <c r="X196" s="165">
        <f t="shared" si="32"/>
        <v>0</v>
      </c>
      <c r="Y196" s="562">
        <f t="shared" si="33"/>
        <v>0</v>
      </c>
    </row>
    <row r="197" spans="1:26" ht="24" hidden="1" customHeight="1" thickTop="1" thickBot="1" x14ac:dyDescent="0.25">
      <c r="A197" s="47"/>
      <c r="B197" s="90"/>
      <c r="C197" s="44" t="s">
        <v>31</v>
      </c>
      <c r="D197" s="166">
        <f t="shared" ref="D197:P197" si="41">SUM(D191:D196)</f>
        <v>0</v>
      </c>
      <c r="E197" s="538">
        <f t="shared" si="41"/>
        <v>0</v>
      </c>
      <c r="F197" s="166">
        <f t="shared" si="41"/>
        <v>0</v>
      </c>
      <c r="G197" s="166">
        <f t="shared" si="41"/>
        <v>0</v>
      </c>
      <c r="H197" s="166">
        <f t="shared" si="41"/>
        <v>0</v>
      </c>
      <c r="I197" s="166">
        <f t="shared" si="41"/>
        <v>0</v>
      </c>
      <c r="J197" s="166">
        <f t="shared" si="41"/>
        <v>0</v>
      </c>
      <c r="K197" s="166">
        <f t="shared" si="41"/>
        <v>0</v>
      </c>
      <c r="L197" s="166">
        <f t="shared" si="41"/>
        <v>0</v>
      </c>
      <c r="M197" s="166">
        <f t="shared" si="41"/>
        <v>0</v>
      </c>
      <c r="N197" s="166">
        <f t="shared" si="41"/>
        <v>0</v>
      </c>
      <c r="O197" s="166">
        <f t="shared" si="41"/>
        <v>0</v>
      </c>
      <c r="P197" s="166">
        <f t="shared" si="41"/>
        <v>0</v>
      </c>
      <c r="Q197" s="166">
        <f t="shared" ref="Q197:W197" si="42">SUM(Q191:Q196)</f>
        <v>0</v>
      </c>
      <c r="R197" s="538">
        <f t="shared" si="31"/>
        <v>0</v>
      </c>
      <c r="S197" s="166"/>
      <c r="T197" s="166">
        <f t="shared" si="42"/>
        <v>0</v>
      </c>
      <c r="U197" s="166">
        <f t="shared" si="42"/>
        <v>0</v>
      </c>
      <c r="V197" s="169">
        <f t="shared" si="42"/>
        <v>0</v>
      </c>
      <c r="W197" s="166">
        <f t="shared" si="42"/>
        <v>0</v>
      </c>
      <c r="X197" s="169">
        <f t="shared" si="32"/>
        <v>0</v>
      </c>
      <c r="Y197" s="563">
        <f t="shared" si="33"/>
        <v>0</v>
      </c>
    </row>
    <row r="198" spans="1:26" ht="9.9499999999999993" hidden="1" customHeight="1" thickTop="1" x14ac:dyDescent="0.2">
      <c r="A198" s="192"/>
      <c r="B198" s="193"/>
      <c r="C198" s="194"/>
      <c r="D198" s="195"/>
      <c r="E198" s="554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  <c r="R198" s="554">
        <f t="shared" si="31"/>
        <v>0</v>
      </c>
      <c r="S198" s="195"/>
      <c r="T198" s="195"/>
      <c r="U198" s="195"/>
      <c r="V198" s="195"/>
      <c r="W198" s="454"/>
      <c r="X198" s="195">
        <f t="shared" si="32"/>
        <v>0</v>
      </c>
      <c r="Y198" s="565">
        <f t="shared" si="33"/>
        <v>0</v>
      </c>
    </row>
    <row r="199" spans="1:26" ht="24" hidden="1" customHeight="1" x14ac:dyDescent="0.2">
      <c r="A199" s="197"/>
      <c r="B199" s="198"/>
      <c r="C199" s="206" t="s">
        <v>69</v>
      </c>
      <c r="D199" s="199"/>
      <c r="E199" s="555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555">
        <f t="shared" si="31"/>
        <v>0</v>
      </c>
      <c r="S199" s="199"/>
      <c r="T199" s="199"/>
      <c r="U199" s="199"/>
      <c r="V199" s="199"/>
      <c r="W199" s="455"/>
      <c r="X199" s="199">
        <f t="shared" si="32"/>
        <v>0</v>
      </c>
      <c r="Y199" s="566">
        <f t="shared" si="33"/>
        <v>0</v>
      </c>
    </row>
    <row r="200" spans="1:26" ht="9.9499999999999993" hidden="1" customHeight="1" thickBot="1" x14ac:dyDescent="0.25">
      <c r="A200" s="201"/>
      <c r="B200" s="202"/>
      <c r="C200" s="203"/>
      <c r="D200" s="204"/>
      <c r="E200" s="556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556">
        <f t="shared" si="31"/>
        <v>0</v>
      </c>
      <c r="S200" s="204"/>
      <c r="T200" s="204"/>
      <c r="U200" s="204"/>
      <c r="V200" s="204"/>
      <c r="W200" s="457"/>
      <c r="X200" s="204">
        <f t="shared" si="32"/>
        <v>0</v>
      </c>
      <c r="Y200" s="567">
        <f t="shared" si="33"/>
        <v>0</v>
      </c>
    </row>
    <row r="201" spans="1:26" ht="24" hidden="1" customHeight="1" thickTop="1" thickBot="1" x14ac:dyDescent="0.25">
      <c r="A201" s="92"/>
      <c r="B201" s="43" t="s">
        <v>95</v>
      </c>
      <c r="C201" s="44" t="s">
        <v>151</v>
      </c>
      <c r="D201" s="172">
        <f>D188+D197</f>
        <v>1711113.0249999999</v>
      </c>
      <c r="E201" s="557">
        <f t="shared" ref="E201:W201" si="43">E188+E197</f>
        <v>466491.66</v>
      </c>
      <c r="F201" s="172">
        <f t="shared" si="43"/>
        <v>516843.53700000001</v>
      </c>
      <c r="G201" s="172">
        <f t="shared" si="43"/>
        <v>685</v>
      </c>
      <c r="H201" s="172">
        <f t="shared" si="43"/>
        <v>87741</v>
      </c>
      <c r="I201" s="172">
        <f t="shared" si="43"/>
        <v>0</v>
      </c>
      <c r="J201" s="172">
        <f t="shared" si="43"/>
        <v>0</v>
      </c>
      <c r="K201" s="172">
        <f t="shared" si="43"/>
        <v>0</v>
      </c>
      <c r="L201" s="172">
        <f t="shared" si="43"/>
        <v>180882</v>
      </c>
      <c r="M201" s="172">
        <f t="shared" si="43"/>
        <v>14400</v>
      </c>
      <c r="N201" s="172">
        <f t="shared" si="43"/>
        <v>0</v>
      </c>
      <c r="O201" s="172">
        <f t="shared" si="43"/>
        <v>5000</v>
      </c>
      <c r="P201" s="172">
        <f t="shared" si="43"/>
        <v>0</v>
      </c>
      <c r="Q201" s="172">
        <f t="shared" si="43"/>
        <v>0</v>
      </c>
      <c r="R201" s="557">
        <f t="shared" si="31"/>
        <v>2983156.2220000001</v>
      </c>
      <c r="S201" s="172"/>
      <c r="T201" s="172">
        <f>T188+T197</f>
        <v>0</v>
      </c>
      <c r="U201" s="172">
        <f>U188+U197</f>
        <v>0</v>
      </c>
      <c r="V201" s="384">
        <f t="shared" si="43"/>
        <v>0</v>
      </c>
      <c r="W201" s="183">
        <f t="shared" si="43"/>
        <v>0</v>
      </c>
      <c r="X201" s="172">
        <f t="shared" si="32"/>
        <v>0</v>
      </c>
      <c r="Y201" s="400">
        <f t="shared" si="33"/>
        <v>2983156.2220000001</v>
      </c>
      <c r="Z201" s="134"/>
    </row>
    <row r="202" spans="1:26" ht="24" hidden="1" customHeight="1" thickTop="1" thickBot="1" x14ac:dyDescent="0.25">
      <c r="A202" s="42"/>
      <c r="B202" s="111"/>
      <c r="C202" s="407" t="s">
        <v>18</v>
      </c>
      <c r="D202" s="408">
        <f t="shared" ref="D202:P202" si="44">D201</f>
        <v>1711113.0249999999</v>
      </c>
      <c r="E202" s="558">
        <f t="shared" si="44"/>
        <v>466491.66</v>
      </c>
      <c r="F202" s="408">
        <f t="shared" si="44"/>
        <v>516843.53700000001</v>
      </c>
      <c r="G202" s="408">
        <f t="shared" si="44"/>
        <v>685</v>
      </c>
      <c r="H202" s="408">
        <f t="shared" si="44"/>
        <v>87741</v>
      </c>
      <c r="I202" s="408">
        <f t="shared" si="44"/>
        <v>0</v>
      </c>
      <c r="J202" s="408">
        <f t="shared" si="44"/>
        <v>0</v>
      </c>
      <c r="K202" s="408">
        <f t="shared" si="44"/>
        <v>0</v>
      </c>
      <c r="L202" s="408">
        <f t="shared" si="44"/>
        <v>180882</v>
      </c>
      <c r="M202" s="408">
        <f t="shared" si="44"/>
        <v>14400</v>
      </c>
      <c r="N202" s="408">
        <f t="shared" si="44"/>
        <v>0</v>
      </c>
      <c r="O202" s="408">
        <f t="shared" si="44"/>
        <v>5000</v>
      </c>
      <c r="P202" s="408">
        <f t="shared" si="44"/>
        <v>0</v>
      </c>
      <c r="Q202" s="408">
        <f>Q201</f>
        <v>0</v>
      </c>
      <c r="R202" s="558">
        <f t="shared" si="31"/>
        <v>2983156.2220000001</v>
      </c>
      <c r="S202" s="408"/>
      <c r="T202" s="408">
        <f>T201</f>
        <v>0</v>
      </c>
      <c r="U202" s="408">
        <f>U201</f>
        <v>0</v>
      </c>
      <c r="V202" s="500">
        <f>V201</f>
        <v>0</v>
      </c>
      <c r="W202" s="408">
        <f>W201</f>
        <v>0</v>
      </c>
      <c r="X202" s="500">
        <f t="shared" si="32"/>
        <v>0</v>
      </c>
      <c r="Y202" s="568">
        <f t="shared" si="33"/>
        <v>2983156.2220000001</v>
      </c>
    </row>
    <row r="203" spans="1:26" ht="20.100000000000001" hidden="1" customHeight="1" thickTop="1" x14ac:dyDescent="0.2">
      <c r="A203" s="82">
        <v>1</v>
      </c>
      <c r="B203" s="120"/>
      <c r="C203" s="28"/>
      <c r="D203" s="164"/>
      <c r="E203" s="164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64">
        <f t="shared" si="31"/>
        <v>0</v>
      </c>
      <c r="S203" s="159"/>
      <c r="T203" s="159"/>
      <c r="U203" s="159"/>
      <c r="V203" s="165"/>
      <c r="W203" s="159"/>
      <c r="X203" s="165">
        <f t="shared" si="32"/>
        <v>0</v>
      </c>
      <c r="Y203" s="562">
        <f t="shared" si="33"/>
        <v>0</v>
      </c>
    </row>
    <row r="204" spans="1:26" ht="20.100000000000001" hidden="1" customHeight="1" x14ac:dyDescent="0.2">
      <c r="A204" s="231">
        <v>2</v>
      </c>
      <c r="B204" s="120"/>
      <c r="C204" s="28"/>
      <c r="D204" s="164"/>
      <c r="E204" s="164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64">
        <f t="shared" si="31"/>
        <v>0</v>
      </c>
      <c r="S204" s="159"/>
      <c r="T204" s="159"/>
      <c r="U204" s="159"/>
      <c r="V204" s="165"/>
      <c r="W204" s="159"/>
      <c r="X204" s="165">
        <f t="shared" si="32"/>
        <v>0</v>
      </c>
      <c r="Y204" s="562">
        <f t="shared" si="33"/>
        <v>0</v>
      </c>
    </row>
    <row r="205" spans="1:26" ht="20.100000000000001" hidden="1" customHeight="1" x14ac:dyDescent="0.2">
      <c r="A205" s="82">
        <v>3</v>
      </c>
      <c r="B205" s="120"/>
      <c r="C205" s="28"/>
      <c r="D205" s="164"/>
      <c r="E205" s="164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64">
        <f t="shared" si="31"/>
        <v>0</v>
      </c>
      <c r="S205" s="159"/>
      <c r="T205" s="159"/>
      <c r="U205" s="159"/>
      <c r="V205" s="165"/>
      <c r="W205" s="159"/>
      <c r="X205" s="165">
        <f t="shared" si="32"/>
        <v>0</v>
      </c>
      <c r="Y205" s="562">
        <f t="shared" si="33"/>
        <v>0</v>
      </c>
    </row>
    <row r="206" spans="1:26" ht="20.100000000000001" hidden="1" customHeight="1" x14ac:dyDescent="0.2">
      <c r="A206" s="231">
        <v>4</v>
      </c>
      <c r="B206" s="120"/>
      <c r="C206" s="28"/>
      <c r="D206" s="164"/>
      <c r="E206" s="164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64">
        <f t="shared" si="31"/>
        <v>0</v>
      </c>
      <c r="S206" s="159"/>
      <c r="T206" s="159"/>
      <c r="U206" s="159"/>
      <c r="V206" s="165"/>
      <c r="W206" s="159"/>
      <c r="X206" s="165">
        <f t="shared" si="32"/>
        <v>0</v>
      </c>
      <c r="Y206" s="562">
        <f t="shared" si="33"/>
        <v>0</v>
      </c>
    </row>
    <row r="207" spans="1:26" ht="20.100000000000001" hidden="1" customHeight="1" x14ac:dyDescent="0.2">
      <c r="A207" s="82">
        <v>5</v>
      </c>
      <c r="B207" s="120"/>
      <c r="C207" s="28"/>
      <c r="D207" s="159"/>
      <c r="E207" s="164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64">
        <f t="shared" si="31"/>
        <v>0</v>
      </c>
      <c r="S207" s="159"/>
      <c r="T207" s="159"/>
      <c r="U207" s="159"/>
      <c r="V207" s="165"/>
      <c r="W207" s="159"/>
      <c r="X207" s="165">
        <f t="shared" si="32"/>
        <v>0</v>
      </c>
      <c r="Y207" s="562">
        <f t="shared" si="33"/>
        <v>0</v>
      </c>
    </row>
    <row r="208" spans="1:26" ht="20.100000000000001" hidden="1" customHeight="1" x14ac:dyDescent="0.2">
      <c r="A208" s="231">
        <v>6</v>
      </c>
      <c r="B208" s="344"/>
      <c r="C208" s="88"/>
      <c r="D208" s="159"/>
      <c r="E208" s="164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64">
        <f t="shared" si="31"/>
        <v>0</v>
      </c>
      <c r="S208" s="159"/>
      <c r="T208" s="159"/>
      <c r="U208" s="159"/>
      <c r="V208" s="165"/>
      <c r="W208" s="159"/>
      <c r="X208" s="165">
        <f t="shared" si="32"/>
        <v>0</v>
      </c>
      <c r="Y208" s="562">
        <f t="shared" si="33"/>
        <v>0</v>
      </c>
    </row>
    <row r="209" spans="1:25" ht="20.100000000000001" hidden="1" customHeight="1" x14ac:dyDescent="0.2">
      <c r="A209" s="82">
        <v>7</v>
      </c>
      <c r="B209" s="409"/>
      <c r="C209" s="88"/>
      <c r="D209" s="159"/>
      <c r="E209" s="164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64">
        <f t="shared" si="31"/>
        <v>0</v>
      </c>
      <c r="S209" s="159"/>
      <c r="T209" s="159"/>
      <c r="U209" s="159"/>
      <c r="V209" s="165"/>
      <c r="W209" s="159"/>
      <c r="X209" s="165">
        <f t="shared" si="32"/>
        <v>0</v>
      </c>
      <c r="Y209" s="562">
        <f t="shared" si="33"/>
        <v>0</v>
      </c>
    </row>
    <row r="210" spans="1:25" ht="20.100000000000001" hidden="1" customHeight="1" x14ac:dyDescent="0.2">
      <c r="A210" s="231">
        <v>8</v>
      </c>
      <c r="B210" s="409"/>
      <c r="C210" s="28"/>
      <c r="D210" s="159"/>
      <c r="E210" s="164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64">
        <f t="shared" si="31"/>
        <v>0</v>
      </c>
      <c r="S210" s="159"/>
      <c r="T210" s="159"/>
      <c r="U210" s="159"/>
      <c r="V210" s="165"/>
      <c r="W210" s="159"/>
      <c r="X210" s="165">
        <f t="shared" si="32"/>
        <v>0</v>
      </c>
      <c r="Y210" s="562">
        <f t="shared" si="33"/>
        <v>0</v>
      </c>
    </row>
    <row r="211" spans="1:25" ht="20.100000000000001" hidden="1" customHeight="1" thickTop="1" x14ac:dyDescent="0.2">
      <c r="A211" s="82">
        <v>9</v>
      </c>
      <c r="B211" s="120"/>
      <c r="C211" s="28"/>
      <c r="D211" s="159"/>
      <c r="E211" s="164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64">
        <f t="shared" si="31"/>
        <v>0</v>
      </c>
      <c r="S211" s="159"/>
      <c r="T211" s="159"/>
      <c r="U211" s="159"/>
      <c r="V211" s="165"/>
      <c r="W211" s="159"/>
      <c r="X211" s="165">
        <f t="shared" si="32"/>
        <v>0</v>
      </c>
      <c r="Y211" s="562">
        <f t="shared" si="33"/>
        <v>0</v>
      </c>
    </row>
    <row r="212" spans="1:25" ht="20.100000000000001" hidden="1" customHeight="1" x14ac:dyDescent="0.2">
      <c r="A212" s="231">
        <v>10</v>
      </c>
      <c r="B212" s="120"/>
      <c r="C212" s="33"/>
      <c r="D212" s="159"/>
      <c r="E212" s="164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64">
        <f t="shared" si="31"/>
        <v>0</v>
      </c>
      <c r="S212" s="159"/>
      <c r="T212" s="159"/>
      <c r="U212" s="159"/>
      <c r="V212" s="165"/>
      <c r="W212" s="159"/>
      <c r="X212" s="165">
        <f t="shared" si="32"/>
        <v>0</v>
      </c>
      <c r="Y212" s="562">
        <f t="shared" si="33"/>
        <v>0</v>
      </c>
    </row>
    <row r="213" spans="1:25" ht="20.100000000000001" hidden="1" customHeight="1" x14ac:dyDescent="0.2">
      <c r="A213" s="82">
        <v>11</v>
      </c>
      <c r="B213" s="120"/>
      <c r="C213" s="33"/>
      <c r="D213" s="159"/>
      <c r="E213" s="164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64">
        <f t="shared" si="31"/>
        <v>0</v>
      </c>
      <c r="S213" s="159"/>
      <c r="T213" s="159"/>
      <c r="U213" s="159"/>
      <c r="V213" s="165"/>
      <c r="W213" s="159"/>
      <c r="X213" s="165">
        <f t="shared" si="32"/>
        <v>0</v>
      </c>
      <c r="Y213" s="562">
        <f t="shared" si="33"/>
        <v>0</v>
      </c>
    </row>
    <row r="214" spans="1:25" ht="20.100000000000001" hidden="1" customHeight="1" x14ac:dyDescent="0.2">
      <c r="A214" s="231">
        <v>12</v>
      </c>
      <c r="B214" s="120"/>
      <c r="C214" s="33"/>
      <c r="D214" s="159"/>
      <c r="E214" s="164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64">
        <f t="shared" si="31"/>
        <v>0</v>
      </c>
      <c r="S214" s="159"/>
      <c r="T214" s="159"/>
      <c r="U214" s="159"/>
      <c r="V214" s="165"/>
      <c r="W214" s="159"/>
      <c r="X214" s="165">
        <f t="shared" si="32"/>
        <v>0</v>
      </c>
      <c r="Y214" s="562">
        <f t="shared" si="33"/>
        <v>0</v>
      </c>
    </row>
    <row r="215" spans="1:25" ht="20.100000000000001" hidden="1" customHeight="1" x14ac:dyDescent="0.2">
      <c r="A215" s="82">
        <v>13</v>
      </c>
      <c r="B215" s="409"/>
      <c r="C215" s="33"/>
      <c r="D215" s="159"/>
      <c r="E215" s="164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64">
        <f t="shared" si="31"/>
        <v>0</v>
      </c>
      <c r="S215" s="159"/>
      <c r="T215" s="159"/>
      <c r="U215" s="159"/>
      <c r="V215" s="165"/>
      <c r="W215" s="159"/>
      <c r="X215" s="165">
        <f t="shared" si="32"/>
        <v>0</v>
      </c>
      <c r="Y215" s="562">
        <f t="shared" si="33"/>
        <v>0</v>
      </c>
    </row>
    <row r="216" spans="1:25" ht="20.100000000000001" hidden="1" customHeight="1" x14ac:dyDescent="0.2">
      <c r="A216" s="231">
        <v>14</v>
      </c>
      <c r="B216" s="120"/>
      <c r="C216" s="28"/>
      <c r="D216" s="159"/>
      <c r="E216" s="164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64">
        <f t="shared" si="31"/>
        <v>0</v>
      </c>
      <c r="S216" s="159"/>
      <c r="T216" s="159"/>
      <c r="U216" s="159"/>
      <c r="V216" s="165"/>
      <c r="W216" s="159"/>
      <c r="X216" s="165">
        <f t="shared" si="32"/>
        <v>0</v>
      </c>
      <c r="Y216" s="562">
        <f t="shared" si="33"/>
        <v>0</v>
      </c>
    </row>
    <row r="217" spans="1:25" ht="20.100000000000001" hidden="1" customHeight="1" x14ac:dyDescent="0.2">
      <c r="A217" s="82">
        <v>15</v>
      </c>
      <c r="B217" s="409"/>
      <c r="C217" s="33"/>
      <c r="D217" s="159"/>
      <c r="E217" s="164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64">
        <f t="shared" si="31"/>
        <v>0</v>
      </c>
      <c r="S217" s="159"/>
      <c r="T217" s="159"/>
      <c r="U217" s="159"/>
      <c r="V217" s="165"/>
      <c r="W217" s="159"/>
      <c r="X217" s="165">
        <f t="shared" si="32"/>
        <v>0</v>
      </c>
      <c r="Y217" s="562">
        <f t="shared" si="33"/>
        <v>0</v>
      </c>
    </row>
    <row r="218" spans="1:25" ht="20.100000000000001" hidden="1" customHeight="1" x14ac:dyDescent="0.2">
      <c r="A218" s="231">
        <v>16</v>
      </c>
      <c r="B218" s="409"/>
      <c r="C218" s="28"/>
      <c r="D218" s="159"/>
      <c r="E218" s="164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64">
        <f t="shared" si="31"/>
        <v>0</v>
      </c>
      <c r="S218" s="159"/>
      <c r="T218" s="159"/>
      <c r="U218" s="159"/>
      <c r="V218" s="165"/>
      <c r="W218" s="159"/>
      <c r="X218" s="165">
        <f t="shared" si="32"/>
        <v>0</v>
      </c>
      <c r="Y218" s="562">
        <f t="shared" si="33"/>
        <v>0</v>
      </c>
    </row>
    <row r="219" spans="1:25" ht="20.100000000000001" hidden="1" customHeight="1" x14ac:dyDescent="0.2">
      <c r="A219" s="82"/>
      <c r="B219" s="30"/>
      <c r="C219" s="28"/>
      <c r="D219" s="159"/>
      <c r="E219" s="164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64">
        <f t="shared" si="31"/>
        <v>0</v>
      </c>
      <c r="S219" s="159"/>
      <c r="T219" s="159"/>
      <c r="U219" s="159"/>
      <c r="V219" s="165"/>
      <c r="W219" s="159"/>
      <c r="X219" s="165">
        <f t="shared" si="32"/>
        <v>0</v>
      </c>
      <c r="Y219" s="562">
        <f t="shared" si="33"/>
        <v>0</v>
      </c>
    </row>
    <row r="220" spans="1:25" ht="20.100000000000001" hidden="1" customHeight="1" x14ac:dyDescent="0.2">
      <c r="A220" s="216" t="s">
        <v>89</v>
      </c>
      <c r="B220" s="212"/>
      <c r="C220" s="217" t="s">
        <v>87</v>
      </c>
      <c r="D220" s="159">
        <f t="shared" ref="D220:W220" si="45">SUM(D203:D219)</f>
        <v>0</v>
      </c>
      <c r="E220" s="164">
        <f t="shared" si="45"/>
        <v>0</v>
      </c>
      <c r="F220" s="159">
        <f t="shared" si="45"/>
        <v>0</v>
      </c>
      <c r="G220" s="159">
        <f t="shared" si="45"/>
        <v>0</v>
      </c>
      <c r="H220" s="159">
        <f t="shared" si="45"/>
        <v>0</v>
      </c>
      <c r="I220" s="159">
        <f t="shared" si="45"/>
        <v>0</v>
      </c>
      <c r="J220" s="159">
        <f t="shared" si="45"/>
        <v>0</v>
      </c>
      <c r="K220" s="159">
        <f t="shared" si="45"/>
        <v>0</v>
      </c>
      <c r="L220" s="159">
        <f t="shared" si="45"/>
        <v>0</v>
      </c>
      <c r="M220" s="159">
        <f t="shared" si="45"/>
        <v>0</v>
      </c>
      <c r="N220" s="159">
        <f t="shared" si="45"/>
        <v>0</v>
      </c>
      <c r="O220" s="159">
        <f t="shared" si="45"/>
        <v>0</v>
      </c>
      <c r="P220" s="159">
        <f t="shared" si="45"/>
        <v>0</v>
      </c>
      <c r="Q220" s="159">
        <f t="shared" si="45"/>
        <v>0</v>
      </c>
      <c r="R220" s="164">
        <f t="shared" si="31"/>
        <v>0</v>
      </c>
      <c r="S220" s="159"/>
      <c r="T220" s="159">
        <f t="shared" si="45"/>
        <v>0</v>
      </c>
      <c r="U220" s="159">
        <f t="shared" si="45"/>
        <v>0</v>
      </c>
      <c r="V220" s="165">
        <f t="shared" si="45"/>
        <v>0</v>
      </c>
      <c r="W220" s="159">
        <f t="shared" si="45"/>
        <v>0</v>
      </c>
      <c r="X220" s="165">
        <f t="shared" si="32"/>
        <v>0</v>
      </c>
      <c r="Y220" s="562">
        <f t="shared" si="33"/>
        <v>0</v>
      </c>
    </row>
    <row r="221" spans="1:25" ht="20.100000000000001" hidden="1" customHeight="1" x14ac:dyDescent="0.25">
      <c r="A221" s="82"/>
      <c r="D221" s="159"/>
      <c r="E221" s="164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64">
        <f t="shared" si="31"/>
        <v>0</v>
      </c>
      <c r="S221" s="159"/>
      <c r="T221" s="159"/>
      <c r="U221" s="159"/>
      <c r="V221" s="165"/>
      <c r="W221" s="159"/>
      <c r="X221" s="165">
        <f t="shared" si="32"/>
        <v>0</v>
      </c>
      <c r="Y221" s="562">
        <f t="shared" si="33"/>
        <v>0</v>
      </c>
    </row>
    <row r="222" spans="1:25" ht="20.100000000000001" hidden="1" customHeight="1" x14ac:dyDescent="0.2">
      <c r="A222" s="231" t="s">
        <v>114</v>
      </c>
      <c r="B222" s="45"/>
      <c r="C222" s="28"/>
      <c r="D222" s="159"/>
      <c r="E222" s="164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64">
        <f t="shared" si="31"/>
        <v>0</v>
      </c>
      <c r="S222" s="159"/>
      <c r="T222" s="159"/>
      <c r="U222" s="159"/>
      <c r="V222" s="165"/>
      <c r="W222" s="159"/>
      <c r="X222" s="165">
        <f t="shared" si="32"/>
        <v>0</v>
      </c>
      <c r="Y222" s="562">
        <f t="shared" si="33"/>
        <v>0</v>
      </c>
    </row>
    <row r="223" spans="1:25" ht="20.100000000000001" hidden="1" customHeight="1" thickTop="1" x14ac:dyDescent="0.2">
      <c r="A223" s="231" t="s">
        <v>114</v>
      </c>
      <c r="B223" s="45"/>
      <c r="C223" s="41"/>
      <c r="D223" s="159"/>
      <c r="E223" s="164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64">
        <f t="shared" si="31"/>
        <v>0</v>
      </c>
      <c r="S223" s="159"/>
      <c r="T223" s="159"/>
      <c r="U223" s="159"/>
      <c r="V223" s="165"/>
      <c r="W223" s="159"/>
      <c r="X223" s="165">
        <f t="shared" si="32"/>
        <v>0</v>
      </c>
      <c r="Y223" s="562">
        <f t="shared" si="33"/>
        <v>0</v>
      </c>
    </row>
    <row r="224" spans="1:25" ht="20.100000000000001" hidden="1" customHeight="1" x14ac:dyDescent="0.2">
      <c r="A224" s="231" t="s">
        <v>114</v>
      </c>
      <c r="B224" s="31"/>
      <c r="C224" s="41"/>
      <c r="D224" s="159"/>
      <c r="E224" s="164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64">
        <f t="shared" si="31"/>
        <v>0</v>
      </c>
      <c r="S224" s="159"/>
      <c r="T224" s="159"/>
      <c r="U224" s="159"/>
      <c r="V224" s="165"/>
      <c r="W224" s="159"/>
      <c r="X224" s="165">
        <f t="shared" si="32"/>
        <v>0</v>
      </c>
      <c r="Y224" s="562">
        <f t="shared" si="33"/>
        <v>0</v>
      </c>
    </row>
    <row r="225" spans="1:25" ht="20.100000000000001" hidden="1" customHeight="1" x14ac:dyDescent="0.2">
      <c r="A225" s="231" t="s">
        <v>114</v>
      </c>
      <c r="B225" s="233"/>
      <c r="C225" s="41"/>
      <c r="D225" s="159"/>
      <c r="E225" s="164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64">
        <f t="shared" si="31"/>
        <v>0</v>
      </c>
      <c r="S225" s="159"/>
      <c r="T225" s="159"/>
      <c r="U225" s="159"/>
      <c r="V225" s="165"/>
      <c r="W225" s="159"/>
      <c r="X225" s="165">
        <f t="shared" si="32"/>
        <v>0</v>
      </c>
      <c r="Y225" s="562">
        <f t="shared" si="33"/>
        <v>0</v>
      </c>
    </row>
    <row r="226" spans="1:25" ht="20.100000000000001" hidden="1" customHeight="1" x14ac:dyDescent="0.2">
      <c r="A226" s="231" t="s">
        <v>114</v>
      </c>
      <c r="B226" s="235"/>
      <c r="C226" s="34"/>
      <c r="D226" s="159"/>
      <c r="E226" s="164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64">
        <f t="shared" si="31"/>
        <v>0</v>
      </c>
      <c r="S226" s="159"/>
      <c r="T226" s="159"/>
      <c r="U226" s="159"/>
      <c r="V226" s="165"/>
      <c r="W226" s="159"/>
      <c r="X226" s="165">
        <f t="shared" si="32"/>
        <v>0</v>
      </c>
      <c r="Y226" s="562">
        <f t="shared" si="33"/>
        <v>0</v>
      </c>
    </row>
    <row r="227" spans="1:25" ht="20.100000000000001" hidden="1" customHeight="1" x14ac:dyDescent="0.2">
      <c r="A227" s="231" t="s">
        <v>114</v>
      </c>
      <c r="B227" s="307"/>
      <c r="C227" s="34"/>
      <c r="D227" s="159"/>
      <c r="E227" s="164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64">
        <f t="shared" si="31"/>
        <v>0</v>
      </c>
      <c r="S227" s="159"/>
      <c r="T227" s="159"/>
      <c r="U227" s="159"/>
      <c r="V227" s="165"/>
      <c r="W227" s="159"/>
      <c r="X227" s="165">
        <f t="shared" si="32"/>
        <v>0</v>
      </c>
      <c r="Y227" s="562">
        <f t="shared" si="33"/>
        <v>0</v>
      </c>
    </row>
    <row r="228" spans="1:25" ht="20.100000000000001" hidden="1" customHeight="1" x14ac:dyDescent="0.2">
      <c r="A228" s="231" t="s">
        <v>114</v>
      </c>
      <c r="B228" s="299"/>
      <c r="C228" s="34"/>
      <c r="D228" s="159"/>
      <c r="E228" s="164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64">
        <f t="shared" si="31"/>
        <v>0</v>
      </c>
      <c r="S228" s="159"/>
      <c r="T228" s="159"/>
      <c r="U228" s="159"/>
      <c r="V228" s="165"/>
      <c r="W228" s="159"/>
      <c r="X228" s="165">
        <f t="shared" si="32"/>
        <v>0</v>
      </c>
      <c r="Y228" s="562">
        <f t="shared" si="33"/>
        <v>0</v>
      </c>
    </row>
    <row r="229" spans="1:25" ht="20.100000000000001" hidden="1" customHeight="1" x14ac:dyDescent="0.2">
      <c r="A229" s="231" t="s">
        <v>114</v>
      </c>
      <c r="B229" s="299"/>
      <c r="C229" s="34"/>
      <c r="D229" s="159"/>
      <c r="E229" s="164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64">
        <f t="shared" ref="R229:R240" si="46">SUM(D229:Q229)</f>
        <v>0</v>
      </c>
      <c r="S229" s="159"/>
      <c r="T229" s="159"/>
      <c r="U229" s="159"/>
      <c r="V229" s="165"/>
      <c r="W229" s="159"/>
      <c r="X229" s="165">
        <f t="shared" ref="X229:X240" si="47">SUM(T229:W229)</f>
        <v>0</v>
      </c>
      <c r="Y229" s="562">
        <f t="shared" ref="Y229:Y240" si="48">R229+X229</f>
        <v>0</v>
      </c>
    </row>
    <row r="230" spans="1:25" ht="20.100000000000001" hidden="1" customHeight="1" x14ac:dyDescent="0.2">
      <c r="A230" s="231" t="s">
        <v>114</v>
      </c>
      <c r="B230" s="307"/>
      <c r="C230" s="34"/>
      <c r="D230" s="159"/>
      <c r="E230" s="164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64">
        <f t="shared" si="46"/>
        <v>0</v>
      </c>
      <c r="S230" s="159"/>
      <c r="T230" s="159"/>
      <c r="U230" s="159"/>
      <c r="V230" s="165"/>
      <c r="W230" s="159"/>
      <c r="X230" s="165">
        <f t="shared" si="47"/>
        <v>0</v>
      </c>
      <c r="Y230" s="562">
        <f t="shared" si="48"/>
        <v>0</v>
      </c>
    </row>
    <row r="231" spans="1:25" ht="20.100000000000001" hidden="1" customHeight="1" x14ac:dyDescent="0.2">
      <c r="A231" s="231" t="s">
        <v>114</v>
      </c>
      <c r="B231" s="307"/>
      <c r="C231" s="34"/>
      <c r="D231" s="159"/>
      <c r="E231" s="164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64">
        <f t="shared" si="46"/>
        <v>0</v>
      </c>
      <c r="S231" s="159"/>
      <c r="T231" s="159"/>
      <c r="U231" s="159"/>
      <c r="V231" s="165"/>
      <c r="W231" s="159"/>
      <c r="X231" s="165">
        <f t="shared" si="47"/>
        <v>0</v>
      </c>
      <c r="Y231" s="562">
        <f t="shared" si="48"/>
        <v>0</v>
      </c>
    </row>
    <row r="232" spans="1:25" ht="20.100000000000001" hidden="1" customHeight="1" x14ac:dyDescent="0.2">
      <c r="A232" s="82"/>
      <c r="B232" s="299"/>
      <c r="C232" s="34"/>
      <c r="D232" s="159"/>
      <c r="E232" s="164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64">
        <f t="shared" si="46"/>
        <v>0</v>
      </c>
      <c r="S232" s="159"/>
      <c r="T232" s="159"/>
      <c r="U232" s="159"/>
      <c r="V232" s="165"/>
      <c r="W232" s="159"/>
      <c r="X232" s="165">
        <f t="shared" si="47"/>
        <v>0</v>
      </c>
      <c r="Y232" s="562">
        <f t="shared" si="48"/>
        <v>0</v>
      </c>
    </row>
    <row r="233" spans="1:25" ht="20.100000000000001" hidden="1" customHeight="1" x14ac:dyDescent="0.2">
      <c r="A233" s="82"/>
      <c r="B233" s="306"/>
      <c r="C233" s="34"/>
      <c r="D233" s="159"/>
      <c r="E233" s="164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64">
        <f t="shared" si="46"/>
        <v>0</v>
      </c>
      <c r="S233" s="159"/>
      <c r="T233" s="159"/>
      <c r="U233" s="159"/>
      <c r="V233" s="165"/>
      <c r="W233" s="159"/>
      <c r="X233" s="165">
        <f t="shared" si="47"/>
        <v>0</v>
      </c>
      <c r="Y233" s="562">
        <f t="shared" si="48"/>
        <v>0</v>
      </c>
    </row>
    <row r="234" spans="1:25" ht="20.100000000000001" hidden="1" customHeight="1" x14ac:dyDescent="0.2">
      <c r="A234" s="82"/>
      <c r="B234" s="306"/>
      <c r="C234" s="34"/>
      <c r="D234" s="159"/>
      <c r="E234" s="164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64">
        <f t="shared" si="46"/>
        <v>0</v>
      </c>
      <c r="S234" s="159"/>
      <c r="T234" s="159"/>
      <c r="U234" s="159"/>
      <c r="V234" s="165"/>
      <c r="W234" s="159"/>
      <c r="X234" s="165">
        <f t="shared" si="47"/>
        <v>0</v>
      </c>
      <c r="Y234" s="562">
        <f t="shared" si="48"/>
        <v>0</v>
      </c>
    </row>
    <row r="235" spans="1:25" ht="20.100000000000001" hidden="1" customHeight="1" thickTop="1" x14ac:dyDescent="0.2">
      <c r="A235" s="82"/>
      <c r="B235" s="126"/>
      <c r="C235" s="41"/>
      <c r="D235" s="159"/>
      <c r="E235" s="164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64">
        <f t="shared" si="46"/>
        <v>0</v>
      </c>
      <c r="S235" s="159"/>
      <c r="T235" s="159"/>
      <c r="U235" s="159"/>
      <c r="V235" s="165"/>
      <c r="W235" s="159"/>
      <c r="X235" s="165">
        <f t="shared" si="47"/>
        <v>0</v>
      </c>
      <c r="Y235" s="562">
        <f t="shared" si="48"/>
        <v>0</v>
      </c>
    </row>
    <row r="236" spans="1:25" ht="20.100000000000001" hidden="1" customHeight="1" x14ac:dyDescent="0.2">
      <c r="A236" s="216" t="s">
        <v>90</v>
      </c>
      <c r="B236" s="212"/>
      <c r="C236" s="217" t="s">
        <v>88</v>
      </c>
      <c r="D236" s="159">
        <f t="shared" ref="D236:W236" si="49">SUM(D222:D235)</f>
        <v>0</v>
      </c>
      <c r="E236" s="164">
        <f t="shared" si="49"/>
        <v>0</v>
      </c>
      <c r="F236" s="159">
        <f>SUM(F222:F235)</f>
        <v>0</v>
      </c>
      <c r="G236" s="159">
        <f t="shared" si="49"/>
        <v>0</v>
      </c>
      <c r="H236" s="159">
        <f t="shared" si="49"/>
        <v>0</v>
      </c>
      <c r="I236" s="159">
        <f t="shared" si="49"/>
        <v>0</v>
      </c>
      <c r="J236" s="159">
        <f t="shared" si="49"/>
        <v>0</v>
      </c>
      <c r="K236" s="159">
        <f t="shared" si="49"/>
        <v>0</v>
      </c>
      <c r="L236" s="159">
        <f t="shared" si="49"/>
        <v>0</v>
      </c>
      <c r="M236" s="159">
        <f t="shared" si="49"/>
        <v>0</v>
      </c>
      <c r="N236" s="159">
        <f t="shared" si="49"/>
        <v>0</v>
      </c>
      <c r="O236" s="159">
        <f t="shared" si="49"/>
        <v>0</v>
      </c>
      <c r="P236" s="159">
        <f t="shared" si="49"/>
        <v>0</v>
      </c>
      <c r="Q236" s="159">
        <f t="shared" si="49"/>
        <v>0</v>
      </c>
      <c r="R236" s="164">
        <f t="shared" si="46"/>
        <v>0</v>
      </c>
      <c r="S236" s="159"/>
      <c r="T236" s="159">
        <f t="shared" si="49"/>
        <v>0</v>
      </c>
      <c r="U236" s="159">
        <f t="shared" si="49"/>
        <v>0</v>
      </c>
      <c r="V236" s="165">
        <f t="shared" si="49"/>
        <v>0</v>
      </c>
      <c r="W236" s="159">
        <f t="shared" si="49"/>
        <v>0</v>
      </c>
      <c r="X236" s="165">
        <f t="shared" si="47"/>
        <v>0</v>
      </c>
      <c r="Y236" s="562">
        <f t="shared" si="48"/>
        <v>0</v>
      </c>
    </row>
    <row r="237" spans="1:25" ht="20.100000000000001" hidden="1" customHeight="1" x14ac:dyDescent="0.2">
      <c r="A237" s="82"/>
      <c r="B237" s="126"/>
      <c r="C237" s="41"/>
      <c r="D237" s="159"/>
      <c r="E237" s="164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64">
        <f t="shared" si="46"/>
        <v>0</v>
      </c>
      <c r="S237" s="159"/>
      <c r="T237" s="159"/>
      <c r="U237" s="159"/>
      <c r="V237" s="165"/>
      <c r="W237" s="159"/>
      <c r="X237" s="165">
        <f t="shared" si="47"/>
        <v>0</v>
      </c>
      <c r="Y237" s="562">
        <f t="shared" si="48"/>
        <v>0</v>
      </c>
    </row>
    <row r="238" spans="1:25" ht="20.100000000000001" hidden="1" customHeight="1" thickBot="1" x14ac:dyDescent="0.25">
      <c r="A238" s="82"/>
      <c r="B238" s="89"/>
      <c r="C238" s="41"/>
      <c r="D238" s="159"/>
      <c r="E238" s="164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64">
        <f t="shared" si="46"/>
        <v>0</v>
      </c>
      <c r="S238" s="159"/>
      <c r="T238" s="159"/>
      <c r="U238" s="159"/>
      <c r="V238" s="165"/>
      <c r="W238" s="159"/>
      <c r="X238" s="165">
        <f t="shared" si="47"/>
        <v>0</v>
      </c>
      <c r="Y238" s="562">
        <f t="shared" si="48"/>
        <v>0</v>
      </c>
    </row>
    <row r="239" spans="1:25" ht="24.75" hidden="1" customHeight="1" thickTop="1" thickBot="1" x14ac:dyDescent="0.25">
      <c r="A239" s="42"/>
      <c r="B239" s="268">
        <v>41274</v>
      </c>
      <c r="C239" s="44" t="s">
        <v>91</v>
      </c>
      <c r="D239" s="166">
        <f t="shared" ref="D239:W239" si="50">D220+D236</f>
        <v>0</v>
      </c>
      <c r="E239" s="538">
        <f t="shared" si="50"/>
        <v>0</v>
      </c>
      <c r="F239" s="166">
        <f t="shared" si="50"/>
        <v>0</v>
      </c>
      <c r="G239" s="166">
        <f t="shared" si="50"/>
        <v>0</v>
      </c>
      <c r="H239" s="166">
        <f t="shared" si="50"/>
        <v>0</v>
      </c>
      <c r="I239" s="166">
        <f t="shared" si="50"/>
        <v>0</v>
      </c>
      <c r="J239" s="166">
        <f>J220+J236</f>
        <v>0</v>
      </c>
      <c r="K239" s="166">
        <f t="shared" si="50"/>
        <v>0</v>
      </c>
      <c r="L239" s="166">
        <f t="shared" si="50"/>
        <v>0</v>
      </c>
      <c r="M239" s="166">
        <f t="shared" si="50"/>
        <v>0</v>
      </c>
      <c r="N239" s="166">
        <f t="shared" si="50"/>
        <v>0</v>
      </c>
      <c r="O239" s="166">
        <f t="shared" si="50"/>
        <v>0</v>
      </c>
      <c r="P239" s="166">
        <f t="shared" si="50"/>
        <v>0</v>
      </c>
      <c r="Q239" s="166">
        <f t="shared" si="50"/>
        <v>0</v>
      </c>
      <c r="R239" s="538">
        <f t="shared" si="46"/>
        <v>0</v>
      </c>
      <c r="S239" s="166"/>
      <c r="T239" s="166">
        <f>T220+T236</f>
        <v>0</v>
      </c>
      <c r="U239" s="166">
        <f>U220+U236</f>
        <v>0</v>
      </c>
      <c r="V239" s="169">
        <f t="shared" si="50"/>
        <v>0</v>
      </c>
      <c r="W239" s="166">
        <f t="shared" si="50"/>
        <v>0</v>
      </c>
      <c r="X239" s="169">
        <f t="shared" si="47"/>
        <v>0</v>
      </c>
      <c r="Y239" s="563">
        <f t="shared" si="48"/>
        <v>0</v>
      </c>
    </row>
    <row r="240" spans="1:25" ht="24.75" hidden="1" customHeight="1" thickTop="1" thickBot="1" x14ac:dyDescent="0.25">
      <c r="A240" s="42"/>
      <c r="B240" s="43" t="s">
        <v>119</v>
      </c>
      <c r="C240" s="44" t="s">
        <v>20</v>
      </c>
      <c r="D240" s="210">
        <f t="shared" ref="D240:W240" si="51">D202+D239</f>
        <v>1711113.0249999999</v>
      </c>
      <c r="E240" s="210">
        <f t="shared" si="51"/>
        <v>466491.66</v>
      </c>
      <c r="F240" s="210">
        <f t="shared" si="51"/>
        <v>516843.53700000001</v>
      </c>
      <c r="G240" s="210">
        <f t="shared" si="51"/>
        <v>685</v>
      </c>
      <c r="H240" s="210">
        <f t="shared" si="51"/>
        <v>87741</v>
      </c>
      <c r="I240" s="210">
        <f t="shared" si="51"/>
        <v>0</v>
      </c>
      <c r="J240" s="210">
        <f>J202+J239</f>
        <v>0</v>
      </c>
      <c r="K240" s="210">
        <f t="shared" si="51"/>
        <v>0</v>
      </c>
      <c r="L240" s="210">
        <f t="shared" si="51"/>
        <v>180882</v>
      </c>
      <c r="M240" s="210">
        <f t="shared" si="51"/>
        <v>14400</v>
      </c>
      <c r="N240" s="210">
        <f t="shared" si="51"/>
        <v>0</v>
      </c>
      <c r="O240" s="210">
        <f t="shared" si="51"/>
        <v>5000</v>
      </c>
      <c r="P240" s="210">
        <f t="shared" si="51"/>
        <v>0</v>
      </c>
      <c r="Q240" s="210">
        <f t="shared" si="51"/>
        <v>0</v>
      </c>
      <c r="R240" s="210">
        <f t="shared" si="46"/>
        <v>2983156.2220000001</v>
      </c>
      <c r="S240" s="166"/>
      <c r="T240" s="210">
        <f>T202+T239</f>
        <v>0</v>
      </c>
      <c r="U240" s="210">
        <f>U202+U239</f>
        <v>0</v>
      </c>
      <c r="V240" s="210">
        <f t="shared" si="51"/>
        <v>0</v>
      </c>
      <c r="W240" s="210">
        <f t="shared" si="51"/>
        <v>0</v>
      </c>
      <c r="X240" s="210">
        <f t="shared" si="47"/>
        <v>0</v>
      </c>
      <c r="Y240" s="600">
        <f t="shared" si="48"/>
        <v>2983156.2220000001</v>
      </c>
    </row>
    <row r="241" spans="3:25" ht="17.25" hidden="1" thickTop="1" x14ac:dyDescent="0.25">
      <c r="E241" s="559"/>
      <c r="R241" s="559"/>
      <c r="V241" s="539"/>
      <c r="W241" s="539"/>
      <c r="X241" s="539"/>
      <c r="Y241" s="569"/>
    </row>
    <row r="242" spans="3:25" hidden="1" x14ac:dyDescent="0.25">
      <c r="E242" s="559"/>
      <c r="R242" s="559"/>
      <c r="Y242" s="569"/>
    </row>
    <row r="243" spans="3:25" ht="17.25" hidden="1" thickBot="1" x14ac:dyDescent="0.3">
      <c r="E243" s="559"/>
      <c r="R243" s="559"/>
      <c r="Y243" s="569"/>
    </row>
    <row r="244" spans="3:25" ht="24" hidden="1" customHeight="1" thickTop="1" thickBot="1" x14ac:dyDescent="0.3">
      <c r="C244" s="703" t="s">
        <v>99</v>
      </c>
      <c r="D244" s="704">
        <v>1711113.0249999999</v>
      </c>
      <c r="E244" s="705">
        <v>466491.66</v>
      </c>
      <c r="F244" s="706">
        <v>516843.53700000001</v>
      </c>
      <c r="G244" s="706">
        <v>685</v>
      </c>
      <c r="H244" s="706">
        <v>87741</v>
      </c>
      <c r="I244" s="706">
        <v>0</v>
      </c>
      <c r="J244" s="706">
        <v>0</v>
      </c>
      <c r="K244" s="706">
        <v>0</v>
      </c>
      <c r="L244" s="706">
        <v>180882</v>
      </c>
      <c r="M244" s="706">
        <v>14400</v>
      </c>
      <c r="N244" s="706">
        <v>0</v>
      </c>
      <c r="O244" s="706">
        <v>5000</v>
      </c>
      <c r="P244" s="706">
        <v>0</v>
      </c>
      <c r="Q244" s="706">
        <v>0</v>
      </c>
      <c r="R244" s="705">
        <v>2983156.2220000001</v>
      </c>
      <c r="S244" s="706"/>
      <c r="T244" s="706">
        <v>0</v>
      </c>
      <c r="U244" s="706">
        <v>0</v>
      </c>
      <c r="V244" s="706"/>
      <c r="W244" s="706"/>
      <c r="X244" s="706">
        <v>0</v>
      </c>
      <c r="Y244" s="707">
        <v>2983156.2220000001</v>
      </c>
    </row>
    <row r="245" spans="3:25" ht="17.25" hidden="1" thickTop="1" x14ac:dyDescent="0.25">
      <c r="D245" s="303"/>
      <c r="E245" s="303"/>
      <c r="F245" s="303"/>
      <c r="G245" s="303"/>
      <c r="H245" s="303"/>
      <c r="I245" s="303"/>
      <c r="J245" s="303"/>
      <c r="K245" s="303"/>
      <c r="L245" s="303"/>
      <c r="M245" s="303"/>
      <c r="N245" s="303"/>
      <c r="O245" s="303"/>
      <c r="P245" s="303"/>
      <c r="Q245" s="303"/>
      <c r="R245" s="303"/>
      <c r="S245" s="303"/>
      <c r="T245" s="303"/>
      <c r="U245" s="303"/>
      <c r="V245" s="303"/>
      <c r="W245" s="303"/>
      <c r="X245" s="303"/>
      <c r="Y245" s="304"/>
    </row>
    <row r="246" spans="3:25" hidden="1" x14ac:dyDescent="0.25">
      <c r="C246" s="2" t="s">
        <v>94</v>
      </c>
      <c r="D246" s="305">
        <f>D244-D240</f>
        <v>0</v>
      </c>
      <c r="E246" s="305">
        <f>E244-E240</f>
        <v>0</v>
      </c>
      <c r="F246" s="305">
        <f t="shared" ref="F246:Y246" si="52">F244-F240</f>
        <v>0</v>
      </c>
      <c r="G246" s="305">
        <f t="shared" si="52"/>
        <v>0</v>
      </c>
      <c r="H246" s="305">
        <f t="shared" si="52"/>
        <v>0</v>
      </c>
      <c r="I246" s="305">
        <f>I244-I240</f>
        <v>0</v>
      </c>
      <c r="J246" s="305">
        <f t="shared" si="52"/>
        <v>0</v>
      </c>
      <c r="K246" s="305">
        <f t="shared" si="52"/>
        <v>0</v>
      </c>
      <c r="L246" s="305">
        <f t="shared" si="52"/>
        <v>0</v>
      </c>
      <c r="M246" s="305">
        <f t="shared" si="52"/>
        <v>0</v>
      </c>
      <c r="N246" s="305">
        <f t="shared" si="52"/>
        <v>0</v>
      </c>
      <c r="O246" s="305">
        <f t="shared" si="52"/>
        <v>0</v>
      </c>
      <c r="P246" s="305">
        <f t="shared" si="52"/>
        <v>0</v>
      </c>
      <c r="Q246" s="305">
        <f t="shared" si="52"/>
        <v>0</v>
      </c>
      <c r="R246" s="305">
        <f t="shared" si="52"/>
        <v>0</v>
      </c>
      <c r="S246" s="305"/>
      <c r="T246" s="305">
        <f t="shared" si="52"/>
        <v>0</v>
      </c>
      <c r="U246" s="305">
        <f t="shared" si="52"/>
        <v>0</v>
      </c>
      <c r="V246" s="305">
        <f t="shared" si="52"/>
        <v>0</v>
      </c>
      <c r="W246" s="305">
        <f t="shared" si="52"/>
        <v>0</v>
      </c>
      <c r="X246" s="305">
        <f t="shared" si="52"/>
        <v>0</v>
      </c>
      <c r="Y246" s="305">
        <f t="shared" si="52"/>
        <v>0</v>
      </c>
    </row>
    <row r="247" spans="3:25" hidden="1" x14ac:dyDescent="0.25"/>
    <row r="248" spans="3:25" hidden="1" x14ac:dyDescent="0.25"/>
    <row r="249" spans="3:25" ht="17.25" thickTop="1" x14ac:dyDescent="0.25"/>
  </sheetData>
  <mergeCells count="8">
    <mergeCell ref="T8:W8"/>
    <mergeCell ref="AH14:AI14"/>
    <mergeCell ref="A2:Y2"/>
    <mergeCell ref="A4:Y4"/>
    <mergeCell ref="AH9:AI9"/>
    <mergeCell ref="D8:K8"/>
    <mergeCell ref="L8:Q8"/>
    <mergeCell ref="D7:X7"/>
  </mergeCells>
  <phoneticPr fontId="3" type="noConversion"/>
  <printOptions horizontalCentered="1" verticalCentered="1"/>
  <pageMargins left="0" right="0" top="0.62" bottom="0.48" header="0.27" footer="0.15"/>
  <pageSetup paperSize="9" scale="4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10</vt:i4>
      </vt:variant>
    </vt:vector>
  </HeadingPairs>
  <TitlesOfParts>
    <vt:vector size="14" baseType="lpstr">
      <vt:lpstr>7.sz.melléklet</vt:lpstr>
      <vt:lpstr>8.sz.melléklet</vt:lpstr>
      <vt:lpstr>9.sz.melléklet</vt:lpstr>
      <vt:lpstr>10.sz.melléklet</vt:lpstr>
      <vt:lpstr>Excel_BuiltIn__FilterDatabase_2</vt:lpstr>
      <vt:lpstr>Excel_BuiltIn__FilterDatabase_3_3</vt:lpstr>
      <vt:lpstr>'10.sz.melléklet'!Nyomtatási_cím</vt:lpstr>
      <vt:lpstr>'7.sz.melléklet'!Nyomtatási_cím</vt:lpstr>
      <vt:lpstr>'8.sz.melléklet'!Nyomtatási_cím</vt:lpstr>
      <vt:lpstr>'9.sz.melléklet'!Nyomtatási_cím</vt:lpstr>
      <vt:lpstr>'10.sz.melléklet'!Nyomtatási_terület</vt:lpstr>
      <vt:lpstr>'7.sz.melléklet'!Nyomtatási_terület</vt:lpstr>
      <vt:lpstr>'8.sz.melléklet'!Nyomtatási_terület</vt:lpstr>
      <vt:lpstr>'9.sz.melléklet'!Nyomtatási_terület</vt:lpstr>
    </vt:vector>
  </TitlesOfParts>
  <Company>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</dc:creator>
  <cp:lastModifiedBy>Balog Lászlóné Zsuzsa</cp:lastModifiedBy>
  <cp:lastPrinted>2017-05-16T13:54:09Z</cp:lastPrinted>
  <dcterms:created xsi:type="dcterms:W3CDTF">2009-03-23T07:49:10Z</dcterms:created>
  <dcterms:modified xsi:type="dcterms:W3CDTF">2017-05-16T13:57:35Z</dcterms:modified>
</cp:coreProperties>
</file>